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8.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drawings/drawing1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1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xml" ContentType="application/vnd.openxmlformats-officedocument.spreadsheetml.pivotTable+xml"/>
  <Override PartName="/xl/drawings/drawing1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xml" ContentType="application/vnd.openxmlformats-officedocument.spreadsheetml.pivotTable+xml"/>
  <Override PartName="/xl/drawings/drawing2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1.xml" ContentType="application/vnd.openxmlformats-officedocument.drawing+xml"/>
  <Override PartName="/xl/drawings/drawing2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5.xml" ContentType="application/vnd.openxmlformats-officedocument.spreadsheetml.pivotTable+xml"/>
  <Override PartName="/xl/drawings/drawing26.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8.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6.xml" ContentType="application/vnd.openxmlformats-officedocument.spreadsheetml.pivotTable+xml"/>
  <Override PartName="/xl/drawings/drawing30.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7.xml" ContentType="application/vnd.openxmlformats-officedocument.spreadsheetml.pivotTable+xml"/>
  <Override PartName="/xl/drawings/drawing31.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8.xml" ContentType="application/vnd.openxmlformats-officedocument.spreadsheetml.pivotTable+xml"/>
  <Override PartName="/xl/drawings/drawing32.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3.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9.xml" ContentType="application/vnd.openxmlformats-officedocument.spreadsheetml.pivotTable+xml"/>
  <Override PartName="/xl/drawings/drawing34.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35.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1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threadedComments/threadedComment13.xml" ContentType="application/vnd.ms-excel.threadedcomment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https://luminultratechnologiesltd-my.sharepoint.com/personal/harley_king_luminultra_com/Documents/Documents/Exp800-automation/Exp800.10 Optimal Concentration of IAC in Leg pneumo Assay/"/>
    </mc:Choice>
  </mc:AlternateContent>
  <xr:revisionPtr revIDLastSave="7654" documentId="8_{580EC994-3A5D-4A64-9713-A46D27508ED2}" xr6:coauthVersionLast="47" xr6:coauthVersionMax="47" xr10:uidLastSave="{C8E3CC01-BF96-40B4-A187-8D65ADF1545E}"/>
  <bookViews>
    <workbookView xWindow="885" yWindow="-120" windowWidth="28035" windowHeight="16440" tabRatio="847" activeTab="1" xr2:uid="{F274B082-12A2-4397-BCB6-C3ACC8E28636}"/>
  </bookViews>
  <sheets>
    <sheet name="log" sheetId="1" r:id="rId1"/>
    <sheet name="ref" sheetId="2" r:id="rId2"/>
    <sheet name="plate1_setup" sheetId="3" r:id="rId3"/>
    <sheet name="210416_plate1" sheetId="4" r:id="rId4"/>
    <sheet name="plate2_setup" sheetId="10" r:id="rId5"/>
    <sheet name="plate2_data" sheetId="11" r:id="rId6"/>
    <sheet name="matrix_setup" sheetId="7" r:id="rId7"/>
    <sheet name="matrix_data" sheetId="5" r:id="rId8"/>
    <sheet name="probe_setup" sheetId="8" r:id="rId9"/>
    <sheet name="probe_data" sheetId="9" r:id="rId10"/>
    <sheet name="HI_std_vs_opt" sheetId="12" r:id="rId11"/>
    <sheet name="ANOVA" sheetId="22" r:id="rId12"/>
    <sheet name="LO_std_vs_opt" sheetId="13" r:id="rId13"/>
    <sheet name="Why_so_high_mmix" sheetId="23" r:id="rId14"/>
    <sheet name="std_vs_opt" sheetId="24" r:id="rId15"/>
    <sheet name="interference" sheetId="25" r:id="rId16"/>
    <sheet name="F vs F2" sheetId="26" r:id="rId17"/>
    <sheet name="50..800_F" sheetId="29" r:id="rId18"/>
    <sheet name="50..800_F2" sheetId="30" r:id="rId19"/>
    <sheet name="50..800_amp" sheetId="31" r:id="rId20"/>
    <sheet name="50..800_F2amp" sheetId="32" r:id="rId21"/>
    <sheet name="IAC_F2_matrix" sheetId="28" r:id="rId22"/>
    <sheet name="F2_matrix" sheetId="33" r:id="rId23"/>
    <sheet name="F2_probe_data" sheetId="35" r:id="rId24"/>
    <sheet name="sample_test_IAC_opt" sheetId="36" r:id="rId25"/>
    <sheet name="lyophilized" sheetId="37" r:id="rId26"/>
    <sheet name="pivot" sheetId="41" r:id="rId27"/>
    <sheet name="New.Leg.pne_std_curve" sheetId="44" r:id="rId28"/>
    <sheet name="new_Legpne_std_liquid_LOD" sheetId="43" r:id="rId29"/>
    <sheet name="lyoph_LOD" sheetId="45" r:id="rId30"/>
    <sheet name="run5_LOD_vs_LOD" sheetId="46" r:id="rId31"/>
    <sheet name="Pne_vs_Spp LOD" sheetId="48" r:id="rId32"/>
    <sheet name="Pne_vs_Spp LOD IAC (2)" sheetId="57" r:id="rId33"/>
    <sheet name="Pne_vs_Spp LOD IAC" sheetId="49" r:id="rId34"/>
    <sheet name="LOQ" sheetId="50" r:id="rId35"/>
    <sheet name="variability_Q16" sheetId="51" r:id="rId36"/>
    <sheet name="1st LOD" sheetId="55" r:id="rId37"/>
    <sheet name="2nd LOD" sheetId="54" r:id="rId38"/>
    <sheet name="3rd LOD" sheetId="53" r:id="rId39"/>
    <sheet name="LOD_sort" sheetId="56" r:id="rId40"/>
  </sheets>
  <externalReferences>
    <externalReference r:id="rId41"/>
  </externalReferences>
  <definedNames>
    <definedName name="dna_per_rxn" localSheetId="21">IAC_F2_matrix!$C$28</definedName>
    <definedName name="dna_per_rxn" localSheetId="6">matrix_setup!$C$28</definedName>
    <definedName name="dna_per_rxn">#REF!</definedName>
    <definedName name="F_100" localSheetId="21">IAC_F2_matrix!$C$17</definedName>
    <definedName name="F_100" localSheetId="6">matrix_setup!$C$17</definedName>
    <definedName name="F_100">#REF!</definedName>
    <definedName name="F_200" localSheetId="21">IAC_F2_matrix!$C$18</definedName>
    <definedName name="F_200" localSheetId="6">matrix_setup!$C$18</definedName>
    <definedName name="F_200">#REF!</definedName>
    <definedName name="F_400" localSheetId="21">IAC_F2_matrix!$C$19</definedName>
    <definedName name="F_400" localSheetId="6">matrix_setup!$C$19</definedName>
    <definedName name="F_400">#REF!</definedName>
    <definedName name="F_50" localSheetId="21">IAC_F2_matrix!$C$16</definedName>
    <definedName name="F_50" localSheetId="6">matrix_setup!$C$16</definedName>
    <definedName name="F_50">#REF!</definedName>
    <definedName name="F_600" localSheetId="21">IAC_F2_matrix!$C$20</definedName>
    <definedName name="F_600" localSheetId="6">matrix_setup!$C$20</definedName>
    <definedName name="F_600">#REF!</definedName>
    <definedName name="F_800" localSheetId="21">IAC_F2_matrix!$C$21</definedName>
    <definedName name="F_800" localSheetId="6">matrix_setup!$C$21</definedName>
    <definedName name="F_800">#REF!</definedName>
    <definedName name="F_concs" localSheetId="21">IAC_F2_matrix!$C$14</definedName>
    <definedName name="F_concs" localSheetId="6">matrix_setup!$C$14</definedName>
    <definedName name="F_concs">#REF!</definedName>
    <definedName name="F_int_vol" localSheetId="21">IAC_F2_matrix!$C$32</definedName>
    <definedName name="F_int_vol" localSheetId="6">matrix_setup!$C$32</definedName>
    <definedName name="F_int_vol" localSheetId="27">[1]primer_opt!$C$32</definedName>
    <definedName name="F_int_vol" localSheetId="8">probe_setup!$C$36</definedName>
    <definedName name="F_int_vol">#REF!</definedName>
    <definedName name="F_reps" localSheetId="21">IAC_F2_matrix!$C$31</definedName>
    <definedName name="F_reps" localSheetId="6">matrix_setup!$C$31</definedName>
    <definedName name="F_reps">#REF!</definedName>
    <definedName name="FvsF2">'F vs F2'!$A$166:$E$358</definedName>
    <definedName name="orig_F_conc" localSheetId="21">IAC_F2_matrix!$C$3</definedName>
    <definedName name="orig_F_conc" localSheetId="6">matrix_setup!$C$3</definedName>
    <definedName name="orig_F_conc">#REF!</definedName>
    <definedName name="orig_P_conc" localSheetId="21">IAC_F2_matrix!$C$5</definedName>
    <definedName name="orig_P_conc" localSheetId="6">matrix_setup!$C$5</definedName>
    <definedName name="orig_P_conc">#REF!</definedName>
    <definedName name="orig_R_conc" localSheetId="21">IAC_F2_matrix!$C$4</definedName>
    <definedName name="orig_R_conc" localSheetId="6">matrix_setup!$C$4</definedName>
    <definedName name="orig_R_conc" localSheetId="27">[1]primer_opt!$C$4</definedName>
    <definedName name="orig_R_conc" localSheetId="8">probe_setup!$C$4</definedName>
    <definedName name="orig_R_conc">#REF!</definedName>
    <definedName name="P_conc" localSheetId="21">IAC_F2_matrix!$C$8</definedName>
    <definedName name="P_conc" localSheetId="6">matrix_setup!$C$8</definedName>
    <definedName name="P_conc">#REF!</definedName>
    <definedName name="P_int_vol">probe_setup!$C$36</definedName>
    <definedName name="R_100" localSheetId="21">IAC_F2_matrix!$C$23</definedName>
    <definedName name="R_100" localSheetId="6">matrix_setup!$C$23</definedName>
    <definedName name="R_100">#REF!</definedName>
    <definedName name="R_200" localSheetId="21">IAC_F2_matrix!$C$24</definedName>
    <definedName name="R_200" localSheetId="6">matrix_setup!$C$24</definedName>
    <definedName name="R_200">#REF!</definedName>
    <definedName name="R_400" localSheetId="21">IAC_F2_matrix!$C$25</definedName>
    <definedName name="R_400" localSheetId="6">matrix_setup!$C$25</definedName>
    <definedName name="R_400">#REF!</definedName>
    <definedName name="R_50" localSheetId="21">IAC_F2_matrix!$C$22</definedName>
    <definedName name="R_50" localSheetId="6">matrix_setup!$C$22</definedName>
    <definedName name="R_50">#REF!</definedName>
    <definedName name="R_600" localSheetId="21">IAC_F2_matrix!$C$26</definedName>
    <definedName name="R_600" localSheetId="6">matrix_setup!$C$26</definedName>
    <definedName name="R_600">#REF!</definedName>
    <definedName name="R_800" localSheetId="21">IAC_F2_matrix!$C$27</definedName>
    <definedName name="R_800" localSheetId="6">matrix_setup!$C$27</definedName>
    <definedName name="R_800">#REF!</definedName>
    <definedName name="R_concs" localSheetId="21">IAC_F2_matrix!$C$15</definedName>
    <definedName name="R_concs" localSheetId="6">matrix_setup!$C$15</definedName>
    <definedName name="R_concs">#REF!</definedName>
    <definedName name="R_reps" localSheetId="21">IAC_F2_matrix!$C$30</definedName>
    <definedName name="R_reps" localSheetId="6">matrix_setup!$C$30</definedName>
    <definedName name="R_reps" localSheetId="27">[1]primer_opt!$C$30</definedName>
    <definedName name="R_reps" localSheetId="8">probe_setup!$C$34</definedName>
    <definedName name="R_reps">#REF!</definedName>
    <definedName name="rxn_base" localSheetId="21">IAC_F2_matrix!$C$12</definedName>
    <definedName name="rxn_base" localSheetId="6">matrix_setup!$C$12</definedName>
    <definedName name="rxn_base">#REF!</definedName>
    <definedName name="solver_adj" localSheetId="28" hidden="1">new_Legpne_std_liquid_LOD!$N$103</definedName>
    <definedName name="solver_cvg" localSheetId="28" hidden="1">0.0001</definedName>
    <definedName name="solver_drv" localSheetId="28" hidden="1">2</definedName>
    <definedName name="solver_eng" localSheetId="28" hidden="1">1</definedName>
    <definedName name="solver_est" localSheetId="28" hidden="1">1</definedName>
    <definedName name="solver_itr" localSheetId="28" hidden="1">2147483647</definedName>
    <definedName name="solver_mip" localSheetId="28" hidden="1">2147483647</definedName>
    <definedName name="solver_mni" localSheetId="28" hidden="1">30</definedName>
    <definedName name="solver_mrt" localSheetId="28" hidden="1">0.075</definedName>
    <definedName name="solver_msl" localSheetId="28" hidden="1">2</definedName>
    <definedName name="solver_neg" localSheetId="28" hidden="1">1</definedName>
    <definedName name="solver_nod" localSheetId="28" hidden="1">2147483647</definedName>
    <definedName name="solver_num" localSheetId="28" hidden="1">0</definedName>
    <definedName name="solver_nwt" localSheetId="28" hidden="1">1</definedName>
    <definedName name="solver_opt" localSheetId="28" hidden="1">new_Legpne_std_liquid_LOD!$Q$103</definedName>
    <definedName name="solver_pre" localSheetId="28" hidden="1">0.000001</definedName>
    <definedName name="solver_rbv" localSheetId="28" hidden="1">2</definedName>
    <definedName name="solver_rlx" localSheetId="28" hidden="1">2</definedName>
    <definedName name="solver_rsd" localSheetId="28" hidden="1">0</definedName>
    <definedName name="solver_scl" localSheetId="28" hidden="1">2</definedName>
    <definedName name="solver_sho" localSheetId="28" hidden="1">2</definedName>
    <definedName name="solver_ssz" localSheetId="28" hidden="1">100</definedName>
    <definedName name="solver_tim" localSheetId="28" hidden="1">2147483647</definedName>
    <definedName name="solver_tol" localSheetId="28" hidden="1">0.01</definedName>
    <definedName name="solver_typ" localSheetId="28" hidden="1">3</definedName>
    <definedName name="solver_val" localSheetId="28" hidden="1">95</definedName>
    <definedName name="solver_ver" localSheetId="28" hidden="1">3</definedName>
    <definedName name="std_F_conc" localSheetId="21">IAC_F2_matrix!$C$6</definedName>
    <definedName name="std_F_conc" localSheetId="6">matrix_setup!$C$6</definedName>
    <definedName name="std_F_conc">#REF!</definedName>
    <definedName name="std_NTC_reps" localSheetId="21">IAC_F2_matrix!$C$29</definedName>
    <definedName name="std_NTC_reps" localSheetId="6">matrix_setup!$C$29</definedName>
    <definedName name="std_NTC_reps">#REF!</definedName>
    <definedName name="std_R_cond" localSheetId="21">IAC_F2_matrix!$C$7</definedName>
    <definedName name="std_R_cond" localSheetId="6">matrix_setup!$C$7</definedName>
    <definedName name="std_R_cond">#REF!</definedName>
    <definedName name="tot_NTCs" localSheetId="21">IAC_F2_matrix!$C$10</definedName>
    <definedName name="tot_NTCs" localSheetId="6">matrix_setup!$C$10</definedName>
    <definedName name="tot_NTCs">#REF!</definedName>
    <definedName name="tot_rxn_vol" localSheetId="21">IAC_F2_matrix!$C$13</definedName>
    <definedName name="tot_rxn_vol" localSheetId="6">matrix_setup!$C$13</definedName>
    <definedName name="tot_rxn_vol">#REF!</definedName>
    <definedName name="tot_samp" localSheetId="21">IAC_F2_matrix!$C$11</definedName>
    <definedName name="tot_samp" localSheetId="6">matrix_setup!$C$11</definedName>
    <definedName name="tot_samp">#REF!</definedName>
    <definedName name="tot_stds" localSheetId="21">IAC_F2_matrix!$C$9</definedName>
    <definedName name="tot_stds" localSheetId="6">matrix_setup!$C$9</definedName>
    <definedName name="tot_stds">#REF!</definedName>
  </definedNames>
  <calcPr calcId="191028"/>
  <pivotCaches>
    <pivotCache cacheId="8" r:id="rId42"/>
    <pivotCache cacheId="9" r:id="rId43"/>
    <pivotCache cacheId="10" r:id="rId44"/>
    <pivotCache cacheId="11" r:id="rId4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56" l="1"/>
  <c r="F5" i="56"/>
  <c r="F3" i="56"/>
  <c r="AO125" i="55" l="1"/>
  <c r="AO124" i="55"/>
  <c r="AQ106" i="55"/>
  <c r="AR106" i="55" s="1"/>
  <c r="AS106" i="55" s="1"/>
  <c r="AR105" i="55"/>
  <c r="AS105" i="55" s="1"/>
  <c r="AQ105" i="55"/>
  <c r="AQ100" i="55"/>
  <c r="AR100" i="55" s="1"/>
  <c r="AS100" i="55" s="1"/>
  <c r="AQ90" i="55"/>
  <c r="AR90" i="55" s="1"/>
  <c r="AS90" i="55" s="1"/>
  <c r="AT64" i="55"/>
  <c r="AQ64" i="55"/>
  <c r="AP64" i="55" s="1"/>
  <c r="AO64" i="55" s="1"/>
  <c r="AT63" i="55"/>
  <c r="AT62" i="55"/>
  <c r="AT61" i="55"/>
  <c r="AT60" i="55"/>
  <c r="AT59" i="55"/>
  <c r="AT58" i="55"/>
  <c r="AT57" i="55"/>
  <c r="AS53" i="55"/>
  <c r="AS52" i="55"/>
  <c r="AS51" i="55"/>
  <c r="AS50" i="55"/>
  <c r="AS49" i="55"/>
  <c r="AS48" i="55"/>
  <c r="AS47" i="55"/>
  <c r="AS46" i="55"/>
  <c r="AT38" i="55"/>
  <c r="AQ38" i="55"/>
  <c r="AP38" i="55"/>
  <c r="AO38" i="55"/>
  <c r="AT36" i="55"/>
  <c r="AT35" i="55"/>
  <c r="AT34" i="55"/>
  <c r="AT33" i="55"/>
  <c r="AT32" i="55"/>
  <c r="AT31" i="55"/>
  <c r="AT27" i="55"/>
  <c r="AQ27" i="55"/>
  <c r="AP27" i="55" s="1"/>
  <c r="AO27" i="55" s="1"/>
  <c r="AT26" i="55"/>
  <c r="AR26" i="55"/>
  <c r="AR25" i="55"/>
  <c r="AT25" i="55" s="1"/>
  <c r="AR24" i="55"/>
  <c r="AT24" i="55" s="1"/>
  <c r="AR23" i="55"/>
  <c r="AT23" i="55" s="1"/>
  <c r="AT22" i="55"/>
  <c r="AR22" i="55"/>
  <c r="AT21" i="55"/>
  <c r="AR21" i="55"/>
  <c r="AR20" i="55"/>
  <c r="AT20" i="55" s="1"/>
  <c r="AS14" i="55"/>
  <c r="AS13" i="55"/>
  <c r="AS12" i="55"/>
  <c r="AS11" i="55"/>
  <c r="AS10" i="55"/>
  <c r="AS9" i="55"/>
  <c r="AS8" i="55"/>
  <c r="AJ8" i="55"/>
  <c r="AJ9" i="55" s="1"/>
  <c r="AS7" i="55"/>
  <c r="AJ6" i="55"/>
  <c r="AG6" i="55"/>
  <c r="AG8" i="55" s="1"/>
  <c r="AF6" i="55"/>
  <c r="AF8" i="55" s="1"/>
  <c r="AJ4" i="55"/>
  <c r="AG4" i="55"/>
  <c r="AK9" i="55" l="1"/>
  <c r="AJ10" i="55"/>
  <c r="AL8" i="55"/>
  <c r="AM8" i="55" s="1"/>
  <c r="AF9" i="55"/>
  <c r="AG9" i="55"/>
  <c r="AH8" i="55"/>
  <c r="AG10" i="55"/>
  <c r="AI8" i="55"/>
  <c r="AI9" i="55" s="1"/>
  <c r="AI10" i="55" s="1"/>
  <c r="AI11" i="55" s="1"/>
  <c r="AI12" i="55" s="1"/>
  <c r="AI13" i="55" s="1"/>
  <c r="AI14" i="55" s="1"/>
  <c r="AI15" i="55" s="1"/>
  <c r="AI16" i="55" s="1"/>
  <c r="AI17" i="55" s="1"/>
  <c r="AI18" i="55" s="1"/>
  <c r="AI19" i="55" s="1"/>
  <c r="AI20" i="55" s="1"/>
  <c r="AI21" i="55" s="1"/>
  <c r="AI22" i="55" s="1"/>
  <c r="AK8" i="55"/>
  <c r="AG12" i="55" l="1"/>
  <c r="AH10" i="55"/>
  <c r="AF10" i="55"/>
  <c r="AL9" i="55"/>
  <c r="AM9" i="55" s="1"/>
  <c r="AG11" i="55"/>
  <c r="AH9" i="55"/>
  <c r="AJ11" i="55"/>
  <c r="AK10" i="55"/>
  <c r="AJ12" i="55" l="1"/>
  <c r="AK11" i="55"/>
  <c r="AL10" i="55"/>
  <c r="AM10" i="55" s="1"/>
  <c r="AF11" i="55"/>
  <c r="AG13" i="55"/>
  <c r="AH11" i="55"/>
  <c r="AH12" i="55"/>
  <c r="AG14" i="55"/>
  <c r="AG15" i="55" l="1"/>
  <c r="AH13" i="55"/>
  <c r="AG16" i="55"/>
  <c r="AH14" i="55"/>
  <c r="AL11" i="55"/>
  <c r="AM11" i="55" s="1"/>
  <c r="AF12" i="55"/>
  <c r="AJ13" i="55"/>
  <c r="AK12" i="55"/>
  <c r="AL12" i="55" l="1"/>
  <c r="AM12" i="55" s="1"/>
  <c r="AF13" i="55"/>
  <c r="AH16" i="55"/>
  <c r="AG18" i="55"/>
  <c r="AJ14" i="55"/>
  <c r="AK13" i="55"/>
  <c r="AH15" i="55"/>
  <c r="AG17" i="55"/>
  <c r="AH17" i="55" l="1"/>
  <c r="AG19" i="55"/>
  <c r="AJ15" i="55"/>
  <c r="AK14" i="55"/>
  <c r="AF14" i="55"/>
  <c r="AL13" i="55"/>
  <c r="AM13" i="55" s="1"/>
  <c r="AH18" i="55"/>
  <c r="AG20" i="55"/>
  <c r="AG22" i="55" s="1"/>
  <c r="AF15" i="55" l="1"/>
  <c r="AL14" i="55"/>
  <c r="AM14" i="55" s="1"/>
  <c r="AK15" i="55"/>
  <c r="AJ16" i="55"/>
  <c r="AH19" i="55"/>
  <c r="AG21" i="55"/>
  <c r="AK16" i="55" l="1"/>
  <c r="AJ17" i="55"/>
  <c r="AF16" i="55"/>
  <c r="AL15" i="55"/>
  <c r="AM15" i="55" s="1"/>
  <c r="AK17" i="55" l="1"/>
  <c r="AJ18" i="55"/>
  <c r="AF17" i="55"/>
  <c r="AL16" i="55"/>
  <c r="AM16" i="55" s="1"/>
  <c r="AK18" i="55" l="1"/>
  <c r="AJ19" i="55"/>
  <c r="AF18" i="55"/>
  <c r="AL17" i="55"/>
  <c r="AM17" i="55" s="1"/>
  <c r="AF19" i="55" l="1"/>
  <c r="AL18" i="55"/>
  <c r="AM18" i="55" s="1"/>
  <c r="AJ20" i="55"/>
  <c r="AK19" i="55"/>
  <c r="AJ21" i="55" l="1"/>
  <c r="AK20" i="55"/>
  <c r="AF20" i="55"/>
  <c r="AF21" i="55" s="1"/>
  <c r="AF22" i="55" s="1"/>
  <c r="AL19" i="55"/>
  <c r="AM19" i="55" s="1"/>
  <c r="AK21" i="55" l="1"/>
  <c r="AJ22" i="55"/>
  <c r="AK22" i="55" s="1"/>
  <c r="U43" i="54" l="1"/>
  <c r="U42" i="54"/>
  <c r="U41" i="54"/>
  <c r="U40" i="54"/>
  <c r="U39" i="54"/>
  <c r="U38" i="54"/>
  <c r="U37" i="54"/>
  <c r="U36" i="54"/>
  <c r="Z30" i="54"/>
  <c r="AA30" i="54" s="1"/>
  <c r="AB30" i="54" s="1"/>
  <c r="X30" i="54"/>
  <c r="AA29" i="54"/>
  <c r="AB29" i="54" s="1"/>
  <c r="Z29" i="54"/>
  <c r="Z28" i="54"/>
  <c r="AA28" i="54" s="1"/>
  <c r="AB28" i="54" s="1"/>
  <c r="X28" i="54"/>
  <c r="V22" i="54"/>
  <c r="U22" i="54"/>
  <c r="T22" i="54"/>
  <c r="S22" i="54"/>
  <c r="S14" i="53"/>
  <c r="T14" i="53" s="1"/>
  <c r="U14" i="53" s="1"/>
  <c r="Q14" i="53"/>
  <c r="S13" i="53"/>
  <c r="T13" i="53" s="1"/>
  <c r="U13" i="53" s="1"/>
  <c r="S12" i="53"/>
  <c r="T12" i="53" s="1"/>
  <c r="U12" i="53" s="1"/>
  <c r="T9" i="53"/>
  <c r="U8" i="53"/>
  <c r="T8" i="53"/>
  <c r="U7" i="53"/>
  <c r="T7" i="53"/>
  <c r="S7" i="53"/>
  <c r="T6" i="53"/>
  <c r="S6" i="53"/>
  <c r="U6" i="53" s="1"/>
  <c r="U5" i="53"/>
  <c r="T5" i="53"/>
  <c r="T4" i="53"/>
  <c r="T3" i="53"/>
  <c r="R174" i="43" l="1"/>
  <c r="R172" i="43" a="1"/>
  <c r="R172" i="43" s="1"/>
  <c r="R165" i="43"/>
  <c r="S165" i="43"/>
  <c r="T165" i="43"/>
  <c r="W165" i="43"/>
  <c r="U163" i="43"/>
  <c r="W163" i="43" s="1"/>
  <c r="U162" i="43"/>
  <c r="W162" i="43" s="1"/>
  <c r="U161" i="43"/>
  <c r="W161" i="43" s="1"/>
  <c r="U160" i="43"/>
  <c r="W160" i="43" s="1"/>
  <c r="U159" i="43"/>
  <c r="W159" i="43" s="1"/>
  <c r="U158" i="43"/>
  <c r="W158" i="43" s="1"/>
  <c r="S172" i="43" l="1"/>
  <c r="O160" i="43"/>
  <c r="O162" i="43" s="1"/>
  <c r="O163" i="43" s="1"/>
  <c r="M160" i="43"/>
  <c r="M162" i="43" s="1"/>
  <c r="L160" i="43"/>
  <c r="L162" i="43" s="1"/>
  <c r="L163" i="43" s="1"/>
  <c r="L164" i="43" s="1"/>
  <c r="L165" i="43" s="1"/>
  <c r="L166" i="43" s="1"/>
  <c r="L167" i="43" s="1"/>
  <c r="L168" i="43" s="1"/>
  <c r="L169" i="43" s="1"/>
  <c r="L170" i="43" s="1"/>
  <c r="L171" i="43" s="1"/>
  <c r="L172" i="43" s="1"/>
  <c r="L173" i="43" s="1"/>
  <c r="L174" i="43" s="1"/>
  <c r="L175" i="43" s="1"/>
  <c r="L176" i="43" s="1"/>
  <c r="O158" i="43"/>
  <c r="M158" i="43"/>
  <c r="N162" i="43" l="1"/>
  <c r="N163" i="43" s="1"/>
  <c r="N164" i="43" s="1"/>
  <c r="N165" i="43" s="1"/>
  <c r="N166" i="43" s="1"/>
  <c r="N167" i="43" s="1"/>
  <c r="N168" i="43" s="1"/>
  <c r="N169" i="43" s="1"/>
  <c r="N170" i="43" s="1"/>
  <c r="N171" i="43" s="1"/>
  <c r="N172" i="43" s="1"/>
  <c r="N173" i="43" s="1"/>
  <c r="N174" i="43" s="1"/>
  <c r="N175" i="43" s="1"/>
  <c r="N176" i="43" s="1"/>
  <c r="M163" i="43"/>
  <c r="M165" i="43" s="1"/>
  <c r="M167" i="43" s="1"/>
  <c r="M169" i="43" s="1"/>
  <c r="M171" i="43" s="1"/>
  <c r="M173" i="43" s="1"/>
  <c r="M175" i="43" s="1"/>
  <c r="M164" i="43"/>
  <c r="M166" i="43" s="1"/>
  <c r="M168" i="43" s="1"/>
  <c r="M170" i="43" s="1"/>
  <c r="M172" i="43" s="1"/>
  <c r="M174" i="43" s="1"/>
  <c r="M176" i="43" s="1"/>
  <c r="P163" i="43"/>
  <c r="O164" i="43"/>
  <c r="P162" i="43"/>
  <c r="O165" i="43" l="1"/>
  <c r="P164" i="43"/>
  <c r="O166" i="43" l="1"/>
  <c r="P165" i="43"/>
  <c r="P166" i="43" l="1"/>
  <c r="O167" i="43"/>
  <c r="O168" i="43" l="1"/>
  <c r="P167" i="43"/>
  <c r="P168" i="43" l="1"/>
  <c r="O169" i="43"/>
  <c r="P169" i="43" l="1"/>
  <c r="O170" i="43"/>
  <c r="P170" i="43" l="1"/>
  <c r="O171" i="43"/>
  <c r="O172" i="43" l="1"/>
  <c r="P171" i="43"/>
  <c r="O173" i="43" l="1"/>
  <c r="P172" i="43"/>
  <c r="O174" i="43" l="1"/>
  <c r="P173" i="43"/>
  <c r="P174" i="43" l="1"/>
  <c r="O175" i="43"/>
  <c r="O176" i="43" l="1"/>
  <c r="P176" i="43" s="1"/>
  <c r="P175" i="43"/>
  <c r="AV102" i="50" l="1"/>
  <c r="AQ108" i="50"/>
  <c r="AS103" i="50" l="1"/>
  <c r="AT103" i="50" s="1"/>
  <c r="AS102" i="50"/>
  <c r="AQ110" i="50" l="1"/>
  <c r="AQ111" i="50" s="1"/>
  <c r="AQ112" i="50" s="1"/>
  <c r="AQ113" i="50" s="1"/>
  <c r="AQ114" i="50" s="1"/>
  <c r="AQ115" i="50" s="1"/>
  <c r="AQ116" i="50" s="1"/>
  <c r="AQ117" i="50" s="1"/>
  <c r="AQ118" i="50" s="1"/>
  <c r="AQ119" i="50" s="1"/>
  <c r="AQ120" i="50" s="1"/>
  <c r="AQ121" i="50" s="1"/>
  <c r="AQ122" i="50" s="1"/>
  <c r="AQ123" i="50" s="1"/>
  <c r="AQ124" i="50" s="1"/>
  <c r="AT108" i="50"/>
  <c r="AT110" i="50" s="1"/>
  <c r="AT111" i="50" s="1"/>
  <c r="AR108" i="50"/>
  <c r="AR110" i="50" s="1"/>
  <c r="AT106" i="50"/>
  <c r="AR106" i="50"/>
  <c r="AR111" i="50" l="1"/>
  <c r="AR113" i="50" s="1"/>
  <c r="AR115" i="50" s="1"/>
  <c r="AR117" i="50" s="1"/>
  <c r="AR119" i="50" s="1"/>
  <c r="AR121" i="50" s="1"/>
  <c r="AR123" i="50" s="1"/>
  <c r="AS110" i="50"/>
  <c r="AS111" i="50" s="1"/>
  <c r="AS112" i="50" s="1"/>
  <c r="AS113" i="50" s="1"/>
  <c r="AS114" i="50" s="1"/>
  <c r="AS115" i="50" s="1"/>
  <c r="AS116" i="50" s="1"/>
  <c r="AS117" i="50" s="1"/>
  <c r="AS118" i="50" s="1"/>
  <c r="AS119" i="50" s="1"/>
  <c r="AS120" i="50" s="1"/>
  <c r="AS121" i="50" s="1"/>
  <c r="AS122" i="50" s="1"/>
  <c r="AS123" i="50" s="1"/>
  <c r="AS124" i="50" s="1"/>
  <c r="AU111" i="50"/>
  <c r="AT112" i="50"/>
  <c r="AU110" i="50"/>
  <c r="AR112" i="50"/>
  <c r="AR114" i="50" s="1"/>
  <c r="AR116" i="50" s="1"/>
  <c r="AR118" i="50" s="1"/>
  <c r="AR120" i="50" s="1"/>
  <c r="AR122" i="50" s="1"/>
  <c r="AR124" i="50" s="1"/>
  <c r="AU112" i="50" l="1"/>
  <c r="AT113" i="50"/>
  <c r="AT114" i="50" l="1"/>
  <c r="AU113" i="50"/>
  <c r="AU114" i="50" l="1"/>
  <c r="AT115" i="50"/>
  <c r="AT116" i="50" l="1"/>
  <c r="AU115" i="50"/>
  <c r="AT117" i="50" l="1"/>
  <c r="AU116" i="50"/>
  <c r="AU117" i="50" l="1"/>
  <c r="AT118" i="50"/>
  <c r="AT119" i="50" l="1"/>
  <c r="AU118" i="50"/>
  <c r="AU119" i="50" l="1"/>
  <c r="AT120" i="50"/>
  <c r="AU120" i="50" l="1"/>
  <c r="AT121" i="50"/>
  <c r="AT122" i="50" l="1"/>
  <c r="AU121" i="50"/>
  <c r="AU122" i="50" l="1"/>
  <c r="AT123" i="50"/>
  <c r="AT124" i="50" l="1"/>
  <c r="AU124" i="50" s="1"/>
  <c r="AU123" i="50"/>
  <c r="E193" i="50" l="1"/>
  <c r="E192" i="50"/>
  <c r="E191" i="50"/>
  <c r="E190" i="50"/>
  <c r="E189" i="50"/>
  <c r="E188" i="50"/>
  <c r="E187" i="50"/>
  <c r="E186" i="50"/>
  <c r="E185" i="50"/>
  <c r="E184" i="50"/>
  <c r="E183" i="50"/>
  <c r="E182" i="50"/>
  <c r="E181" i="50"/>
  <c r="E180" i="50"/>
  <c r="E179" i="50"/>
  <c r="E178" i="50"/>
  <c r="E177" i="50"/>
  <c r="E176" i="50"/>
  <c r="E175" i="50"/>
  <c r="E174" i="50"/>
  <c r="E173" i="50"/>
  <c r="E172" i="50"/>
  <c r="E171" i="50"/>
  <c r="E170" i="50"/>
  <c r="E169" i="50"/>
  <c r="E168" i="50"/>
  <c r="E167" i="50"/>
  <c r="E166" i="50"/>
  <c r="E165" i="50"/>
  <c r="E164" i="50"/>
  <c r="E163" i="50"/>
  <c r="E162" i="50"/>
  <c r="O161" i="50"/>
  <c r="E161" i="50"/>
  <c r="O160" i="50"/>
  <c r="E160" i="50"/>
  <c r="O159" i="50"/>
  <c r="E159" i="50"/>
  <c r="O158" i="50"/>
  <c r="E158" i="50"/>
  <c r="O157" i="50"/>
  <c r="E157" i="50"/>
  <c r="O156" i="50"/>
  <c r="E156" i="50"/>
  <c r="O155" i="50"/>
  <c r="E155" i="50"/>
  <c r="O154" i="50"/>
  <c r="E154" i="50"/>
  <c r="O153" i="50"/>
  <c r="E153" i="50"/>
  <c r="O152" i="50"/>
  <c r="E152" i="50"/>
  <c r="O151" i="50"/>
  <c r="E151" i="50"/>
  <c r="O150" i="50"/>
  <c r="E150" i="50"/>
  <c r="O149" i="50"/>
  <c r="E149" i="50"/>
  <c r="O148" i="50"/>
  <c r="E148" i="50"/>
  <c r="O147" i="50"/>
  <c r="E147" i="50"/>
  <c r="AC146" i="50"/>
  <c r="AD146" i="50" s="1"/>
  <c r="AB146" i="50"/>
  <c r="W146" i="50"/>
  <c r="O146" i="50"/>
  <c r="E146" i="50"/>
  <c r="AC145" i="50"/>
  <c r="AD145" i="50" s="1"/>
  <c r="AB145" i="50"/>
  <c r="W145" i="50"/>
  <c r="O145" i="50"/>
  <c r="E145" i="50"/>
  <c r="AC144" i="50"/>
  <c r="AD144" i="50" s="1"/>
  <c r="AB144" i="50"/>
  <c r="W144" i="50"/>
  <c r="O144" i="50"/>
  <c r="E144" i="50"/>
  <c r="AD143" i="50"/>
  <c r="AC143" i="50"/>
  <c r="AB143" i="50"/>
  <c r="W143" i="50"/>
  <c r="O143" i="50"/>
  <c r="E143" i="50"/>
  <c r="AC142" i="50"/>
  <c r="AD142" i="50" s="1"/>
  <c r="AB142" i="50"/>
  <c r="W142" i="50"/>
  <c r="O142" i="50"/>
  <c r="E142" i="50"/>
  <c r="AC141" i="50"/>
  <c r="AD141" i="50" s="1"/>
  <c r="AB141" i="50"/>
  <c r="W141" i="50"/>
  <c r="O141" i="50"/>
  <c r="E141" i="50"/>
  <c r="AC140" i="50"/>
  <c r="AD140" i="50" s="1"/>
  <c r="AB140" i="50"/>
  <c r="W140" i="50"/>
  <c r="O140" i="50"/>
  <c r="E140" i="50"/>
  <c r="O139" i="50"/>
  <c r="E139" i="50"/>
  <c r="O138" i="50"/>
  <c r="E138" i="50"/>
  <c r="O137" i="50"/>
  <c r="E137" i="50"/>
  <c r="O136" i="50"/>
  <c r="E136" i="50"/>
  <c r="O135" i="50"/>
  <c r="E135" i="50"/>
  <c r="O134" i="50"/>
  <c r="E134" i="50"/>
  <c r="O133" i="50"/>
  <c r="E133" i="50"/>
  <c r="O132" i="50"/>
  <c r="E132" i="50"/>
  <c r="O131" i="50"/>
  <c r="E131" i="50"/>
  <c r="O130" i="50"/>
  <c r="E130" i="50"/>
  <c r="O129" i="50"/>
  <c r="E129" i="50"/>
  <c r="O128" i="50"/>
  <c r="E128" i="50"/>
  <c r="O127" i="50"/>
  <c r="E127" i="50"/>
  <c r="O126" i="50"/>
  <c r="E126" i="50"/>
  <c r="O125" i="50"/>
  <c r="E125" i="50"/>
  <c r="O124" i="50"/>
  <c r="E124" i="50"/>
  <c r="O123" i="50"/>
  <c r="E123" i="50"/>
  <c r="O122" i="50"/>
  <c r="E122" i="50"/>
  <c r="O121" i="50"/>
  <c r="E121" i="50"/>
  <c r="O120" i="50"/>
  <c r="E120" i="50"/>
  <c r="O119" i="50"/>
  <c r="E119" i="50"/>
  <c r="O118" i="50"/>
  <c r="E118" i="50"/>
  <c r="O117" i="50"/>
  <c r="E117" i="50"/>
  <c r="O116" i="50"/>
  <c r="E116" i="50"/>
  <c r="O115" i="50"/>
  <c r="E115" i="50"/>
  <c r="O114" i="50"/>
  <c r="E114" i="50"/>
  <c r="W113" i="50"/>
  <c r="O113" i="50"/>
  <c r="E113" i="50"/>
  <c r="AC112" i="50"/>
  <c r="AD112" i="50" s="1"/>
  <c r="AB112" i="50"/>
  <c r="AE112" i="50" s="1"/>
  <c r="W112" i="50"/>
  <c r="O112" i="50"/>
  <c r="E112" i="50"/>
  <c r="AC111" i="50"/>
  <c r="AE111" i="50" s="1"/>
  <c r="AB111" i="50"/>
  <c r="W111" i="50"/>
  <c r="O111" i="50"/>
  <c r="E111" i="50"/>
  <c r="AC110" i="50"/>
  <c r="AD110" i="50" s="1"/>
  <c r="AB110" i="50"/>
  <c r="W110" i="50"/>
  <c r="O110" i="50"/>
  <c r="E110" i="50"/>
  <c r="AC109" i="50"/>
  <c r="AE109" i="50" s="1"/>
  <c r="AB109" i="50"/>
  <c r="W109" i="50"/>
  <c r="O109" i="50"/>
  <c r="E109" i="50"/>
  <c r="AD108" i="50"/>
  <c r="AC108" i="50"/>
  <c r="AB108" i="50"/>
  <c r="W108" i="50"/>
  <c r="O108" i="50"/>
  <c r="E108" i="50"/>
  <c r="AC107" i="50"/>
  <c r="AE107" i="50" s="1"/>
  <c r="AB107" i="50"/>
  <c r="W107" i="50"/>
  <c r="O107" i="50"/>
  <c r="E107" i="50"/>
  <c r="AC106" i="50"/>
  <c r="AE106" i="50" s="1"/>
  <c r="AB106" i="50"/>
  <c r="W106" i="50"/>
  <c r="Y116" i="50" s="1" a="1"/>
  <c r="O106" i="50"/>
  <c r="E106" i="50"/>
  <c r="O105" i="50"/>
  <c r="E105" i="50"/>
  <c r="O104" i="50"/>
  <c r="E104" i="50"/>
  <c r="O103" i="50"/>
  <c r="E103" i="50"/>
  <c r="O102" i="50"/>
  <c r="E102" i="50"/>
  <c r="O101" i="50"/>
  <c r="E101" i="50"/>
  <c r="O100" i="50"/>
  <c r="E100" i="50"/>
  <c r="O99" i="50"/>
  <c r="E99" i="50"/>
  <c r="O98" i="50"/>
  <c r="E98" i="50"/>
  <c r="O97" i="50"/>
  <c r="E97" i="50"/>
  <c r="O96" i="50"/>
  <c r="E96" i="50"/>
  <c r="O95" i="50"/>
  <c r="E95" i="50"/>
  <c r="O94" i="50"/>
  <c r="E94" i="50"/>
  <c r="O93" i="50"/>
  <c r="E93" i="50"/>
  <c r="O92" i="50"/>
  <c r="E92" i="50"/>
  <c r="O91" i="50"/>
  <c r="E91" i="50"/>
  <c r="O90" i="50"/>
  <c r="E90" i="50"/>
  <c r="AC89" i="50"/>
  <c r="AD89" i="50" s="1"/>
  <c r="AB89" i="50"/>
  <c r="W89" i="50"/>
  <c r="O89" i="50"/>
  <c r="E89" i="50"/>
  <c r="AC88" i="50"/>
  <c r="AD88" i="50" s="1"/>
  <c r="AB88" i="50"/>
  <c r="W88" i="50"/>
  <c r="O88" i="50"/>
  <c r="E88" i="50"/>
  <c r="AC87" i="50"/>
  <c r="AD87" i="50" s="1"/>
  <c r="AB87" i="50"/>
  <c r="W87" i="50"/>
  <c r="O87" i="50"/>
  <c r="E87" i="50"/>
  <c r="AC86" i="50"/>
  <c r="AD86" i="50" s="1"/>
  <c r="AB86" i="50"/>
  <c r="W86" i="50"/>
  <c r="O86" i="50"/>
  <c r="E86" i="50"/>
  <c r="AC85" i="50"/>
  <c r="AD85" i="50" s="1"/>
  <c r="AB85" i="50"/>
  <c r="W85" i="50"/>
  <c r="O85" i="50"/>
  <c r="E85" i="50"/>
  <c r="AC84" i="50"/>
  <c r="AD84" i="50" s="1"/>
  <c r="AB84" i="50"/>
  <c r="W84" i="50"/>
  <c r="O84" i="50"/>
  <c r="E84" i="50"/>
  <c r="AC83" i="50"/>
  <c r="AD83" i="50" s="1"/>
  <c r="AB83" i="50"/>
  <c r="W83" i="50"/>
  <c r="O83" i="50"/>
  <c r="E83" i="50"/>
  <c r="O82" i="50"/>
  <c r="E82" i="50"/>
  <c r="O81" i="50"/>
  <c r="E81" i="50"/>
  <c r="O80" i="50"/>
  <c r="E80" i="50"/>
  <c r="O79" i="50"/>
  <c r="E79" i="50"/>
  <c r="O78" i="50"/>
  <c r="E78" i="50"/>
  <c r="O77" i="50"/>
  <c r="E77" i="50"/>
  <c r="O76" i="50"/>
  <c r="E76" i="50"/>
  <c r="O75" i="50"/>
  <c r="E75" i="50"/>
  <c r="O74" i="50"/>
  <c r="E74" i="50"/>
  <c r="O73" i="50"/>
  <c r="E73" i="50"/>
  <c r="O72" i="50"/>
  <c r="E72" i="50"/>
  <c r="O71" i="50"/>
  <c r="E71" i="50"/>
  <c r="O70" i="50"/>
  <c r="E70" i="50"/>
  <c r="O69" i="50"/>
  <c r="E69" i="50"/>
  <c r="O68" i="50"/>
  <c r="E68" i="50"/>
  <c r="O67" i="50"/>
  <c r="E67" i="50"/>
  <c r="O66" i="50"/>
  <c r="E66" i="50"/>
  <c r="O65" i="50"/>
  <c r="E65" i="50"/>
  <c r="O64" i="50"/>
  <c r="E64" i="50"/>
  <c r="O63" i="50"/>
  <c r="E63" i="50"/>
  <c r="O62" i="50"/>
  <c r="E62" i="50"/>
  <c r="O61" i="50"/>
  <c r="E61" i="50"/>
  <c r="O60" i="50"/>
  <c r="E60" i="50"/>
  <c r="O59" i="50"/>
  <c r="E59" i="50"/>
  <c r="O58" i="50"/>
  <c r="E58" i="50"/>
  <c r="O57" i="50"/>
  <c r="E57" i="50"/>
  <c r="O56" i="50"/>
  <c r="E56" i="50"/>
  <c r="O55" i="50"/>
  <c r="E55" i="50"/>
  <c r="O54" i="50"/>
  <c r="E54" i="50"/>
  <c r="O53" i="50"/>
  <c r="E53" i="50"/>
  <c r="O52" i="50"/>
  <c r="E52" i="50"/>
  <c r="O51" i="50"/>
  <c r="E51" i="50"/>
  <c r="O50" i="50"/>
  <c r="E50" i="50"/>
  <c r="O49" i="50"/>
  <c r="E49" i="50"/>
  <c r="O48" i="50"/>
  <c r="E48" i="50"/>
  <c r="O47" i="50"/>
  <c r="E47" i="50"/>
  <c r="O46" i="50"/>
  <c r="E46" i="50"/>
  <c r="O45" i="50"/>
  <c r="E45" i="50"/>
  <c r="O44" i="50"/>
  <c r="E44" i="50"/>
  <c r="O43" i="50"/>
  <c r="E43" i="50"/>
  <c r="O42" i="50"/>
  <c r="E42" i="50"/>
  <c r="O41" i="50"/>
  <c r="E41" i="50"/>
  <c r="O40" i="50"/>
  <c r="E40" i="50"/>
  <c r="O39" i="50"/>
  <c r="E39" i="50"/>
  <c r="O38" i="50"/>
  <c r="E38" i="50"/>
  <c r="O37" i="50"/>
  <c r="E37" i="50"/>
  <c r="O36" i="50"/>
  <c r="E36" i="50"/>
  <c r="O35" i="50"/>
  <c r="E35" i="50"/>
  <c r="O34" i="50"/>
  <c r="E34" i="50"/>
  <c r="O33" i="50"/>
  <c r="E33" i="50"/>
  <c r="O32" i="50"/>
  <c r="E32" i="50"/>
  <c r="O31" i="50"/>
  <c r="E31" i="50"/>
  <c r="O30" i="50"/>
  <c r="E30" i="50"/>
  <c r="O29" i="50"/>
  <c r="E29" i="50"/>
  <c r="O28" i="50"/>
  <c r="E28" i="50"/>
  <c r="O27" i="50"/>
  <c r="E27" i="50"/>
  <c r="O26" i="50"/>
  <c r="E26" i="50"/>
  <c r="O25" i="50"/>
  <c r="E25" i="50"/>
  <c r="O24" i="50"/>
  <c r="E24" i="50"/>
  <c r="O23" i="50"/>
  <c r="E23" i="50"/>
  <c r="O22" i="50"/>
  <c r="E22" i="50"/>
  <c r="O21" i="50"/>
  <c r="E21" i="50"/>
  <c r="O20" i="50"/>
  <c r="E20" i="50"/>
  <c r="O19" i="50"/>
  <c r="E19" i="50"/>
  <c r="O18" i="50"/>
  <c r="E18" i="50"/>
  <c r="O17" i="50"/>
  <c r="E17" i="50"/>
  <c r="O16" i="50"/>
  <c r="E16" i="50"/>
  <c r="O15" i="50"/>
  <c r="E15" i="50"/>
  <c r="O14" i="50"/>
  <c r="E14" i="50"/>
  <c r="O13" i="50"/>
  <c r="E13" i="50"/>
  <c r="O12" i="50"/>
  <c r="E12" i="50"/>
  <c r="O11" i="50"/>
  <c r="E11" i="50"/>
  <c r="O10" i="50"/>
  <c r="E10" i="50"/>
  <c r="O9" i="50"/>
  <c r="E9" i="50"/>
  <c r="O8" i="50"/>
  <c r="E8" i="50"/>
  <c r="O7" i="50"/>
  <c r="E7" i="50"/>
  <c r="O6" i="50"/>
  <c r="E6" i="50"/>
  <c r="O5" i="50"/>
  <c r="E5" i="50"/>
  <c r="O4" i="50"/>
  <c r="E4" i="50"/>
  <c r="O3" i="50"/>
  <c r="E3" i="50"/>
  <c r="O2" i="50"/>
  <c r="E2" i="50"/>
  <c r="E435" i="37"/>
  <c r="E436" i="37"/>
  <c r="E437" i="37"/>
  <c r="E434" i="37"/>
  <c r="D437" i="37"/>
  <c r="E203" i="37"/>
  <c r="R209" i="37"/>
  <c r="R203" i="37"/>
  <c r="R204" i="37"/>
  <c r="R205" i="37"/>
  <c r="R206" i="37"/>
  <c r="R207" i="37"/>
  <c r="R208" i="37"/>
  <c r="R202" i="37"/>
  <c r="O218" i="37"/>
  <c r="O219" i="37" s="1"/>
  <c r="O220" i="37" s="1"/>
  <c r="O221" i="37" s="1"/>
  <c r="O222" i="37" s="1"/>
  <c r="O223" i="37" s="1"/>
  <c r="O224" i="37" s="1"/>
  <c r="O225" i="37" s="1"/>
  <c r="O226" i="37" s="1"/>
  <c r="O227" i="37" s="1"/>
  <c r="O228" i="37" s="1"/>
  <c r="O229" i="37" s="1"/>
  <c r="O230" i="37" s="1"/>
  <c r="O231" i="37" s="1"/>
  <c r="O217" i="37"/>
  <c r="R215" i="37"/>
  <c r="R217" i="37" s="1"/>
  <c r="R218" i="37" s="1"/>
  <c r="P215" i="37"/>
  <c r="P217" i="37" s="1"/>
  <c r="R213" i="37"/>
  <c r="P213" i="37"/>
  <c r="AE110" i="50" l="1"/>
  <c r="AD109" i="50"/>
  <c r="AE108" i="50"/>
  <c r="AD111" i="50"/>
  <c r="Y116" i="50"/>
  <c r="Y118" i="50" s="1"/>
  <c r="Z116" i="50"/>
  <c r="AD107" i="50"/>
  <c r="AD106" i="50"/>
  <c r="Q217" i="37"/>
  <c r="Q218" i="37" s="1"/>
  <c r="Q219" i="37" s="1"/>
  <c r="Q220" i="37" s="1"/>
  <c r="Q221" i="37" s="1"/>
  <c r="Q222" i="37" s="1"/>
  <c r="Q223" i="37" s="1"/>
  <c r="Q224" i="37" s="1"/>
  <c r="Q225" i="37" s="1"/>
  <c r="Q226" i="37" s="1"/>
  <c r="Q227" i="37" s="1"/>
  <c r="Q228" i="37" s="1"/>
  <c r="Q229" i="37" s="1"/>
  <c r="Q230" i="37" s="1"/>
  <c r="Q231" i="37" s="1"/>
  <c r="P219" i="37"/>
  <c r="P221" i="37" s="1"/>
  <c r="P223" i="37" s="1"/>
  <c r="P225" i="37" s="1"/>
  <c r="P227" i="37" s="1"/>
  <c r="P229" i="37" s="1"/>
  <c r="P231" i="37" s="1"/>
  <c r="P218" i="37"/>
  <c r="P220" i="37" s="1"/>
  <c r="P222" i="37" s="1"/>
  <c r="P224" i="37" s="1"/>
  <c r="P226" i="37" s="1"/>
  <c r="P228" i="37" s="1"/>
  <c r="P230" i="37" s="1"/>
  <c r="S218" i="37"/>
  <c r="R219" i="37"/>
  <c r="S217" i="37"/>
  <c r="R220" i="37" l="1"/>
  <c r="S219" i="37"/>
  <c r="R221" i="37" l="1"/>
  <c r="S220" i="37"/>
  <c r="S221" i="37" l="1"/>
  <c r="R222" i="37"/>
  <c r="R223" i="37" l="1"/>
  <c r="S222" i="37"/>
  <c r="S223" i="37" l="1"/>
  <c r="R224" i="37"/>
  <c r="S224" i="37" l="1"/>
  <c r="R225" i="37"/>
  <c r="R226" i="37" l="1"/>
  <c r="S225" i="37"/>
  <c r="R227" i="37" l="1"/>
  <c r="S226" i="37"/>
  <c r="R228" i="37" l="1"/>
  <c r="S227" i="37"/>
  <c r="R229" i="37" l="1"/>
  <c r="S228" i="37"/>
  <c r="S229" i="37" l="1"/>
  <c r="R230" i="37"/>
  <c r="R231" i="37" l="1"/>
  <c r="S231" i="37" s="1"/>
  <c r="S230" i="37"/>
  <c r="G419" i="37" l="1"/>
  <c r="F419" i="37"/>
  <c r="G418" i="37"/>
  <c r="F418" i="37"/>
  <c r="G417" i="37"/>
  <c r="D417" i="37"/>
  <c r="F417" i="37" s="1"/>
  <c r="G416" i="37"/>
  <c r="F416" i="37"/>
  <c r="D416" i="37"/>
  <c r="G415" i="37"/>
  <c r="D415" i="37"/>
  <c r="F415" i="37" s="1"/>
  <c r="G414" i="37"/>
  <c r="D414" i="37"/>
  <c r="F414" i="37" s="1"/>
  <c r="G413" i="37"/>
  <c r="D413" i="37"/>
  <c r="F413" i="37" s="1"/>
  <c r="G412" i="37"/>
  <c r="D412" i="37"/>
  <c r="F412" i="37" s="1"/>
  <c r="G411" i="37"/>
  <c r="D411" i="37"/>
  <c r="F411" i="37" s="1"/>
  <c r="G410" i="37"/>
  <c r="D410" i="37"/>
  <c r="F410" i="37" s="1"/>
  <c r="G409" i="37"/>
  <c r="D409" i="37"/>
  <c r="F409" i="37" s="1"/>
  <c r="G408" i="37"/>
  <c r="D408" i="37"/>
  <c r="F408" i="37" s="1"/>
  <c r="G407" i="37"/>
  <c r="D407" i="37"/>
  <c r="F407" i="37" s="1"/>
  <c r="G406" i="37"/>
  <c r="D406" i="37"/>
  <c r="F406" i="37" s="1"/>
  <c r="G405" i="37"/>
  <c r="D405" i="37"/>
  <c r="F405" i="37" s="1"/>
  <c r="G404" i="37"/>
  <c r="D404" i="37"/>
  <c r="D420" i="37" l="1"/>
  <c r="F420" i="37" s="1"/>
  <c r="F404" i="37"/>
  <c r="AL38" i="26" l="1"/>
  <c r="AL39" i="26" s="1"/>
  <c r="AM37" i="26"/>
  <c r="AL37" i="26"/>
  <c r="AJ37" i="26"/>
  <c r="AJ38" i="26" s="1"/>
  <c r="AK36" i="26"/>
  <c r="AE23" i="45"/>
  <c r="AE22" i="45"/>
  <c r="AE21" i="45"/>
  <c r="AG20" i="45"/>
  <c r="AE20" i="45"/>
  <c r="AH19" i="45"/>
  <c r="AE19" i="45"/>
  <c r="AE18" i="45"/>
  <c r="AE17" i="45"/>
  <c r="AE16" i="45"/>
  <c r="AF14" i="45" a="1"/>
  <c r="AG14" i="45" s="1"/>
  <c r="AM12" i="45"/>
  <c r="AG12" i="45"/>
  <c r="AM11" i="45"/>
  <c r="AG11" i="45"/>
  <c r="AM10" i="45"/>
  <c r="AG10" i="45"/>
  <c r="AM9" i="45"/>
  <c r="AG9" i="45"/>
  <c r="AL8" i="45"/>
  <c r="AM8" i="45" s="1"/>
  <c r="AG8" i="45"/>
  <c r="AM7" i="45"/>
  <c r="AG7" i="45"/>
  <c r="AM6" i="45"/>
  <c r="AG6" i="45"/>
  <c r="AM5" i="45"/>
  <c r="AG5" i="45"/>
  <c r="O81" i="43" a="1"/>
  <c r="O81" i="43" s="1"/>
  <c r="E25" i="1"/>
  <c r="O85" i="43"/>
  <c r="O87" i="43" s="1"/>
  <c r="O88" i="43" s="1"/>
  <c r="P84" i="43"/>
  <c r="K82" i="43"/>
  <c r="M82" i="43" s="1"/>
  <c r="K83" i="43"/>
  <c r="M83" i="43" s="1"/>
  <c r="K84" i="43"/>
  <c r="M84" i="43" s="1"/>
  <c r="K85" i="43"/>
  <c r="M85" i="43" s="1"/>
  <c r="K86" i="43"/>
  <c r="M86" i="43" s="1"/>
  <c r="K87" i="43"/>
  <c r="M87" i="43" s="1"/>
  <c r="K88" i="43"/>
  <c r="M88" i="43" s="1"/>
  <c r="K81" i="43"/>
  <c r="M81" i="43" s="1"/>
  <c r="P109" i="43"/>
  <c r="P74" i="43"/>
  <c r="Q74" i="43" s="1"/>
  <c r="Q71" i="43"/>
  <c r="Q72" i="43"/>
  <c r="O71" i="43"/>
  <c r="O72" i="43"/>
  <c r="Q75" i="43"/>
  <c r="Q76" i="43"/>
  <c r="Q77" i="43"/>
  <c r="Q78" i="43"/>
  <c r="Q73" i="43"/>
  <c r="O74" i="43"/>
  <c r="O75" i="43"/>
  <c r="O76" i="43"/>
  <c r="O77" i="43"/>
  <c r="O78" i="43"/>
  <c r="O73" i="43"/>
  <c r="Q85" i="43" l="1"/>
  <c r="AK38" i="26"/>
  <c r="AJ39" i="26"/>
  <c r="AM39" i="26"/>
  <c r="AN39" i="26" s="1"/>
  <c r="AL40" i="26"/>
  <c r="AM38" i="26"/>
  <c r="AN38" i="26" s="1"/>
  <c r="AK37" i="26"/>
  <c r="AG21" i="45"/>
  <c r="AF14" i="45"/>
  <c r="P81" i="43"/>
  <c r="O86" i="43" s="1"/>
  <c r="AL41" i="26" l="1"/>
  <c r="AM40" i="26"/>
  <c r="AN40" i="26" s="1"/>
  <c r="AJ40" i="26"/>
  <c r="AK39" i="26"/>
  <c r="AJ41" i="26" l="1"/>
  <c r="AK40" i="26"/>
  <c r="AM41" i="26"/>
  <c r="AN41" i="26" s="1"/>
  <c r="AL42" i="26"/>
  <c r="AM42" i="26" l="1"/>
  <c r="AN42" i="26" s="1"/>
  <c r="AL43" i="26"/>
  <c r="AK41" i="26"/>
  <c r="AJ42" i="26"/>
  <c r="AJ43" i="26" l="1"/>
  <c r="AK42" i="26"/>
  <c r="AL44" i="26"/>
  <c r="AM43" i="26"/>
  <c r="AN43" i="26" s="1"/>
  <c r="AM44" i="26" l="1"/>
  <c r="AN44" i="26" s="1"/>
  <c r="AL45" i="26"/>
  <c r="AK43" i="26"/>
  <c r="AJ44" i="26"/>
  <c r="AK44" i="26" l="1"/>
  <c r="AJ45" i="26"/>
  <c r="AL46" i="26"/>
  <c r="AM45" i="26"/>
  <c r="AN45" i="26" s="1"/>
  <c r="AJ46" i="26" l="1"/>
  <c r="AK45" i="26"/>
  <c r="AL47" i="26"/>
  <c r="AM46" i="26"/>
  <c r="AN46" i="26" s="1"/>
  <c r="AM47" i="26" l="1"/>
  <c r="AN47" i="26" s="1"/>
  <c r="AL48" i="26"/>
  <c r="AK46" i="26"/>
  <c r="AJ47" i="26"/>
  <c r="AJ48" i="26" l="1"/>
  <c r="AK47" i="26"/>
  <c r="AL49" i="26"/>
  <c r="AM48" i="26"/>
  <c r="AN48" i="26" s="1"/>
  <c r="AM49" i="26" l="1"/>
  <c r="AN49" i="26" s="1"/>
  <c r="AL50" i="26"/>
  <c r="AJ49" i="26"/>
  <c r="AK48" i="26"/>
  <c r="AK49" i="26" l="1"/>
  <c r="AJ50" i="26"/>
  <c r="AM50" i="26"/>
  <c r="AN50" i="26" s="1"/>
  <c r="AL51" i="26"/>
  <c r="AL52" i="26" l="1"/>
  <c r="AM52" i="26" s="1"/>
  <c r="AN52" i="26" s="1"/>
  <c r="AM51" i="26"/>
  <c r="AN51" i="26" s="1"/>
  <c r="AJ51" i="26"/>
  <c r="AK50" i="26"/>
  <c r="AK51" i="26" l="1"/>
  <c r="AJ52" i="26"/>
  <c r="AK52" i="26" s="1"/>
  <c r="K133" i="43" l="1"/>
  <c r="K134" i="43" s="1"/>
  <c r="K135" i="43" s="1"/>
  <c r="K136" i="43" s="1"/>
  <c r="K137" i="43" s="1"/>
  <c r="K138" i="43" s="1"/>
  <c r="K139" i="43" s="1"/>
  <c r="K140" i="43" s="1"/>
  <c r="K141" i="43" s="1"/>
  <c r="K142" i="43" s="1"/>
  <c r="K143" i="43" s="1"/>
  <c r="K144" i="43" s="1"/>
  <c r="K145" i="43" s="1"/>
  <c r="K146" i="43" s="1"/>
  <c r="K147" i="43" s="1"/>
  <c r="N131" i="43"/>
  <c r="N133" i="43" s="1"/>
  <c r="N134" i="43" s="1"/>
  <c r="L131" i="43"/>
  <c r="L133" i="43" s="1"/>
  <c r="M133" i="43" s="1"/>
  <c r="M134" i="43" s="1"/>
  <c r="M135" i="43" s="1"/>
  <c r="M136" i="43" s="1"/>
  <c r="M137" i="43" s="1"/>
  <c r="M138" i="43" s="1"/>
  <c r="M139" i="43" s="1"/>
  <c r="M140" i="43" s="1"/>
  <c r="M141" i="43" s="1"/>
  <c r="M142" i="43" s="1"/>
  <c r="M143" i="43" s="1"/>
  <c r="M144" i="43" s="1"/>
  <c r="M145" i="43" s="1"/>
  <c r="M146" i="43" s="1"/>
  <c r="M147" i="43" s="1"/>
  <c r="N129" i="43"/>
  <c r="L129" i="43"/>
  <c r="G74" i="43"/>
  <c r="F74" i="43"/>
  <c r="G62" i="43"/>
  <c r="F62" i="43"/>
  <c r="L371" i="37"/>
  <c r="M371" i="37"/>
  <c r="N371" i="37"/>
  <c r="O371" i="37"/>
  <c r="P371" i="37"/>
  <c r="Q371" i="37"/>
  <c r="R371" i="37"/>
  <c r="L372" i="37"/>
  <c r="M372" i="37"/>
  <c r="N372" i="37"/>
  <c r="O372" i="37"/>
  <c r="P372" i="37"/>
  <c r="Q372" i="37"/>
  <c r="R372" i="37"/>
  <c r="L373" i="37"/>
  <c r="M373" i="37"/>
  <c r="N373" i="37"/>
  <c r="O373" i="37"/>
  <c r="P373" i="37"/>
  <c r="Q373" i="37"/>
  <c r="R373" i="37"/>
  <c r="L374" i="37"/>
  <c r="M374" i="37"/>
  <c r="N374" i="37"/>
  <c r="O374" i="37"/>
  <c r="P374" i="37"/>
  <c r="Q374" i="37"/>
  <c r="R374" i="37"/>
  <c r="L375" i="37"/>
  <c r="M375" i="37"/>
  <c r="N375" i="37"/>
  <c r="O375" i="37"/>
  <c r="P375" i="37"/>
  <c r="Q375" i="37"/>
  <c r="R375" i="37"/>
  <c r="L376" i="37"/>
  <c r="M376" i="37"/>
  <c r="N376" i="37"/>
  <c r="O376" i="37"/>
  <c r="P376" i="37"/>
  <c r="Q376" i="37"/>
  <c r="R376" i="37"/>
  <c r="L377" i="37"/>
  <c r="M377" i="37"/>
  <c r="N377" i="37"/>
  <c r="O377" i="37"/>
  <c r="P377" i="37"/>
  <c r="Q377" i="37"/>
  <c r="R377" i="37"/>
  <c r="M370" i="37"/>
  <c r="N370" i="37"/>
  <c r="O370" i="37"/>
  <c r="P370" i="37"/>
  <c r="Q370" i="37"/>
  <c r="R370" i="37"/>
  <c r="L370" i="37"/>
  <c r="I371" i="37"/>
  <c r="I372" i="37"/>
  <c r="I373" i="37"/>
  <c r="I374" i="37"/>
  <c r="I375" i="37"/>
  <c r="I376" i="37"/>
  <c r="I377" i="37"/>
  <c r="I370" i="37"/>
  <c r="E362" i="37"/>
  <c r="E363" i="37"/>
  <c r="E364" i="37"/>
  <c r="E361" i="37"/>
  <c r="D365" i="37"/>
  <c r="D366" i="37" s="1"/>
  <c r="E366" i="37" s="1"/>
  <c r="E351" i="37"/>
  <c r="E353" i="37" s="1"/>
  <c r="E352" i="37"/>
  <c r="E302" i="37"/>
  <c r="P19" i="44"/>
  <c r="O19" i="44"/>
  <c r="P18" i="44"/>
  <c r="O18" i="44"/>
  <c r="P17" i="44"/>
  <c r="O17" i="44"/>
  <c r="P16" i="44"/>
  <c r="O16" i="44"/>
  <c r="P15" i="44"/>
  <c r="O15" i="44"/>
  <c r="P14" i="44"/>
  <c r="O14" i="44"/>
  <c r="P13" i="44"/>
  <c r="O13" i="44"/>
  <c r="G91" i="44"/>
  <c r="F91" i="44"/>
  <c r="G86" i="44"/>
  <c r="P12" i="44" s="1"/>
  <c r="F86" i="44"/>
  <c r="O12" i="44" s="1"/>
  <c r="G79" i="44"/>
  <c r="F79" i="44"/>
  <c r="G74" i="44"/>
  <c r="F74" i="44"/>
  <c r="G67" i="44"/>
  <c r="F67" i="44"/>
  <c r="G62" i="44"/>
  <c r="P10" i="44" s="1"/>
  <c r="F62" i="44"/>
  <c r="G55" i="44"/>
  <c r="F55" i="44"/>
  <c r="G50" i="44"/>
  <c r="F50" i="44"/>
  <c r="G43" i="44"/>
  <c r="F43" i="44"/>
  <c r="G38" i="44"/>
  <c r="P8" i="44" s="1"/>
  <c r="F38" i="44"/>
  <c r="O8" i="44" s="1"/>
  <c r="G31" i="44"/>
  <c r="F31" i="44"/>
  <c r="G26" i="44"/>
  <c r="F26" i="44"/>
  <c r="G19" i="44"/>
  <c r="F19" i="44"/>
  <c r="G14" i="44"/>
  <c r="F14" i="44"/>
  <c r="P11" i="44"/>
  <c r="O11" i="44"/>
  <c r="O10" i="44"/>
  <c r="P9" i="44"/>
  <c r="O9" i="44"/>
  <c r="P7" i="44"/>
  <c r="O7" i="44"/>
  <c r="P6" i="44"/>
  <c r="Q6" i="44" s="1"/>
  <c r="O6" i="44"/>
  <c r="P5" i="44"/>
  <c r="O5" i="44"/>
  <c r="Q19" i="44"/>
  <c r="G7" i="44"/>
  <c r="F7" i="44"/>
  <c r="L4" i="44"/>
  <c r="L5" i="44" s="1"/>
  <c r="J4" i="44"/>
  <c r="K4" i="44" s="1"/>
  <c r="L3" i="44"/>
  <c r="K3" i="44"/>
  <c r="G2" i="44"/>
  <c r="Q5" i="44" s="1"/>
  <c r="F2" i="44"/>
  <c r="S371" i="37" l="1"/>
  <c r="E355" i="37"/>
  <c r="S373" i="37"/>
  <c r="S372" i="37"/>
  <c r="S370" i="37"/>
  <c r="S376" i="37"/>
  <c r="S374" i="37"/>
  <c r="E365" i="37"/>
  <c r="S377" i="37"/>
  <c r="S375" i="37"/>
  <c r="O134" i="43"/>
  <c r="N135" i="43"/>
  <c r="O133" i="43"/>
  <c r="L134" i="43"/>
  <c r="L136" i="43" s="1"/>
  <c r="L138" i="43" s="1"/>
  <c r="L140" i="43" s="1"/>
  <c r="L142" i="43" s="1"/>
  <c r="L144" i="43" s="1"/>
  <c r="L146" i="43" s="1"/>
  <c r="L135" i="43"/>
  <c r="L137" i="43" s="1"/>
  <c r="L139" i="43" s="1"/>
  <c r="L141" i="43" s="1"/>
  <c r="L143" i="43" s="1"/>
  <c r="L145" i="43" s="1"/>
  <c r="L147" i="43" s="1"/>
  <c r="E354" i="37"/>
  <c r="D356" i="37"/>
  <c r="E356" i="37" s="1"/>
  <c r="Q15" i="44"/>
  <c r="Q17" i="44"/>
  <c r="Q7" i="44"/>
  <c r="Q11" i="44"/>
  <c r="Q9" i="44"/>
  <c r="Q18" i="44"/>
  <c r="M5" i="44"/>
  <c r="N5" i="44" s="1"/>
  <c r="L6" i="44"/>
  <c r="Q14" i="44"/>
  <c r="Q16" i="44"/>
  <c r="Q13" i="44"/>
  <c r="Q8" i="44"/>
  <c r="Q10" i="44"/>
  <c r="Q12" i="44"/>
  <c r="J5" i="44"/>
  <c r="N136" i="43" l="1"/>
  <c r="O135" i="43"/>
  <c r="D357" i="37"/>
  <c r="E357" i="37" s="1"/>
  <c r="M6" i="44"/>
  <c r="N6" i="44" s="1"/>
  <c r="L7" i="44"/>
  <c r="K5" i="44"/>
  <c r="J6" i="44"/>
  <c r="N137" i="43" l="1"/>
  <c r="O136" i="43"/>
  <c r="L8" i="44"/>
  <c r="M7" i="44"/>
  <c r="N7" i="44" s="1"/>
  <c r="J7" i="44"/>
  <c r="K6" i="44"/>
  <c r="O137" i="43" l="1"/>
  <c r="N138" i="43"/>
  <c r="J8" i="44"/>
  <c r="K7" i="44"/>
  <c r="L9" i="44"/>
  <c r="M8" i="44"/>
  <c r="N8" i="44" s="1"/>
  <c r="N139" i="43" l="1"/>
  <c r="O138" i="43"/>
  <c r="L10" i="44"/>
  <c r="M9" i="44"/>
  <c r="N9" i="44" s="1"/>
  <c r="J9" i="44"/>
  <c r="K8" i="44"/>
  <c r="O139" i="43" l="1"/>
  <c r="N140" i="43"/>
  <c r="J10" i="44"/>
  <c r="K9" i="44"/>
  <c r="L11" i="44"/>
  <c r="M10" i="44"/>
  <c r="N10" i="44" s="1"/>
  <c r="O140" i="43" l="1"/>
  <c r="N141" i="43"/>
  <c r="L12" i="44"/>
  <c r="M11" i="44"/>
  <c r="N11" i="44" s="1"/>
  <c r="J11" i="44"/>
  <c r="K10" i="44"/>
  <c r="N142" i="43" l="1"/>
  <c r="O141" i="43"/>
  <c r="K11" i="44"/>
  <c r="J12" i="44"/>
  <c r="O21" i="44"/>
  <c r="L13" i="44"/>
  <c r="M12" i="44"/>
  <c r="N12" i="44" s="1"/>
  <c r="O142" i="43" l="1"/>
  <c r="N143" i="43"/>
  <c r="L14" i="44"/>
  <c r="M13" i="44"/>
  <c r="N13" i="44" s="1"/>
  <c r="J13" i="44"/>
  <c r="K12" i="44"/>
  <c r="N144" i="43" l="1"/>
  <c r="O143" i="43"/>
  <c r="J14" i="44"/>
  <c r="K13" i="44"/>
  <c r="L15" i="44"/>
  <c r="M14" i="44"/>
  <c r="N14" i="44" s="1"/>
  <c r="N145" i="43" l="1"/>
  <c r="O144" i="43"/>
  <c r="M15" i="44"/>
  <c r="N15" i="44" s="1"/>
  <c r="L16" i="44"/>
  <c r="J15" i="44"/>
  <c r="K14" i="44"/>
  <c r="O145" i="43" l="1"/>
  <c r="N146" i="43"/>
  <c r="J16" i="44"/>
  <c r="K15" i="44"/>
  <c r="L17" i="44"/>
  <c r="M16" i="44"/>
  <c r="N16" i="44" s="1"/>
  <c r="N147" i="43" l="1"/>
  <c r="O147" i="43" s="1"/>
  <c r="O146" i="43"/>
  <c r="L18" i="44"/>
  <c r="M17" i="44"/>
  <c r="N17" i="44" s="1"/>
  <c r="K16" i="44"/>
  <c r="J17" i="44"/>
  <c r="L19" i="44" l="1"/>
  <c r="M19" i="44" s="1"/>
  <c r="N19" i="44" s="1"/>
  <c r="M18" i="44"/>
  <c r="N18" i="44" s="1"/>
  <c r="J18" i="44"/>
  <c r="K17" i="44"/>
  <c r="J19" i="44" l="1"/>
  <c r="K19" i="44" s="1"/>
  <c r="K18" i="44"/>
  <c r="D55" i="43" l="1"/>
  <c r="E55" i="43" s="1"/>
  <c r="E53" i="43"/>
  <c r="E56" i="43" s="1"/>
  <c r="E46" i="43" l="1"/>
  <c r="E48" i="43"/>
  <c r="D45" i="43"/>
  <c r="E45" i="43" s="1"/>
  <c r="G39" i="43"/>
  <c r="F39" i="43"/>
  <c r="G38" i="43"/>
  <c r="D38" i="43"/>
  <c r="F38" i="43" s="1"/>
  <c r="G37" i="43"/>
  <c r="D37" i="43"/>
  <c r="F37" i="43" s="1"/>
  <c r="G36" i="43"/>
  <c r="D36" i="43"/>
  <c r="F36" i="43" s="1"/>
  <c r="G35" i="43"/>
  <c r="F35" i="43"/>
  <c r="G34" i="43"/>
  <c r="D34" i="43"/>
  <c r="F34" i="43" s="1"/>
  <c r="G33" i="43"/>
  <c r="D33" i="43"/>
  <c r="F33" i="43" s="1"/>
  <c r="G32" i="43"/>
  <c r="D32" i="43"/>
  <c r="F32" i="43" s="1"/>
  <c r="G31" i="43"/>
  <c r="D31" i="43"/>
  <c r="F31" i="43" s="1"/>
  <c r="G30" i="43"/>
  <c r="D30" i="43"/>
  <c r="F30" i="43" s="1"/>
  <c r="G29" i="43"/>
  <c r="D29" i="43"/>
  <c r="F29" i="43" s="1"/>
  <c r="G28" i="43"/>
  <c r="D28" i="43"/>
  <c r="F28" i="43" s="1"/>
  <c r="G27" i="43"/>
  <c r="D27" i="43"/>
  <c r="F27" i="43" s="1"/>
  <c r="G26" i="43"/>
  <c r="D26" i="43"/>
  <c r="F26" i="43" s="1"/>
  <c r="G25" i="43"/>
  <c r="D25" i="43"/>
  <c r="F25" i="43" s="1"/>
  <c r="G24" i="43"/>
  <c r="D24" i="43"/>
  <c r="E314" i="37"/>
  <c r="E312" i="37"/>
  <c r="E315" i="37" s="1"/>
  <c r="E305" i="37"/>
  <c r="E304" i="37"/>
  <c r="E204" i="37"/>
  <c r="E205" i="37"/>
  <c r="E206" i="37"/>
  <c r="E207" i="37"/>
  <c r="E208" i="37"/>
  <c r="E209" i="37"/>
  <c r="E210" i="37"/>
  <c r="E219" i="37"/>
  <c r="E220" i="37"/>
  <c r="E221" i="37"/>
  <c r="E222" i="37"/>
  <c r="E223" i="37"/>
  <c r="E224" i="37"/>
  <c r="E225" i="37"/>
  <c r="E226" i="37"/>
  <c r="E235" i="37"/>
  <c r="E236" i="37"/>
  <c r="E237" i="37"/>
  <c r="E238" i="37"/>
  <c r="E239" i="37"/>
  <c r="E240" i="37"/>
  <c r="E241" i="37"/>
  <c r="E242" i="37"/>
  <c r="E251" i="37"/>
  <c r="E252" i="37"/>
  <c r="E253" i="37"/>
  <c r="E254" i="37"/>
  <c r="E255" i="37"/>
  <c r="E256" i="37"/>
  <c r="E257" i="37"/>
  <c r="E258" i="37"/>
  <c r="E267" i="37"/>
  <c r="E268" i="37"/>
  <c r="E269" i="37"/>
  <c r="E270" i="37"/>
  <c r="E271" i="37"/>
  <c r="E272" i="37"/>
  <c r="E273" i="37"/>
  <c r="E283" i="37"/>
  <c r="E284" i="37"/>
  <c r="E285" i="37"/>
  <c r="E286" i="37"/>
  <c r="E287" i="37"/>
  <c r="E288" i="37"/>
  <c r="E289" i="37"/>
  <c r="E290" i="37"/>
  <c r="E316" i="37" l="1"/>
  <c r="D40" i="43"/>
  <c r="D54" i="43" s="1"/>
  <c r="F24" i="43"/>
  <c r="E317" i="37"/>
  <c r="E306" i="37"/>
  <c r="D57" i="43" l="1"/>
  <c r="E57" i="43" s="1"/>
  <c r="E54" i="43"/>
  <c r="D58" i="43"/>
  <c r="E58" i="43" s="1"/>
  <c r="F40" i="43"/>
  <c r="D44" i="43"/>
  <c r="E56" i="37"/>
  <c r="E58" i="37" s="1"/>
  <c r="A65" i="37"/>
  <c r="D61" i="37"/>
  <c r="D62" i="37" s="1"/>
  <c r="B53" i="37"/>
  <c r="AF55" i="26"/>
  <c r="AF54" i="26"/>
  <c r="AD55" i="26" a="1"/>
  <c r="AD55" i="26" s="1"/>
  <c r="AD54" i="26" a="1"/>
  <c r="AD54" i="26" s="1"/>
  <c r="D31" i="37"/>
  <c r="D32" i="37"/>
  <c r="D34" i="37"/>
  <c r="F34" i="37" s="1"/>
  <c r="D35" i="37"/>
  <c r="F35" i="37" s="1"/>
  <c r="D30" i="37"/>
  <c r="F30" i="37" s="1"/>
  <c r="G29" i="37"/>
  <c r="G30" i="37"/>
  <c r="G31" i="37"/>
  <c r="G32" i="37"/>
  <c r="G33" i="37"/>
  <c r="G34" i="37"/>
  <c r="G35" i="37"/>
  <c r="G36" i="37"/>
  <c r="G37" i="37"/>
  <c r="F31" i="37"/>
  <c r="F32" i="37"/>
  <c r="F33" i="37"/>
  <c r="F37" i="37"/>
  <c r="D36" i="37"/>
  <c r="F36" i="37" s="1"/>
  <c r="D29" i="37"/>
  <c r="F29" i="37" s="1"/>
  <c r="G28" i="37"/>
  <c r="D28" i="37"/>
  <c r="F28" i="37" s="1"/>
  <c r="G27" i="37"/>
  <c r="D27" i="37"/>
  <c r="F27" i="37" s="1"/>
  <c r="G26" i="37"/>
  <c r="D26" i="37"/>
  <c r="F26" i="37" s="1"/>
  <c r="G25" i="37"/>
  <c r="D25" i="37"/>
  <c r="F25" i="37" s="1"/>
  <c r="G24" i="37"/>
  <c r="D24" i="37"/>
  <c r="F24" i="37" s="1"/>
  <c r="G23" i="37"/>
  <c r="D23" i="37"/>
  <c r="F23" i="37" s="1"/>
  <c r="G22" i="37"/>
  <c r="D22" i="37"/>
  <c r="D47" i="43" l="1"/>
  <c r="E47" i="43" s="1"/>
  <c r="E44" i="43"/>
  <c r="E62" i="37"/>
  <c r="E60" i="37"/>
  <c r="E57" i="37"/>
  <c r="E61" i="37"/>
  <c r="E59" i="37"/>
  <c r="AE55" i="26"/>
  <c r="AE54" i="26"/>
  <c r="D38" i="37"/>
  <c r="F22" i="37"/>
  <c r="F38" i="37" l="1"/>
  <c r="D303" i="37"/>
  <c r="K60" i="28"/>
  <c r="C60" i="28"/>
  <c r="D307" i="37" l="1"/>
  <c r="E303" i="37"/>
  <c r="D33" i="36"/>
  <c r="D32" i="36"/>
  <c r="D31" i="36"/>
  <c r="M29" i="36"/>
  <c r="M30" i="36"/>
  <c r="M31" i="36"/>
  <c r="M32" i="36"/>
  <c r="M33" i="36"/>
  <c r="M34" i="36"/>
  <c r="M28" i="36"/>
  <c r="N34" i="36"/>
  <c r="N33" i="36"/>
  <c r="N32" i="36"/>
  <c r="N31" i="36"/>
  <c r="N30" i="36"/>
  <c r="N29" i="36"/>
  <c r="N28" i="36"/>
  <c r="J27" i="36"/>
  <c r="E26" i="36"/>
  <c r="E34" i="36" s="1"/>
  <c r="D30" i="36"/>
  <c r="E30" i="36" s="1"/>
  <c r="D29" i="36"/>
  <c r="E29" i="36" s="1"/>
  <c r="D28" i="36"/>
  <c r="E28" i="36" s="1"/>
  <c r="G23" i="36"/>
  <c r="F23" i="36"/>
  <c r="G22" i="36"/>
  <c r="D22" i="36"/>
  <c r="F22" i="36" s="1"/>
  <c r="G21" i="36"/>
  <c r="D21" i="36"/>
  <c r="F21" i="36" s="1"/>
  <c r="G20" i="36"/>
  <c r="D20" i="36"/>
  <c r="F20" i="36" s="1"/>
  <c r="G19" i="36"/>
  <c r="D19" i="36"/>
  <c r="F19" i="36" s="1"/>
  <c r="G18" i="36"/>
  <c r="D18" i="36"/>
  <c r="F18" i="36" s="1"/>
  <c r="G17" i="36"/>
  <c r="D17" i="36"/>
  <c r="F17" i="36" s="1"/>
  <c r="G16" i="36"/>
  <c r="D16" i="36"/>
  <c r="V122" i="35"/>
  <c r="S122" i="35"/>
  <c r="V121" i="35"/>
  <c r="S121" i="35"/>
  <c r="V120" i="35"/>
  <c r="S120" i="35"/>
  <c r="V119" i="35"/>
  <c r="S119" i="35"/>
  <c r="V118" i="35"/>
  <c r="S118" i="35"/>
  <c r="V117" i="35"/>
  <c r="S117" i="35"/>
  <c r="V116" i="35"/>
  <c r="S116" i="35"/>
  <c r="V115" i="35"/>
  <c r="S115" i="35"/>
  <c r="V114" i="35"/>
  <c r="S114" i="35"/>
  <c r="V113" i="35"/>
  <c r="S113" i="35"/>
  <c r="V112" i="35"/>
  <c r="S112" i="35"/>
  <c r="V111" i="35"/>
  <c r="S111" i="35"/>
  <c r="V110" i="35"/>
  <c r="S110" i="35"/>
  <c r="V109" i="35"/>
  <c r="S109" i="35"/>
  <c r="V108" i="35"/>
  <c r="S108" i="35"/>
  <c r="V107" i="35"/>
  <c r="S107" i="35"/>
  <c r="V106" i="35"/>
  <c r="S106" i="35"/>
  <c r="V105" i="35"/>
  <c r="S105" i="35"/>
  <c r="M166" i="35"/>
  <c r="L166" i="35"/>
  <c r="M162" i="35"/>
  <c r="L162" i="35"/>
  <c r="M158" i="35"/>
  <c r="L158" i="35"/>
  <c r="M154" i="35"/>
  <c r="L154" i="35"/>
  <c r="M150" i="35"/>
  <c r="L150" i="35"/>
  <c r="M146" i="35"/>
  <c r="L146" i="35"/>
  <c r="M142" i="35"/>
  <c r="L142" i="35"/>
  <c r="M138" i="35"/>
  <c r="L138" i="35"/>
  <c r="M134" i="35"/>
  <c r="L134" i="35"/>
  <c r="M130" i="35"/>
  <c r="L130" i="35"/>
  <c r="M126" i="35"/>
  <c r="L126" i="35"/>
  <c r="M122" i="35"/>
  <c r="L122" i="35"/>
  <c r="M118" i="35"/>
  <c r="L118" i="35"/>
  <c r="M114" i="35"/>
  <c r="L114" i="35"/>
  <c r="M110" i="35"/>
  <c r="L110" i="35"/>
  <c r="M106" i="35"/>
  <c r="L106" i="35"/>
  <c r="M102" i="35"/>
  <c r="L102" i="35"/>
  <c r="M98" i="35"/>
  <c r="L98" i="35"/>
  <c r="Y87" i="35" a="1"/>
  <c r="Y87" i="35" s="1"/>
  <c r="AC77" i="35"/>
  <c r="AC78" i="35" s="1"/>
  <c r="AE76" i="35"/>
  <c r="AF76" i="35" s="1"/>
  <c r="AC76" i="35"/>
  <c r="AD76" i="35" s="1"/>
  <c r="AD75" i="35"/>
  <c r="Q61" i="33"/>
  <c r="P62" i="33"/>
  <c r="P63" i="33" s="1"/>
  <c r="P64" i="33" s="1"/>
  <c r="P65" i="33" s="1"/>
  <c r="P66" i="33" s="1"/>
  <c r="P67" i="33" s="1"/>
  <c r="P68" i="33" s="1"/>
  <c r="T62" i="33"/>
  <c r="T63" i="33"/>
  <c r="T64" i="33"/>
  <c r="T65" i="33"/>
  <c r="T66" i="33"/>
  <c r="T67" i="33"/>
  <c r="T68" i="33"/>
  <c r="U82" i="35"/>
  <c r="U81" i="35"/>
  <c r="U80" i="35"/>
  <c r="U79" i="35"/>
  <c r="U78" i="35"/>
  <c r="U77" i="35"/>
  <c r="U76" i="35"/>
  <c r="R75" i="35"/>
  <c r="AQ3" i="35"/>
  <c r="AQ4" i="35"/>
  <c r="AQ2" i="35"/>
  <c r="AL3" i="35"/>
  <c r="AL4" i="35"/>
  <c r="AL5" i="35"/>
  <c r="AL6" i="35"/>
  <c r="AL7" i="35"/>
  <c r="AL2" i="35"/>
  <c r="AF14" i="35"/>
  <c r="AE14" i="35"/>
  <c r="AF8" i="35"/>
  <c r="AE8" i="35"/>
  <c r="AF2" i="35"/>
  <c r="AE2" i="35"/>
  <c r="W17" i="35"/>
  <c r="V17" i="35"/>
  <c r="W14" i="35"/>
  <c r="V14" i="35"/>
  <c r="W11" i="35"/>
  <c r="V11" i="35"/>
  <c r="W8" i="35"/>
  <c r="V8" i="35"/>
  <c r="W5" i="35"/>
  <c r="V5" i="35"/>
  <c r="W2" i="35"/>
  <c r="V2" i="35"/>
  <c r="AD3" i="35"/>
  <c r="AD4" i="35"/>
  <c r="AD5" i="35"/>
  <c r="AD6" i="35"/>
  <c r="AD7" i="35"/>
  <c r="AD8" i="35"/>
  <c r="AD9" i="35"/>
  <c r="AD10" i="35"/>
  <c r="AD11" i="35"/>
  <c r="AD12" i="35"/>
  <c r="AD13" i="35"/>
  <c r="AD14" i="35"/>
  <c r="AD15" i="35"/>
  <c r="AD16" i="35"/>
  <c r="AD17" i="35"/>
  <c r="AD18" i="35"/>
  <c r="AD19" i="35"/>
  <c r="AD2" i="35"/>
  <c r="U3" i="35"/>
  <c r="U4" i="35"/>
  <c r="U5" i="35"/>
  <c r="U6" i="35"/>
  <c r="U7" i="35"/>
  <c r="U8" i="35"/>
  <c r="U9" i="35"/>
  <c r="U10" i="35"/>
  <c r="U11" i="35"/>
  <c r="U12" i="35"/>
  <c r="U13" i="35"/>
  <c r="U14" i="35"/>
  <c r="U15" i="35"/>
  <c r="U16" i="35"/>
  <c r="U17" i="35"/>
  <c r="U18" i="35"/>
  <c r="U19" i="35"/>
  <c r="U2" i="35"/>
  <c r="AA19" i="35"/>
  <c r="AA13" i="35"/>
  <c r="AA7" i="35"/>
  <c r="AA18" i="35"/>
  <c r="AA12" i="35"/>
  <c r="AA6" i="35"/>
  <c r="AA17" i="35"/>
  <c r="AA11" i="35"/>
  <c r="AA5" i="35"/>
  <c r="AA16" i="35"/>
  <c r="AA10" i="35"/>
  <c r="AA4" i="35"/>
  <c r="AA15" i="35"/>
  <c r="AA9" i="35"/>
  <c r="AA3" i="35"/>
  <c r="AA14" i="35"/>
  <c r="AA8" i="35"/>
  <c r="AA2" i="35"/>
  <c r="L6" i="35"/>
  <c r="L2" i="35"/>
  <c r="M92" i="35"/>
  <c r="L92" i="35"/>
  <c r="M89" i="35"/>
  <c r="L89" i="35"/>
  <c r="M86" i="35"/>
  <c r="L86" i="35"/>
  <c r="M83" i="35"/>
  <c r="L83" i="35"/>
  <c r="M80" i="35"/>
  <c r="L80" i="35"/>
  <c r="M77" i="35"/>
  <c r="L77" i="35"/>
  <c r="M74" i="35"/>
  <c r="L74" i="35"/>
  <c r="M70" i="35"/>
  <c r="L70" i="35"/>
  <c r="M66" i="35"/>
  <c r="L66" i="35"/>
  <c r="M62" i="35"/>
  <c r="L62" i="35"/>
  <c r="M58" i="35"/>
  <c r="L58" i="35"/>
  <c r="M54" i="35"/>
  <c r="L54" i="35"/>
  <c r="M50" i="35"/>
  <c r="L50" i="35"/>
  <c r="M46" i="35"/>
  <c r="L46" i="35"/>
  <c r="M42" i="35"/>
  <c r="L42" i="35"/>
  <c r="M38" i="35"/>
  <c r="L38" i="35"/>
  <c r="M34" i="35"/>
  <c r="L34" i="35"/>
  <c r="M30" i="35"/>
  <c r="L30" i="35"/>
  <c r="M26" i="35"/>
  <c r="L26" i="35"/>
  <c r="M22" i="35"/>
  <c r="L22" i="35"/>
  <c r="R19" i="35"/>
  <c r="R18" i="35"/>
  <c r="M18" i="35"/>
  <c r="L18" i="35"/>
  <c r="R17" i="35"/>
  <c r="R16" i="35"/>
  <c r="R15" i="35"/>
  <c r="R14" i="35"/>
  <c r="M14" i="35"/>
  <c r="L14" i="35"/>
  <c r="R13" i="35"/>
  <c r="R12" i="35"/>
  <c r="R11" i="35"/>
  <c r="R10" i="35"/>
  <c r="M10" i="35"/>
  <c r="L10" i="35"/>
  <c r="R9" i="35"/>
  <c r="R8" i="35"/>
  <c r="R7" i="35"/>
  <c r="R6" i="35"/>
  <c r="M6" i="35"/>
  <c r="R5" i="35"/>
  <c r="R4" i="35"/>
  <c r="R3" i="35"/>
  <c r="R2" i="35"/>
  <c r="M2" i="35"/>
  <c r="D308" i="37" l="1"/>
  <c r="E307" i="37"/>
  <c r="E31" i="36"/>
  <c r="E32" i="36"/>
  <c r="E33" i="36"/>
  <c r="D24" i="36"/>
  <c r="D27" i="36" s="1"/>
  <c r="D35" i="36" s="1"/>
  <c r="F16" i="36"/>
  <c r="F24" i="36" s="1"/>
  <c r="Z87" i="35"/>
  <c r="AD78" i="35"/>
  <c r="AC79" i="35"/>
  <c r="AD77" i="35"/>
  <c r="AE77" i="35"/>
  <c r="R137" i="33"/>
  <c r="R136" i="33"/>
  <c r="R135" i="33"/>
  <c r="R134" i="33"/>
  <c r="R133" i="33"/>
  <c r="R132" i="33"/>
  <c r="R131" i="33"/>
  <c r="R130" i="33"/>
  <c r="R129" i="33"/>
  <c r="R128" i="33"/>
  <c r="R127" i="33"/>
  <c r="R126" i="33"/>
  <c r="R125" i="33"/>
  <c r="R124" i="33"/>
  <c r="R123" i="33"/>
  <c r="R122" i="33"/>
  <c r="R121" i="33"/>
  <c r="R120" i="33"/>
  <c r="R119" i="33"/>
  <c r="R118" i="33"/>
  <c r="R117" i="33"/>
  <c r="R116" i="33"/>
  <c r="R115" i="33"/>
  <c r="R114" i="33"/>
  <c r="R113" i="33"/>
  <c r="R112" i="33"/>
  <c r="R111" i="33"/>
  <c r="R110" i="33"/>
  <c r="R109" i="33"/>
  <c r="R108" i="33"/>
  <c r="R107" i="33"/>
  <c r="R106" i="33"/>
  <c r="R105" i="33"/>
  <c r="R104" i="33"/>
  <c r="R103" i="33"/>
  <c r="R102" i="33"/>
  <c r="R101" i="33"/>
  <c r="AE7" i="33"/>
  <c r="AE6" i="33"/>
  <c r="AE5" i="33"/>
  <c r="AE4" i="33"/>
  <c r="AE3" i="33"/>
  <c r="AE2" i="33"/>
  <c r="AD7" i="33"/>
  <c r="AD6" i="33"/>
  <c r="AD5" i="33"/>
  <c r="AD4" i="33"/>
  <c r="AD3" i="33"/>
  <c r="AD2" i="33"/>
  <c r="X71" i="33" a="1"/>
  <c r="X71" i="33" s="1"/>
  <c r="S90" i="33"/>
  <c r="T90" i="33" s="1"/>
  <c r="Q90" i="33"/>
  <c r="R90" i="33" s="1"/>
  <c r="R89" i="33"/>
  <c r="Y2" i="33"/>
  <c r="W37" i="33"/>
  <c r="W31" i="33"/>
  <c r="W25" i="33"/>
  <c r="W19" i="33"/>
  <c r="W13" i="33"/>
  <c r="W7" i="33"/>
  <c r="W36" i="33"/>
  <c r="W30" i="33"/>
  <c r="W24" i="33"/>
  <c r="W18" i="33"/>
  <c r="W12" i="33"/>
  <c r="W6" i="33"/>
  <c r="W35" i="33"/>
  <c r="W29" i="33"/>
  <c r="W23" i="33"/>
  <c r="W17" i="33"/>
  <c r="W11" i="33"/>
  <c r="W5" i="33"/>
  <c r="W34" i="33"/>
  <c r="W28" i="33"/>
  <c r="W22" i="33"/>
  <c r="W16" i="33"/>
  <c r="W10" i="33"/>
  <c r="W4" i="33"/>
  <c r="W33" i="33"/>
  <c r="W27" i="33"/>
  <c r="W21" i="33"/>
  <c r="W15" i="33"/>
  <c r="W9" i="33"/>
  <c r="W3" i="33"/>
  <c r="W32" i="33"/>
  <c r="W26" i="33"/>
  <c r="W20" i="33"/>
  <c r="W14" i="33"/>
  <c r="W8" i="33"/>
  <c r="W2" i="33"/>
  <c r="W1" i="33"/>
  <c r="S2" i="33"/>
  <c r="R8" i="33"/>
  <c r="R2" i="33"/>
  <c r="L12" i="33"/>
  <c r="L10" i="33"/>
  <c r="L191" i="33"/>
  <c r="L188" i="33"/>
  <c r="L185" i="33"/>
  <c r="L182" i="33"/>
  <c r="L179" i="33"/>
  <c r="L176" i="33"/>
  <c r="L173" i="33"/>
  <c r="L170" i="33"/>
  <c r="L168" i="33"/>
  <c r="L166" i="33"/>
  <c r="L164" i="33"/>
  <c r="L162" i="33"/>
  <c r="L160" i="33"/>
  <c r="L158" i="33"/>
  <c r="L156" i="33"/>
  <c r="L154" i="33"/>
  <c r="L152" i="33"/>
  <c r="L150" i="33"/>
  <c r="L148" i="33"/>
  <c r="L146" i="33"/>
  <c r="L144" i="33"/>
  <c r="L142" i="33"/>
  <c r="L140" i="33"/>
  <c r="L138" i="33"/>
  <c r="L136" i="33"/>
  <c r="L134" i="33"/>
  <c r="L132" i="33"/>
  <c r="L130" i="33"/>
  <c r="L128" i="33"/>
  <c r="L126" i="33"/>
  <c r="L124" i="33"/>
  <c r="L122" i="33"/>
  <c r="L120" i="33"/>
  <c r="L118" i="33"/>
  <c r="L116" i="33"/>
  <c r="L114" i="33"/>
  <c r="L112" i="33"/>
  <c r="L110" i="33"/>
  <c r="L108" i="33"/>
  <c r="L106" i="33"/>
  <c r="L104" i="33"/>
  <c r="L102" i="33"/>
  <c r="L100" i="33"/>
  <c r="L98" i="33"/>
  <c r="M95" i="33"/>
  <c r="L95" i="33"/>
  <c r="M92" i="33"/>
  <c r="L92" i="33"/>
  <c r="M89" i="33"/>
  <c r="L89" i="33"/>
  <c r="M86" i="33"/>
  <c r="L86" i="33"/>
  <c r="M83" i="33"/>
  <c r="L83" i="33"/>
  <c r="M80" i="33"/>
  <c r="L80" i="33"/>
  <c r="M77" i="33"/>
  <c r="L77" i="33"/>
  <c r="M74" i="33"/>
  <c r="L74" i="33"/>
  <c r="L72" i="33"/>
  <c r="L70" i="33"/>
  <c r="L68" i="33"/>
  <c r="L66" i="33"/>
  <c r="L64" i="33"/>
  <c r="L62" i="33"/>
  <c r="L60" i="33"/>
  <c r="L58" i="33"/>
  <c r="L56" i="33"/>
  <c r="L54" i="33"/>
  <c r="L52" i="33"/>
  <c r="L50" i="33"/>
  <c r="L48" i="33"/>
  <c r="L46" i="33"/>
  <c r="L44" i="33"/>
  <c r="L42" i="33"/>
  <c r="L40" i="33"/>
  <c r="L38" i="33"/>
  <c r="P37" i="33"/>
  <c r="P36" i="33"/>
  <c r="L36" i="33"/>
  <c r="P35" i="33"/>
  <c r="P34" i="33"/>
  <c r="L34" i="33"/>
  <c r="P33" i="33"/>
  <c r="Z32" i="33"/>
  <c r="Y32" i="33"/>
  <c r="S32" i="33"/>
  <c r="R32" i="33"/>
  <c r="P32" i="33"/>
  <c r="L32" i="33"/>
  <c r="P31" i="33"/>
  <c r="P30" i="33"/>
  <c r="L30" i="33"/>
  <c r="P29" i="33"/>
  <c r="P28" i="33"/>
  <c r="L28" i="33"/>
  <c r="P27" i="33"/>
  <c r="Z26" i="33"/>
  <c r="Y26" i="33"/>
  <c r="S26" i="33"/>
  <c r="R26" i="33"/>
  <c r="P26" i="33"/>
  <c r="L26" i="33"/>
  <c r="P25" i="33"/>
  <c r="P24" i="33"/>
  <c r="L24" i="33"/>
  <c r="P23" i="33"/>
  <c r="P22" i="33"/>
  <c r="L22" i="33"/>
  <c r="P21" i="33"/>
  <c r="Z20" i="33"/>
  <c r="Y20" i="33"/>
  <c r="S20" i="33"/>
  <c r="R20" i="33"/>
  <c r="P20" i="33"/>
  <c r="L20" i="33"/>
  <c r="P19" i="33"/>
  <c r="P18" i="33"/>
  <c r="L18" i="33"/>
  <c r="P17" i="33"/>
  <c r="P16" i="33"/>
  <c r="L16" i="33"/>
  <c r="P15" i="33"/>
  <c r="Z14" i="33"/>
  <c r="Y14" i="33"/>
  <c r="S14" i="33"/>
  <c r="R14" i="33"/>
  <c r="P14" i="33"/>
  <c r="L14" i="33"/>
  <c r="P13" i="33"/>
  <c r="P12" i="33"/>
  <c r="P11" i="33"/>
  <c r="P10" i="33"/>
  <c r="P9" i="33"/>
  <c r="Z8" i="33"/>
  <c r="Y8" i="33"/>
  <c r="S8" i="33"/>
  <c r="P8" i="33"/>
  <c r="L8" i="33"/>
  <c r="P7" i="33"/>
  <c r="P6" i="33"/>
  <c r="L6" i="33"/>
  <c r="P5" i="33"/>
  <c r="P4" i="33"/>
  <c r="L4" i="33"/>
  <c r="P3" i="33"/>
  <c r="Z2" i="33"/>
  <c r="P2" i="33"/>
  <c r="L2" i="33"/>
  <c r="P1" i="33"/>
  <c r="G323" i="26"/>
  <c r="F323" i="26"/>
  <c r="G311" i="26"/>
  <c r="F311" i="26"/>
  <c r="G299" i="26"/>
  <c r="F299" i="26"/>
  <c r="G287" i="26"/>
  <c r="F287" i="26"/>
  <c r="G275" i="26"/>
  <c r="F275" i="26"/>
  <c r="G263" i="26"/>
  <c r="F263" i="26"/>
  <c r="G227" i="26"/>
  <c r="F227" i="26"/>
  <c r="G215" i="26"/>
  <c r="F215" i="26"/>
  <c r="G203" i="26"/>
  <c r="F203" i="26"/>
  <c r="G191" i="26"/>
  <c r="F191" i="26"/>
  <c r="G179" i="26"/>
  <c r="F179" i="26"/>
  <c r="G167" i="26"/>
  <c r="F167" i="26"/>
  <c r="D313" i="37" l="1"/>
  <c r="E308" i="37"/>
  <c r="E35" i="36"/>
  <c r="E27" i="36"/>
  <c r="D36" i="36"/>
  <c r="E36" i="36" s="1"/>
  <c r="AE78" i="35"/>
  <c r="AF77" i="35"/>
  <c r="AG77" i="35" s="1"/>
  <c r="AC80" i="35"/>
  <c r="AD79" i="35"/>
  <c r="Y71" i="33"/>
  <c r="Q91" i="33"/>
  <c r="Q92" i="33" s="1"/>
  <c r="R92" i="33"/>
  <c r="Q93" i="33"/>
  <c r="R91" i="33"/>
  <c r="S91" i="33"/>
  <c r="E313" i="37" l="1"/>
  <c r="D318" i="37"/>
  <c r="E318" i="37" s="1"/>
  <c r="AD80" i="35"/>
  <c r="AC81" i="35"/>
  <c r="AE79" i="35"/>
  <c r="AF78" i="35"/>
  <c r="AG78" i="35" s="1"/>
  <c r="S92" i="33"/>
  <c r="T91" i="33"/>
  <c r="U91" i="33" s="1"/>
  <c r="Q94" i="33"/>
  <c r="R93" i="33"/>
  <c r="AF79" i="35" l="1"/>
  <c r="AG79" i="35" s="1"/>
  <c r="AE80" i="35"/>
  <c r="AD81" i="35"/>
  <c r="AC82" i="35"/>
  <c r="Z89" i="35"/>
  <c r="R94" i="33"/>
  <c r="Q95" i="33"/>
  <c r="S93" i="33"/>
  <c r="T92" i="33"/>
  <c r="U92" i="33" s="1"/>
  <c r="AC83" i="35" l="1"/>
  <c r="AD82" i="35"/>
  <c r="AE81" i="35"/>
  <c r="AF80" i="35"/>
  <c r="AG80" i="35" s="1"/>
  <c r="Y73" i="33"/>
  <c r="T93" i="33"/>
  <c r="U93" i="33" s="1"/>
  <c r="S94" i="33"/>
  <c r="R95" i="33"/>
  <c r="Q96" i="33"/>
  <c r="AF81" i="35" l="1"/>
  <c r="AG81" i="35" s="1"/>
  <c r="AE82" i="35"/>
  <c r="AD83" i="35"/>
  <c r="AC84" i="35"/>
  <c r="AD84" i="35" s="1"/>
  <c r="Q97" i="33"/>
  <c r="R96" i="33"/>
  <c r="S95" i="33"/>
  <c r="T94" i="33"/>
  <c r="U94" i="33" s="1"/>
  <c r="AE83" i="35" l="1"/>
  <c r="AF82" i="35"/>
  <c r="AG82" i="35" s="1"/>
  <c r="T95" i="33"/>
  <c r="U95" i="33" s="1"/>
  <c r="S96" i="33"/>
  <c r="R97" i="33"/>
  <c r="Q98" i="33"/>
  <c r="R98" i="33" s="1"/>
  <c r="AE84" i="35" l="1"/>
  <c r="AF84" i="35" s="1"/>
  <c r="AG84" i="35" s="1"/>
  <c r="AF83" i="35"/>
  <c r="AG83" i="35" s="1"/>
  <c r="T96" i="33"/>
  <c r="U96" i="33" s="1"/>
  <c r="S97" i="33"/>
  <c r="S98" i="33" l="1"/>
  <c r="T98" i="33" s="1"/>
  <c r="U98" i="33" s="1"/>
  <c r="T97" i="33"/>
  <c r="U97" i="33" s="1"/>
  <c r="E150" i="28" l="1"/>
  <c r="F150" i="28" s="1"/>
  <c r="E149" i="28"/>
  <c r="F149" i="28" s="1"/>
  <c r="E148" i="28"/>
  <c r="F148" i="28" s="1"/>
  <c r="H140" i="28"/>
  <c r="G140" i="28"/>
  <c r="H139" i="28"/>
  <c r="E139" i="28"/>
  <c r="G139" i="28" s="1"/>
  <c r="H138" i="28"/>
  <c r="E138" i="28"/>
  <c r="G138" i="28" s="1"/>
  <c r="H137" i="28"/>
  <c r="E137" i="28"/>
  <c r="G137" i="28" s="1"/>
  <c r="H136" i="28"/>
  <c r="E136" i="28"/>
  <c r="G136" i="28" s="1"/>
  <c r="H135" i="28"/>
  <c r="E135" i="28"/>
  <c r="G135" i="28" s="1"/>
  <c r="H134" i="28"/>
  <c r="E134" i="28"/>
  <c r="G134" i="28" s="1"/>
  <c r="H133" i="28"/>
  <c r="E133" i="28"/>
  <c r="F217" i="28"/>
  <c r="F209" i="28"/>
  <c r="F201" i="28"/>
  <c r="F193" i="28"/>
  <c r="F185" i="28"/>
  <c r="F177" i="28"/>
  <c r="F195" i="28" s="1"/>
  <c r="F168" i="28"/>
  <c r="F170" i="28" s="1"/>
  <c r="E146" i="28"/>
  <c r="F146" i="28" s="1"/>
  <c r="K142" i="28"/>
  <c r="M152" i="28" s="1"/>
  <c r="L152" i="28" s="1"/>
  <c r="Q152" i="28" s="1"/>
  <c r="R152" i="28" s="1"/>
  <c r="K141" i="28"/>
  <c r="M151" i="28" s="1"/>
  <c r="L151" i="28" s="1"/>
  <c r="Q151" i="28" s="1"/>
  <c r="R151" i="28" s="1"/>
  <c r="K140" i="28"/>
  <c r="M150" i="28" s="1"/>
  <c r="L150" i="28" s="1"/>
  <c r="Q150" i="28" s="1"/>
  <c r="R150" i="28" s="1"/>
  <c r="K139" i="28"/>
  <c r="M149" i="28" s="1"/>
  <c r="L149" i="28" s="1"/>
  <c r="Q149" i="28" s="1"/>
  <c r="R149" i="28" s="1"/>
  <c r="K138" i="28"/>
  <c r="M148" i="28" s="1"/>
  <c r="L148" i="28" s="1"/>
  <c r="Q148" i="28" s="1"/>
  <c r="R148" i="28" s="1"/>
  <c r="K137" i="28"/>
  <c r="M147" i="28" s="1"/>
  <c r="L147" i="28" s="1"/>
  <c r="Q147" i="28" s="1"/>
  <c r="R147" i="28" s="1"/>
  <c r="L130" i="28"/>
  <c r="L129" i="28"/>
  <c r="L124" i="28"/>
  <c r="P123" i="28"/>
  <c r="P122" i="28"/>
  <c r="K118" i="28"/>
  <c r="K117" i="28"/>
  <c r="K116" i="28"/>
  <c r="K115" i="28"/>
  <c r="K114" i="28"/>
  <c r="K113" i="28"/>
  <c r="K112" i="28"/>
  <c r="K111" i="28"/>
  <c r="K110" i="28"/>
  <c r="K105" i="28"/>
  <c r="K104" i="28"/>
  <c r="K103" i="28"/>
  <c r="K102" i="28"/>
  <c r="K101" i="28"/>
  <c r="K100" i="28"/>
  <c r="K99" i="28"/>
  <c r="K98" i="28"/>
  <c r="K97" i="28"/>
  <c r="K96" i="28"/>
  <c r="K95" i="28"/>
  <c r="K94" i="28"/>
  <c r="K93" i="28"/>
  <c r="K92" i="28"/>
  <c r="K91" i="28"/>
  <c r="K90" i="28"/>
  <c r="K89" i="28"/>
  <c r="K88" i="28"/>
  <c r="K87" i="28"/>
  <c r="K86" i="28"/>
  <c r="K85" i="28"/>
  <c r="K84" i="28"/>
  <c r="K83" i="28"/>
  <c r="C83" i="28"/>
  <c r="C84" i="28" s="1"/>
  <c r="K82" i="28"/>
  <c r="K81" i="28"/>
  <c r="K80" i="28"/>
  <c r="K79" i="28"/>
  <c r="C79" i="28"/>
  <c r="C80" i="28" s="1"/>
  <c r="K78" i="28"/>
  <c r="K77" i="28"/>
  <c r="K76" i="28"/>
  <c r="K75" i="28"/>
  <c r="C75" i="28"/>
  <c r="E204" i="28" s="1"/>
  <c r="F204" i="28" s="1"/>
  <c r="K74" i="28"/>
  <c r="K73" i="28"/>
  <c r="K72" i="28"/>
  <c r="K71" i="28"/>
  <c r="C71" i="28"/>
  <c r="E196" i="28" s="1"/>
  <c r="K70" i="28"/>
  <c r="K69" i="28"/>
  <c r="K68" i="28"/>
  <c r="K67" i="28"/>
  <c r="C67" i="28"/>
  <c r="C68" i="28" s="1"/>
  <c r="K66" i="28"/>
  <c r="K65" i="28"/>
  <c r="K64" i="28"/>
  <c r="K63" i="28"/>
  <c r="C63" i="28"/>
  <c r="C64" i="28" s="1"/>
  <c r="K62" i="28"/>
  <c r="K61" i="28"/>
  <c r="K59" i="28"/>
  <c r="C59" i="28"/>
  <c r="K58" i="28"/>
  <c r="K57" i="28"/>
  <c r="C57" i="28"/>
  <c r="K56" i="28"/>
  <c r="K55" i="28"/>
  <c r="K54" i="28"/>
  <c r="K53" i="28"/>
  <c r="K52" i="28"/>
  <c r="K51" i="28"/>
  <c r="K49" i="28"/>
  <c r="K48" i="28"/>
  <c r="C48" i="28"/>
  <c r="E162" i="28" s="1"/>
  <c r="K47" i="28"/>
  <c r="C47" i="28"/>
  <c r="E161" i="28" s="1"/>
  <c r="K46" i="28"/>
  <c r="K45" i="28"/>
  <c r="C45" i="28"/>
  <c r="K44" i="28"/>
  <c r="C44" i="28"/>
  <c r="C90" i="28" s="1"/>
  <c r="C99" i="28" s="1"/>
  <c r="C100" i="28" s="1"/>
  <c r="K43" i="28"/>
  <c r="C43" i="28"/>
  <c r="K42" i="28"/>
  <c r="C42" i="28"/>
  <c r="K41" i="28"/>
  <c r="C41" i="28"/>
  <c r="K40" i="28"/>
  <c r="C40" i="28"/>
  <c r="F144" i="28" s="1"/>
  <c r="F147" i="28" s="1"/>
  <c r="K37" i="28"/>
  <c r="K36" i="28"/>
  <c r="K35" i="28"/>
  <c r="K34" i="28"/>
  <c r="K33" i="28"/>
  <c r="K32" i="28"/>
  <c r="K31" i="28"/>
  <c r="K30" i="28"/>
  <c r="K29" i="28"/>
  <c r="K28" i="28"/>
  <c r="K27" i="28"/>
  <c r="K26" i="28"/>
  <c r="K25" i="28"/>
  <c r="K24" i="28"/>
  <c r="K23" i="28"/>
  <c r="K22" i="28"/>
  <c r="K21" i="28"/>
  <c r="K20" i="28"/>
  <c r="K19" i="28"/>
  <c r="K18" i="28"/>
  <c r="K17" i="28"/>
  <c r="K16" i="28"/>
  <c r="K15" i="28"/>
  <c r="K14" i="28"/>
  <c r="K13" i="28"/>
  <c r="K12" i="28"/>
  <c r="K11" i="28"/>
  <c r="K10" i="28"/>
  <c r="K9" i="28"/>
  <c r="K8" i="28"/>
  <c r="K7" i="28"/>
  <c r="K6" i="28"/>
  <c r="K5" i="28"/>
  <c r="K4" i="28"/>
  <c r="K3" i="28"/>
  <c r="P150" i="26"/>
  <c r="P151" i="26"/>
  <c r="P149" i="26"/>
  <c r="M150" i="26"/>
  <c r="M151" i="26"/>
  <c r="M149" i="26"/>
  <c r="N151" i="26"/>
  <c r="N150" i="26"/>
  <c r="N149" i="26"/>
  <c r="G150" i="26"/>
  <c r="G151" i="26"/>
  <c r="G149" i="26"/>
  <c r="E157" i="26"/>
  <c r="D157" i="26"/>
  <c r="E162" i="26"/>
  <c r="E161" i="26"/>
  <c r="E160" i="26"/>
  <c r="D160" i="26"/>
  <c r="D159" i="26"/>
  <c r="E159" i="26" s="1"/>
  <c r="E158" i="26"/>
  <c r="D158" i="26"/>
  <c r="D148" i="26"/>
  <c r="D153" i="26"/>
  <c r="E153" i="26" s="1"/>
  <c r="E148" i="26"/>
  <c r="E149" i="26"/>
  <c r="E150" i="26"/>
  <c r="E151" i="26"/>
  <c r="E152" i="26"/>
  <c r="D150" i="26"/>
  <c r="D149" i="26"/>
  <c r="K139" i="26"/>
  <c r="J138" i="26"/>
  <c r="K138" i="26" s="1"/>
  <c r="J137" i="26"/>
  <c r="K137" i="26" s="1"/>
  <c r="J136" i="26"/>
  <c r="K136" i="26" s="1"/>
  <c r="E139" i="26"/>
  <c r="D138" i="26"/>
  <c r="E138" i="26" s="1"/>
  <c r="D137" i="26"/>
  <c r="E137" i="26" s="1"/>
  <c r="D136" i="26"/>
  <c r="E136" i="26" s="1"/>
  <c r="M120" i="26"/>
  <c r="Y45" i="26" s="1"/>
  <c r="M108" i="26"/>
  <c r="Y44" i="26" s="1"/>
  <c r="M113" i="26"/>
  <c r="Y52" i="26" s="1"/>
  <c r="M101" i="26"/>
  <c r="Y51" i="26" s="1"/>
  <c r="M89" i="26"/>
  <c r="Y50" i="26" s="1"/>
  <c r="M77" i="26"/>
  <c r="Y49" i="26" s="1"/>
  <c r="M65" i="26"/>
  <c r="Y48" i="26" s="1"/>
  <c r="M48" i="26"/>
  <c r="Y39" i="26" s="1"/>
  <c r="M41" i="26"/>
  <c r="Y46" i="26" s="1"/>
  <c r="M36" i="26"/>
  <c r="M53" i="26"/>
  <c r="Y47" i="26" s="1"/>
  <c r="M60" i="26"/>
  <c r="M72" i="26"/>
  <c r="M84" i="26"/>
  <c r="M96" i="26"/>
  <c r="M125" i="26"/>
  <c r="N125" i="26"/>
  <c r="N120" i="26"/>
  <c r="Z45" i="26" s="1"/>
  <c r="AA45" i="26" s="1"/>
  <c r="N113" i="26"/>
  <c r="Z52" i="26" s="1"/>
  <c r="AA52" i="26" s="1"/>
  <c r="N108" i="26"/>
  <c r="Z44" i="26" s="1"/>
  <c r="AA44" i="26" s="1"/>
  <c r="N101" i="26"/>
  <c r="Z51" i="26" s="1"/>
  <c r="AA51" i="26" s="1"/>
  <c r="N96" i="26"/>
  <c r="Z43" i="26" s="1"/>
  <c r="AA43" i="26" s="1"/>
  <c r="Y43" i="26"/>
  <c r="N89" i="26"/>
  <c r="Z50" i="26" s="1"/>
  <c r="AA50" i="26" s="1"/>
  <c r="N84" i="26"/>
  <c r="Z42" i="26" s="1"/>
  <c r="AA42" i="26" s="1"/>
  <c r="Y42" i="26"/>
  <c r="N77" i="26"/>
  <c r="Z49" i="26" s="1"/>
  <c r="AA49" i="26" s="1"/>
  <c r="N72" i="26"/>
  <c r="Z41" i="26" s="1"/>
  <c r="AA41" i="26" s="1"/>
  <c r="Y41" i="26"/>
  <c r="N65" i="26"/>
  <c r="Z48" i="26" s="1"/>
  <c r="AA48" i="26" s="1"/>
  <c r="N60" i="26"/>
  <c r="Z40" i="26" s="1"/>
  <c r="AA40" i="26" s="1"/>
  <c r="Y40" i="26"/>
  <c r="N53" i="26"/>
  <c r="Z47" i="26" s="1"/>
  <c r="AA47" i="26" s="1"/>
  <c r="N48" i="26"/>
  <c r="Z39" i="26" s="1"/>
  <c r="AA39" i="26" s="1"/>
  <c r="N41" i="26"/>
  <c r="Z46" i="26" s="1"/>
  <c r="AA46" i="26" s="1"/>
  <c r="N36" i="26"/>
  <c r="Z38" i="26" s="1"/>
  <c r="AA38" i="26" s="1"/>
  <c r="Y38" i="26"/>
  <c r="S37" i="26"/>
  <c r="S38" i="26" s="1"/>
  <c r="Q37" i="26"/>
  <c r="Q38" i="26" s="1"/>
  <c r="R36" i="26"/>
  <c r="G125" i="26"/>
  <c r="F125" i="26"/>
  <c r="G120" i="26"/>
  <c r="W45" i="26" s="1"/>
  <c r="X45" i="26" s="1"/>
  <c r="F120" i="26"/>
  <c r="V45" i="26" s="1"/>
  <c r="G113" i="26"/>
  <c r="W52" i="26" s="1"/>
  <c r="X52" i="26" s="1"/>
  <c r="F113" i="26"/>
  <c r="V52" i="26" s="1"/>
  <c r="G108" i="26"/>
  <c r="W44" i="26" s="1"/>
  <c r="X44" i="26" s="1"/>
  <c r="F108" i="26"/>
  <c r="V44" i="26" s="1"/>
  <c r="G101" i="26"/>
  <c r="W51" i="26" s="1"/>
  <c r="X51" i="26" s="1"/>
  <c r="F101" i="26"/>
  <c r="V51" i="26" s="1"/>
  <c r="G96" i="26"/>
  <c r="W43" i="26" s="1"/>
  <c r="X43" i="26" s="1"/>
  <c r="F96" i="26"/>
  <c r="V43" i="26" s="1"/>
  <c r="G89" i="26"/>
  <c r="W50" i="26" s="1"/>
  <c r="X50" i="26" s="1"/>
  <c r="F89" i="26"/>
  <c r="V50" i="26" s="1"/>
  <c r="G84" i="26"/>
  <c r="W42" i="26" s="1"/>
  <c r="X42" i="26" s="1"/>
  <c r="F84" i="26"/>
  <c r="V42" i="26" s="1"/>
  <c r="G77" i="26"/>
  <c r="W49" i="26" s="1"/>
  <c r="X49" i="26" s="1"/>
  <c r="F77" i="26"/>
  <c r="V49" i="26" s="1"/>
  <c r="G72" i="26"/>
  <c r="W41" i="26" s="1"/>
  <c r="X41" i="26" s="1"/>
  <c r="F72" i="26"/>
  <c r="V41" i="26" s="1"/>
  <c r="G65" i="26"/>
  <c r="W48" i="26" s="1"/>
  <c r="X48" i="26" s="1"/>
  <c r="F65" i="26"/>
  <c r="V48" i="26" s="1"/>
  <c r="G60" i="26"/>
  <c r="W40" i="26" s="1"/>
  <c r="X40" i="26" s="1"/>
  <c r="F60" i="26"/>
  <c r="V40" i="26" s="1"/>
  <c r="G53" i="26"/>
  <c r="W47" i="26" s="1"/>
  <c r="X47" i="26" s="1"/>
  <c r="F53" i="26"/>
  <c r="V47" i="26" s="1"/>
  <c r="G48" i="26"/>
  <c r="W39" i="26" s="1"/>
  <c r="X39" i="26" s="1"/>
  <c r="F48" i="26"/>
  <c r="V39" i="26" s="1"/>
  <c r="G41" i="26"/>
  <c r="W46" i="26" s="1"/>
  <c r="X46" i="26" s="1"/>
  <c r="F41" i="26"/>
  <c r="V46" i="26" s="1"/>
  <c r="G36" i="26"/>
  <c r="W38" i="26" s="1"/>
  <c r="X38" i="26" s="1"/>
  <c r="F36" i="26"/>
  <c r="V38" i="26" s="1"/>
  <c r="D30" i="26"/>
  <c r="E30" i="26" s="1"/>
  <c r="D29" i="26"/>
  <c r="E29" i="26" s="1"/>
  <c r="D28" i="26"/>
  <c r="E28" i="26" s="1"/>
  <c r="G22" i="26"/>
  <c r="F22" i="26"/>
  <c r="G21" i="26"/>
  <c r="D21" i="26"/>
  <c r="F21" i="26" s="1"/>
  <c r="G20" i="26"/>
  <c r="D20" i="26"/>
  <c r="F20" i="26" s="1"/>
  <c r="G19" i="26"/>
  <c r="D19" i="26"/>
  <c r="F19" i="26" s="1"/>
  <c r="G18" i="26"/>
  <c r="D18" i="26"/>
  <c r="F18" i="26" s="1"/>
  <c r="G17" i="26"/>
  <c r="D17" i="26"/>
  <c r="F17" i="26" s="1"/>
  <c r="G16" i="26"/>
  <c r="D16" i="26"/>
  <c r="F16" i="26" s="1"/>
  <c r="G15" i="26"/>
  <c r="D15" i="26"/>
  <c r="S163" i="25"/>
  <c r="S164" i="25"/>
  <c r="S165" i="25"/>
  <c r="S166" i="25"/>
  <c r="S167" i="25"/>
  <c r="S162" i="25"/>
  <c r="F151" i="28" l="1"/>
  <c r="F179" i="28"/>
  <c r="F196" i="28"/>
  <c r="F203" i="28"/>
  <c r="C85" i="28"/>
  <c r="C86" i="28" s="1"/>
  <c r="F211" i="28"/>
  <c r="F171" i="28"/>
  <c r="F172" i="28"/>
  <c r="E141" i="28"/>
  <c r="E145" i="28" s="1"/>
  <c r="E152" i="28" s="1"/>
  <c r="F152" i="28" s="1"/>
  <c r="C46" i="28"/>
  <c r="C49" i="28" s="1"/>
  <c r="G133" i="28"/>
  <c r="G141" i="28" s="1"/>
  <c r="F159" i="28"/>
  <c r="F161" i="28" s="1"/>
  <c r="E180" i="28"/>
  <c r="F180" i="28" s="1"/>
  <c r="E212" i="28"/>
  <c r="F212" i="28" s="1"/>
  <c r="C87" i="28"/>
  <c r="C93" i="28" s="1"/>
  <c r="C94" i="28" s="1"/>
  <c r="C91" i="28"/>
  <c r="C101" i="28" s="1"/>
  <c r="C102" i="28" s="1"/>
  <c r="F173" i="28"/>
  <c r="F187" i="28"/>
  <c r="F219" i="28"/>
  <c r="C50" i="28"/>
  <c r="E163" i="28" s="1"/>
  <c r="E188" i="28"/>
  <c r="F188" i="28" s="1"/>
  <c r="E220" i="28"/>
  <c r="F220" i="28" s="1"/>
  <c r="C55" i="28"/>
  <c r="C72" i="28"/>
  <c r="C76" i="28"/>
  <c r="C88" i="28"/>
  <c r="C95" i="28" s="1"/>
  <c r="C96" i="28" s="1"/>
  <c r="C92" i="28"/>
  <c r="C103" i="28" s="1"/>
  <c r="C104" i="28" s="1"/>
  <c r="C54" i="28"/>
  <c r="C65" i="28"/>
  <c r="C69" i="28"/>
  <c r="C73" i="28"/>
  <c r="C77" i="28"/>
  <c r="C78" i="28" s="1"/>
  <c r="C81" i="28"/>
  <c r="C89" i="28"/>
  <c r="C97" i="28" s="1"/>
  <c r="C98" i="28" s="1"/>
  <c r="D163" i="26"/>
  <c r="E163" i="26" s="1"/>
  <c r="D23" i="26"/>
  <c r="Q39" i="26"/>
  <c r="R38" i="26"/>
  <c r="T38" i="26"/>
  <c r="U38" i="26" s="1"/>
  <c r="S39" i="26"/>
  <c r="R37" i="26"/>
  <c r="T37" i="26"/>
  <c r="F15" i="26"/>
  <c r="F23" i="26" s="1"/>
  <c r="E144" i="25"/>
  <c r="E145" i="25"/>
  <c r="E146" i="25"/>
  <c r="E147" i="25"/>
  <c r="E148" i="25"/>
  <c r="E149" i="25"/>
  <c r="E143" i="25"/>
  <c r="L147" i="25"/>
  <c r="L138" i="25"/>
  <c r="L140" i="25" s="1"/>
  <c r="L132" i="25"/>
  <c r="L133" i="25" s="1"/>
  <c r="L129" i="25"/>
  <c r="M129" i="25" s="1"/>
  <c r="D143" i="25"/>
  <c r="D148" i="25" s="1"/>
  <c r="D146" i="25"/>
  <c r="D145" i="25"/>
  <c r="D144" i="25"/>
  <c r="E142" i="25"/>
  <c r="G138" i="25"/>
  <c r="F138" i="25"/>
  <c r="G137" i="25"/>
  <c r="D137" i="25"/>
  <c r="F137" i="25" s="1"/>
  <c r="G136" i="25"/>
  <c r="D136" i="25"/>
  <c r="F136" i="25" s="1"/>
  <c r="G135" i="25"/>
  <c r="D135" i="25"/>
  <c r="F135" i="25" s="1"/>
  <c r="G134" i="25"/>
  <c r="D134" i="25"/>
  <c r="F134" i="25" s="1"/>
  <c r="G133" i="25"/>
  <c r="D133" i="25"/>
  <c r="F133" i="25" s="1"/>
  <c r="G132" i="25"/>
  <c r="D132" i="25"/>
  <c r="F132" i="25" s="1"/>
  <c r="G131" i="25"/>
  <c r="D131" i="25"/>
  <c r="D139" i="25" s="1"/>
  <c r="S49" i="24"/>
  <c r="Q49" i="24"/>
  <c r="E221" i="28" l="1"/>
  <c r="F221" i="28" s="1"/>
  <c r="F145" i="28"/>
  <c r="C58" i="28"/>
  <c r="C112" i="28" s="1"/>
  <c r="Q122" i="28" s="1"/>
  <c r="C52" i="28"/>
  <c r="M124" i="28" s="1"/>
  <c r="C110" i="28"/>
  <c r="C61" i="28"/>
  <c r="C62" i="28" s="1"/>
  <c r="E169" i="28"/>
  <c r="F169" i="28" s="1"/>
  <c r="M122" i="28"/>
  <c r="E160" i="28"/>
  <c r="F160" i="28" s="1"/>
  <c r="C51" i="28"/>
  <c r="C56" i="28" s="1"/>
  <c r="M130" i="28" s="1"/>
  <c r="M131" i="28" s="1"/>
  <c r="E153" i="28"/>
  <c r="F153" i="28" s="1"/>
  <c r="C82" i="28"/>
  <c r="E213" i="28"/>
  <c r="F213" i="28" s="1"/>
  <c r="E205" i="28"/>
  <c r="F205" i="28" s="1"/>
  <c r="E174" i="28"/>
  <c r="F174" i="28" s="1"/>
  <c r="F163" i="28"/>
  <c r="C53" i="28"/>
  <c r="C74" i="28"/>
  <c r="E197" i="28"/>
  <c r="F197" i="28" s="1"/>
  <c r="C66" i="28"/>
  <c r="E181" i="28"/>
  <c r="F181" i="28" s="1"/>
  <c r="C70" i="28"/>
  <c r="E189" i="28"/>
  <c r="F189" i="28" s="1"/>
  <c r="F162" i="28"/>
  <c r="D164" i="26"/>
  <c r="E164" i="26" s="1"/>
  <c r="D27" i="26"/>
  <c r="D135" i="26"/>
  <c r="S40" i="26"/>
  <c r="T39" i="26"/>
  <c r="U39" i="26" s="1"/>
  <c r="Q40" i="26"/>
  <c r="R39" i="26"/>
  <c r="M140" i="25"/>
  <c r="L141" i="25"/>
  <c r="M132" i="25"/>
  <c r="M133" i="25" s="1"/>
  <c r="M147" i="25"/>
  <c r="L148" i="25"/>
  <c r="M148" i="25" s="1"/>
  <c r="M138" i="25"/>
  <c r="M141" i="25" s="1"/>
  <c r="D149" i="25"/>
  <c r="F131" i="25"/>
  <c r="F139" i="25" s="1"/>
  <c r="E218" i="28" l="1"/>
  <c r="E222" i="28" s="1"/>
  <c r="F222" i="28" s="1"/>
  <c r="E210" i="28"/>
  <c r="F210" i="28" s="1"/>
  <c r="Q123" i="28"/>
  <c r="Q125" i="28" s="1"/>
  <c r="C113" i="28"/>
  <c r="E194" i="28"/>
  <c r="F194" i="28" s="1"/>
  <c r="C111" i="28"/>
  <c r="M129" i="28" s="1"/>
  <c r="E202" i="28"/>
  <c r="F202" i="28" s="1"/>
  <c r="C105" i="28"/>
  <c r="E178" i="28"/>
  <c r="F178" i="28" s="1"/>
  <c r="M125" i="28"/>
  <c r="M126" i="28" s="1"/>
  <c r="E164" i="28"/>
  <c r="F164" i="28" s="1"/>
  <c r="E186" i="28"/>
  <c r="E190" i="28" s="1"/>
  <c r="F190" i="28" s="1"/>
  <c r="C118" i="28"/>
  <c r="C114" i="28"/>
  <c r="C117" i="28"/>
  <c r="C116" i="28"/>
  <c r="C115" i="28"/>
  <c r="E214" i="28"/>
  <c r="F214" i="28" s="1"/>
  <c r="D140" i="26"/>
  <c r="E135" i="26"/>
  <c r="D147" i="26"/>
  <c r="J135" i="26"/>
  <c r="E27" i="26"/>
  <c r="D31" i="26"/>
  <c r="R40" i="26"/>
  <c r="Q41" i="26"/>
  <c r="T40" i="26"/>
  <c r="U40" i="26" s="1"/>
  <c r="S41" i="26"/>
  <c r="M149" i="25"/>
  <c r="L149" i="25"/>
  <c r="F218" i="28" l="1"/>
  <c r="F186" i="28"/>
  <c r="E198" i="28"/>
  <c r="F198" i="28" s="1"/>
  <c r="E206" i="28"/>
  <c r="F206" i="28" s="1"/>
  <c r="E182" i="28"/>
  <c r="F182" i="28" s="1"/>
  <c r="E31" i="26"/>
  <c r="D32" i="26"/>
  <c r="E32" i="26" s="1"/>
  <c r="K135" i="26"/>
  <c r="J140" i="26"/>
  <c r="K140" i="26" s="1"/>
  <c r="E147" i="26"/>
  <c r="E140" i="26"/>
  <c r="D141" i="26"/>
  <c r="E141" i="26" s="1"/>
  <c r="S42" i="26"/>
  <c r="T41" i="26"/>
  <c r="U41" i="26" s="1"/>
  <c r="Q42" i="26"/>
  <c r="R41" i="26"/>
  <c r="D80" i="25"/>
  <c r="E75" i="25"/>
  <c r="E76" i="25"/>
  <c r="E77" i="25"/>
  <c r="E78" i="25"/>
  <c r="E79" i="25"/>
  <c r="E80" i="25"/>
  <c r="D74" i="25"/>
  <c r="E74" i="25" s="1"/>
  <c r="D77" i="25"/>
  <c r="D76" i="25"/>
  <c r="D75" i="25"/>
  <c r="E73" i="25"/>
  <c r="D154" i="26" l="1"/>
  <c r="E154" i="26" s="1"/>
  <c r="J141" i="26"/>
  <c r="K141" i="26" s="1"/>
  <c r="R42" i="26"/>
  <c r="Q43" i="26"/>
  <c r="T42" i="26"/>
  <c r="U42" i="26" s="1"/>
  <c r="S43" i="26"/>
  <c r="D79" i="25"/>
  <c r="S44" i="26" l="1"/>
  <c r="T43" i="26"/>
  <c r="U43" i="26" s="1"/>
  <c r="Q44" i="26"/>
  <c r="R43" i="26"/>
  <c r="O33" i="25"/>
  <c r="O34" i="25" s="1"/>
  <c r="O31" i="25"/>
  <c r="P31" i="25" s="1"/>
  <c r="O30" i="25"/>
  <c r="P30" i="25" s="1"/>
  <c r="O29" i="25"/>
  <c r="P29" i="25" s="1"/>
  <c r="P32" i="25"/>
  <c r="P28" i="25"/>
  <c r="P27" i="25"/>
  <c r="O28" i="25"/>
  <c r="R44" i="26" l="1"/>
  <c r="Q45" i="26"/>
  <c r="T44" i="26"/>
  <c r="U44" i="26" s="1"/>
  <c r="S45" i="26"/>
  <c r="P33" i="25"/>
  <c r="S46" i="26" l="1"/>
  <c r="T45" i="26"/>
  <c r="U45" i="26" s="1"/>
  <c r="Q46" i="26"/>
  <c r="R45" i="26"/>
  <c r="P34" i="25"/>
  <c r="R46" i="26" l="1"/>
  <c r="Q47" i="26"/>
  <c r="T46" i="26"/>
  <c r="U46" i="26" s="1"/>
  <c r="S47" i="26"/>
  <c r="D33" i="25"/>
  <c r="F15" i="25"/>
  <c r="F16" i="25"/>
  <c r="F17" i="25"/>
  <c r="F18" i="25"/>
  <c r="F19" i="25"/>
  <c r="F20" i="25"/>
  <c r="F21" i="25"/>
  <c r="F22" i="25"/>
  <c r="F14" i="25"/>
  <c r="F56" i="25"/>
  <c r="F65" i="25"/>
  <c r="F66" i="25"/>
  <c r="F67" i="25"/>
  <c r="F58" i="25"/>
  <c r="F59" i="25"/>
  <c r="F50" i="25"/>
  <c r="F47" i="25"/>
  <c r="E65" i="25"/>
  <c r="E56" i="25"/>
  <c r="E50" i="25"/>
  <c r="E47" i="25"/>
  <c r="D31" i="25"/>
  <c r="D30" i="25"/>
  <c r="D29" i="25"/>
  <c r="E27" i="25"/>
  <c r="E32" i="25" s="1"/>
  <c r="Q48" i="26" l="1"/>
  <c r="R47" i="26"/>
  <c r="S48" i="26"/>
  <c r="T47" i="26"/>
  <c r="U47" i="26" s="1"/>
  <c r="F51" i="25"/>
  <c r="E66" i="25"/>
  <c r="E67" i="25" s="1"/>
  <c r="E31" i="25"/>
  <c r="E51" i="25"/>
  <c r="E58" i="25"/>
  <c r="E59" i="25" s="1"/>
  <c r="E29" i="25"/>
  <c r="E30" i="25"/>
  <c r="E33" i="25"/>
  <c r="T48" i="26" l="1"/>
  <c r="U48" i="26" s="1"/>
  <c r="S49" i="26"/>
  <c r="Q49" i="26"/>
  <c r="R48" i="26"/>
  <c r="D34" i="25"/>
  <c r="Q50" i="26" l="1"/>
  <c r="R49" i="26"/>
  <c r="S50" i="26"/>
  <c r="T49" i="26"/>
  <c r="U49" i="26" s="1"/>
  <c r="E34" i="25"/>
  <c r="T50" i="26" l="1"/>
  <c r="U50" i="26" s="1"/>
  <c r="S51" i="26"/>
  <c r="Q51" i="26"/>
  <c r="R50" i="26"/>
  <c r="G22" i="25"/>
  <c r="G21" i="25"/>
  <c r="D21" i="25"/>
  <c r="G20" i="25"/>
  <c r="D20" i="25"/>
  <c r="G19" i="25"/>
  <c r="D19" i="25"/>
  <c r="G18" i="25"/>
  <c r="D18" i="25"/>
  <c r="G17" i="25"/>
  <c r="D17" i="25"/>
  <c r="G16" i="25"/>
  <c r="D16" i="25"/>
  <c r="G15" i="25"/>
  <c r="D15" i="25"/>
  <c r="G14" i="25"/>
  <c r="D14" i="25"/>
  <c r="S52" i="26" l="1"/>
  <c r="T51" i="26"/>
  <c r="U51" i="26" s="1"/>
  <c r="Q52" i="26"/>
  <c r="R51" i="26"/>
  <c r="D23" i="25"/>
  <c r="D28" i="25" s="1"/>
  <c r="E28" i="25" s="1"/>
  <c r="F23" i="25"/>
  <c r="R52" i="26" l="1"/>
  <c r="T52" i="26"/>
  <c r="U52" i="26" s="1"/>
  <c r="AB29" i="24"/>
  <c r="AB28" i="24"/>
  <c r="AB27" i="24"/>
  <c r="Y29" i="24"/>
  <c r="Y30" i="24"/>
  <c r="Y31" i="24"/>
  <c r="Y32" i="24"/>
  <c r="Y28" i="24"/>
  <c r="AC29" i="24"/>
  <c r="AC28" i="24"/>
  <c r="V28" i="24"/>
  <c r="V29" i="24"/>
  <c r="V30" i="24"/>
  <c r="V31" i="24"/>
  <c r="V32" i="24"/>
  <c r="V33" i="24"/>
  <c r="V34" i="24"/>
  <c r="V35" i="24"/>
  <c r="V36" i="24"/>
  <c r="V37" i="24"/>
  <c r="V38" i="24"/>
  <c r="V39" i="24"/>
  <c r="V40" i="24"/>
  <c r="V41" i="24"/>
  <c r="V42" i="24"/>
  <c r="V43" i="24"/>
  <c r="V44" i="24"/>
  <c r="V27" i="24"/>
  <c r="N80" i="24"/>
  <c r="M80" i="24"/>
  <c r="N77" i="24"/>
  <c r="M77" i="24"/>
  <c r="N74" i="24"/>
  <c r="M74" i="24"/>
  <c r="G74" i="24"/>
  <c r="F74" i="24"/>
  <c r="G95" i="24"/>
  <c r="F95" i="24"/>
  <c r="G92" i="24"/>
  <c r="F92" i="24"/>
  <c r="G89" i="24"/>
  <c r="F89" i="24"/>
  <c r="G86" i="24"/>
  <c r="F86" i="24"/>
  <c r="G83" i="24"/>
  <c r="F83" i="24"/>
  <c r="G80" i="24"/>
  <c r="F80" i="24"/>
  <c r="G77" i="24"/>
  <c r="F77" i="24"/>
  <c r="T27" i="24"/>
  <c r="U27" i="24" s="1"/>
  <c r="R27" i="24"/>
  <c r="R28" i="24" s="1"/>
  <c r="S26" i="24"/>
  <c r="T28" i="24" l="1"/>
  <c r="T29" i="24" s="1"/>
  <c r="S28" i="24"/>
  <c r="R29" i="24"/>
  <c r="T30" i="24"/>
  <c r="U29" i="24"/>
  <c r="S27" i="24"/>
  <c r="U28" i="24"/>
  <c r="U30" i="24" l="1"/>
  <c r="T31" i="24"/>
  <c r="R30" i="24"/>
  <c r="S29" i="24"/>
  <c r="S30" i="24" l="1"/>
  <c r="R31" i="24"/>
  <c r="T32" i="24"/>
  <c r="U31" i="24"/>
  <c r="T6" i="24"/>
  <c r="N26" i="24"/>
  <c r="M26" i="24"/>
  <c r="N14" i="24"/>
  <c r="M14" i="24"/>
  <c r="N2" i="24"/>
  <c r="M2" i="24"/>
  <c r="G62" i="24"/>
  <c r="F62" i="24"/>
  <c r="G50" i="24"/>
  <c r="F50" i="24"/>
  <c r="G38" i="24"/>
  <c r="F38" i="24"/>
  <c r="G26" i="24"/>
  <c r="F26" i="24"/>
  <c r="G14" i="24"/>
  <c r="F14" i="24"/>
  <c r="F3" i="24"/>
  <c r="E66" i="23"/>
  <c r="E67" i="23"/>
  <c r="E68" i="23"/>
  <c r="E69" i="23"/>
  <c r="E70" i="23"/>
  <c r="E65" i="23"/>
  <c r="D69" i="23"/>
  <c r="D70" i="23" s="1"/>
  <c r="D68" i="23"/>
  <c r="D67" i="23"/>
  <c r="D65" i="23"/>
  <c r="E64" i="23"/>
  <c r="F185" i="1"/>
  <c r="F187" i="1" s="1"/>
  <c r="F190" i="1"/>
  <c r="F191" i="1"/>
  <c r="E188" i="1"/>
  <c r="E192" i="1" s="1"/>
  <c r="F192" i="1" s="1"/>
  <c r="E191" i="1"/>
  <c r="E190" i="1"/>
  <c r="E189" i="1"/>
  <c r="F189" i="1" s="1"/>
  <c r="E193" i="1" l="1"/>
  <c r="T33" i="24"/>
  <c r="U32" i="24"/>
  <c r="R32" i="24"/>
  <c r="S31" i="24"/>
  <c r="F188" i="1"/>
  <c r="F186" i="1"/>
  <c r="F193" i="1"/>
  <c r="S32" i="24" l="1"/>
  <c r="R33" i="24"/>
  <c r="T34" i="24"/>
  <c r="U33" i="24"/>
  <c r="U34" i="24" l="1"/>
  <c r="T35" i="24"/>
  <c r="R34" i="24"/>
  <c r="S33" i="24"/>
  <c r="S34" i="24" l="1"/>
  <c r="R35" i="24"/>
  <c r="T36" i="24"/>
  <c r="U35" i="24"/>
  <c r="U36" i="24" l="1"/>
  <c r="T37" i="24"/>
  <c r="R36" i="24"/>
  <c r="S35" i="24"/>
  <c r="S36" i="24" l="1"/>
  <c r="R37" i="24"/>
  <c r="T38" i="24"/>
  <c r="U37" i="24"/>
  <c r="U38" i="24" l="1"/>
  <c r="T39" i="24"/>
  <c r="R38" i="24"/>
  <c r="S37" i="24"/>
  <c r="S38" i="24" l="1"/>
  <c r="R39" i="24"/>
  <c r="T40" i="24"/>
  <c r="U39" i="24"/>
  <c r="U40" i="24" l="1"/>
  <c r="T41" i="24"/>
  <c r="R40" i="24"/>
  <c r="S39" i="24"/>
  <c r="S40" i="24" l="1"/>
  <c r="R41" i="24"/>
  <c r="T42" i="24"/>
  <c r="U41" i="24"/>
  <c r="R42" i="24" l="1"/>
  <c r="S41" i="24"/>
  <c r="U42" i="24"/>
  <c r="T43" i="24"/>
  <c r="T44" i="24" l="1"/>
  <c r="U44" i="24" s="1"/>
  <c r="U43" i="24"/>
  <c r="S42" i="24"/>
  <c r="R43" i="24"/>
  <c r="R44" i="24" l="1"/>
  <c r="S44" i="24" s="1"/>
  <c r="S43" i="24"/>
  <c r="E174" i="1" l="1"/>
  <c r="E173" i="1"/>
  <c r="E172" i="1"/>
  <c r="E175" i="1" s="1"/>
  <c r="E176" i="1" s="1"/>
  <c r="F169" i="1"/>
  <c r="D29" i="23" l="1"/>
  <c r="N6" i="23" l="1"/>
  <c r="O5" i="23"/>
  <c r="O7" i="23" l="1"/>
  <c r="O6" i="23"/>
  <c r="N9" i="23"/>
  <c r="O9" i="23" s="1"/>
  <c r="N10" i="23" l="1"/>
  <c r="O10" i="23" s="1"/>
  <c r="T17" i="12" l="1"/>
  <c r="U16" i="12"/>
  <c r="S16" i="12"/>
  <c r="AO83" i="12" l="1"/>
  <c r="AO84" i="12"/>
  <c r="AO85" i="12"/>
  <c r="AO86" i="12"/>
  <c r="AO87" i="12"/>
  <c r="AO82" i="12"/>
  <c r="AG3" i="13" l="1"/>
  <c r="AG4" i="13"/>
  <c r="AG5" i="13"/>
  <c r="AG2" i="13"/>
  <c r="U43" i="13"/>
  <c r="U42" i="13"/>
  <c r="U41" i="13"/>
  <c r="U40" i="13"/>
  <c r="U39" i="13"/>
  <c r="U38" i="13"/>
  <c r="X43" i="13"/>
  <c r="X42" i="13"/>
  <c r="X41" i="13"/>
  <c r="X40" i="13"/>
  <c r="X39" i="13"/>
  <c r="X38" i="13"/>
  <c r="X31" i="13"/>
  <c r="X32" i="13"/>
  <c r="X33" i="13"/>
  <c r="X34" i="13"/>
  <c r="X35" i="13"/>
  <c r="X30" i="13"/>
  <c r="U35" i="13"/>
  <c r="U31" i="13"/>
  <c r="U32" i="13"/>
  <c r="U34" i="13"/>
  <c r="U30" i="13"/>
  <c r="O158" i="13"/>
  <c r="N158" i="13"/>
  <c r="O146" i="13"/>
  <c r="N146" i="13"/>
  <c r="O134" i="13"/>
  <c r="N134" i="13"/>
  <c r="O122" i="13"/>
  <c r="N122" i="13"/>
  <c r="O110" i="13"/>
  <c r="N110" i="13"/>
  <c r="O98" i="13"/>
  <c r="N98" i="13"/>
  <c r="G158" i="13"/>
  <c r="F158" i="13"/>
  <c r="G146" i="13"/>
  <c r="F146" i="13"/>
  <c r="G134" i="13"/>
  <c r="F134" i="13"/>
  <c r="G122" i="13"/>
  <c r="F122" i="13"/>
  <c r="G110" i="13"/>
  <c r="F110" i="13"/>
  <c r="G98" i="13"/>
  <c r="F98" i="13"/>
  <c r="AE6" i="13"/>
  <c r="Y8" i="13"/>
  <c r="Y7" i="13"/>
  <c r="Y6" i="13"/>
  <c r="AE5" i="13"/>
  <c r="AB5" i="13"/>
  <c r="Y5" i="13"/>
  <c r="AE4" i="13"/>
  <c r="AB4" i="13"/>
  <c r="Y4" i="13"/>
  <c r="AF3" i="13"/>
  <c r="AE3" i="13"/>
  <c r="AB3" i="13"/>
  <c r="Y3" i="13"/>
  <c r="AF2" i="13"/>
  <c r="AE2" i="13"/>
  <c r="AB2" i="13"/>
  <c r="Y2" i="13"/>
  <c r="AG8" i="12"/>
  <c r="AG7" i="12"/>
  <c r="U45" i="12"/>
  <c r="U46" i="12" s="1"/>
  <c r="T45" i="12"/>
  <c r="T46" i="12" s="1"/>
  <c r="T47" i="12" s="1"/>
  <c r="T48" i="12" s="1"/>
  <c r="T49" i="12" s="1"/>
  <c r="T50" i="12" s="1"/>
  <c r="T51" i="12" s="1"/>
  <c r="T52" i="12" s="1"/>
  <c r="T53" i="12" s="1"/>
  <c r="T54" i="12" s="1"/>
  <c r="T55" i="12" s="1"/>
  <c r="T56" i="12" s="1"/>
  <c r="T57" i="12" s="1"/>
  <c r="T58" i="12" s="1"/>
  <c r="T59" i="12" s="1"/>
  <c r="T60" i="12" s="1"/>
  <c r="U44" i="12"/>
  <c r="V44" i="12" s="1"/>
  <c r="O50" i="13"/>
  <c r="N50" i="13"/>
  <c r="O38" i="13"/>
  <c r="N38" i="13"/>
  <c r="O26" i="13"/>
  <c r="N26" i="13"/>
  <c r="O14" i="13"/>
  <c r="N14" i="13"/>
  <c r="O2" i="13"/>
  <c r="N2" i="13"/>
  <c r="G14" i="13"/>
  <c r="G2" i="13"/>
  <c r="F14" i="13"/>
  <c r="F2" i="13"/>
  <c r="AA39" i="12"/>
  <c r="AA38" i="12"/>
  <c r="AA37" i="12"/>
  <c r="AA36" i="12"/>
  <c r="AA35" i="12"/>
  <c r="AA34" i="12"/>
  <c r="X35" i="12"/>
  <c r="X36" i="12"/>
  <c r="X37" i="12"/>
  <c r="X38" i="12"/>
  <c r="X39" i="12"/>
  <c r="X34" i="12"/>
  <c r="U47" i="12" l="1"/>
  <c r="V46" i="12"/>
  <c r="V45" i="12"/>
  <c r="Q158" i="12"/>
  <c r="P158" i="12"/>
  <c r="Q146" i="12"/>
  <c r="P146" i="12"/>
  <c r="Q134" i="12"/>
  <c r="P134" i="12"/>
  <c r="Q122" i="12"/>
  <c r="P122" i="12"/>
  <c r="Q110" i="12"/>
  <c r="P110" i="12"/>
  <c r="Q98" i="12"/>
  <c r="P98" i="12"/>
  <c r="N158" i="12"/>
  <c r="M158" i="12"/>
  <c r="N146" i="12"/>
  <c r="M146" i="12"/>
  <c r="N134" i="12"/>
  <c r="M134" i="12"/>
  <c r="N122" i="12"/>
  <c r="M122" i="12"/>
  <c r="N110" i="12"/>
  <c r="M110" i="12"/>
  <c r="M98" i="12"/>
  <c r="N98" i="12"/>
  <c r="AG3" i="12"/>
  <c r="AG4" i="12"/>
  <c r="AG2" i="12"/>
  <c r="Z3" i="12"/>
  <c r="Z4" i="12"/>
  <c r="Z5" i="12"/>
  <c r="Z6" i="12"/>
  <c r="Z7" i="12"/>
  <c r="Z8" i="12"/>
  <c r="Z2" i="12"/>
  <c r="AF5" i="12"/>
  <c r="AF4" i="12"/>
  <c r="AF3" i="12"/>
  <c r="AF2" i="12"/>
  <c r="AC3" i="12"/>
  <c r="AC4" i="12"/>
  <c r="AC5" i="12"/>
  <c r="AC2" i="12"/>
  <c r="Q38" i="12"/>
  <c r="P38" i="12"/>
  <c r="Q26" i="12"/>
  <c r="P26" i="12"/>
  <c r="Q14" i="12"/>
  <c r="P14" i="12"/>
  <c r="N38" i="12"/>
  <c r="M38" i="12"/>
  <c r="N26" i="12"/>
  <c r="M26" i="12"/>
  <c r="N14" i="12"/>
  <c r="M14" i="12"/>
  <c r="Q2" i="12"/>
  <c r="P2" i="12"/>
  <c r="N2" i="12"/>
  <c r="M2" i="12"/>
  <c r="U48" i="12" l="1"/>
  <c r="V47" i="12"/>
  <c r="E96" i="1"/>
  <c r="D98" i="1"/>
  <c r="D100" i="1" s="1"/>
  <c r="E100" i="1" s="1"/>
  <c r="F174" i="1" l="1"/>
  <c r="F173" i="1"/>
  <c r="F172" i="1"/>
  <c r="F170" i="1"/>
  <c r="F175" i="1"/>
  <c r="F171" i="1"/>
  <c r="F176" i="1"/>
  <c r="E97" i="1"/>
  <c r="E99" i="1"/>
  <c r="E98" i="1"/>
  <c r="U49" i="12"/>
  <c r="V48" i="12"/>
  <c r="D101" i="1"/>
  <c r="E101" i="1" s="1"/>
  <c r="V49" i="12" l="1"/>
  <c r="U50" i="12"/>
  <c r="U51" i="12" l="1"/>
  <c r="V50" i="12"/>
  <c r="V51" i="12" l="1"/>
  <c r="U52" i="12"/>
  <c r="V52" i="12" l="1"/>
  <c r="U53" i="12"/>
  <c r="U54" i="12" l="1"/>
  <c r="V53" i="12"/>
  <c r="U55" i="12" l="1"/>
  <c r="V54" i="12"/>
  <c r="U56" i="12" l="1"/>
  <c r="V55" i="12"/>
  <c r="U57" i="12" l="1"/>
  <c r="V56" i="12"/>
  <c r="V57" i="12" l="1"/>
  <c r="U58" i="12"/>
  <c r="U59" i="12" l="1"/>
  <c r="V58" i="12"/>
  <c r="V59" i="12" l="1"/>
  <c r="U60" i="12"/>
  <c r="V60" i="12" s="1"/>
  <c r="L83" i="11" l="1"/>
  <c r="L80" i="11"/>
  <c r="L77" i="11"/>
  <c r="L74" i="11"/>
  <c r="L56" i="11"/>
  <c r="L50" i="11"/>
  <c r="L32" i="11"/>
  <c r="L29" i="11"/>
  <c r="L8" i="11"/>
  <c r="L5" i="11"/>
  <c r="L2" i="11"/>
  <c r="G27" i="10"/>
  <c r="G29" i="10" s="1"/>
  <c r="G34" i="10"/>
  <c r="F29" i="10"/>
  <c r="F30" i="10"/>
  <c r="F31" i="10"/>
  <c r="F32" i="10"/>
  <c r="F33" i="10"/>
  <c r="F34" i="10"/>
  <c r="D34" i="10"/>
  <c r="E29" i="10"/>
  <c r="E30" i="10"/>
  <c r="E31" i="10"/>
  <c r="E32" i="10"/>
  <c r="E33" i="10"/>
  <c r="E34" i="10"/>
  <c r="D33" i="10"/>
  <c r="D31" i="10"/>
  <c r="D30" i="10"/>
  <c r="D29" i="10"/>
  <c r="L41" i="10"/>
  <c r="D21" i="10" s="1"/>
  <c r="F27" i="10"/>
  <c r="E20" i="10"/>
  <c r="G27" i="3"/>
  <c r="Y87" i="9" a="1"/>
  <c r="Y87" i="9" s="1"/>
  <c r="S81" i="9"/>
  <c r="S82" i="9" s="1"/>
  <c r="T82" i="9" s="1"/>
  <c r="S77" i="9"/>
  <c r="S78" i="9" s="1"/>
  <c r="W76" i="9"/>
  <c r="W77" i="9" s="1"/>
  <c r="U76" i="9"/>
  <c r="U77" i="9" s="1"/>
  <c r="T76" i="9"/>
  <c r="Y76" i="9" s="1"/>
  <c r="S76" i="9"/>
  <c r="Q76" i="9"/>
  <c r="Q77" i="9" s="1"/>
  <c r="V75" i="9"/>
  <c r="R75" i="9"/>
  <c r="L92" i="9"/>
  <c r="M92" i="9"/>
  <c r="M89" i="9"/>
  <c r="L89" i="9"/>
  <c r="M86" i="9"/>
  <c r="L86" i="9"/>
  <c r="M83" i="9"/>
  <c r="L83" i="9"/>
  <c r="M80" i="9"/>
  <c r="L80" i="9"/>
  <c r="M77" i="9"/>
  <c r="L77" i="9"/>
  <c r="M74" i="9"/>
  <c r="L74" i="9"/>
  <c r="X63" i="5"/>
  <c r="X64" i="5"/>
  <c r="X65" i="5"/>
  <c r="X71" i="5" s="1" a="1"/>
  <c r="X71" i="5" s="1"/>
  <c r="Y73" i="5" s="1"/>
  <c r="X66" i="5"/>
  <c r="X67" i="5"/>
  <c r="X62" i="5"/>
  <c r="AF22" i="4"/>
  <c r="AF23" i="4"/>
  <c r="AF24" i="4"/>
  <c r="AF21" i="4"/>
  <c r="AD24" i="4" a="1"/>
  <c r="AD24" i="4" s="1"/>
  <c r="AD23" i="4" a="1"/>
  <c r="AD23" i="4" s="1"/>
  <c r="AD22" i="4" a="1"/>
  <c r="AD22" i="4" s="1"/>
  <c r="AD21" i="4" a="1"/>
  <c r="AD21" i="4" s="1"/>
  <c r="S63" i="5"/>
  <c r="S64" i="5"/>
  <c r="S65" i="5"/>
  <c r="S66" i="5"/>
  <c r="S67" i="5"/>
  <c r="S68" i="5"/>
  <c r="S62" i="5"/>
  <c r="W63" i="5"/>
  <c r="W64" i="5"/>
  <c r="W65" i="5"/>
  <c r="W66" i="5"/>
  <c r="W67" i="5"/>
  <c r="W68" i="5"/>
  <c r="V68" i="5"/>
  <c r="V66" i="5"/>
  <c r="V65" i="5"/>
  <c r="V64" i="5"/>
  <c r="V62" i="5"/>
  <c r="U62" i="5"/>
  <c r="U63" i="5"/>
  <c r="U64" i="5"/>
  <c r="U65" i="5"/>
  <c r="U66" i="5"/>
  <c r="U67" i="5"/>
  <c r="U68" i="5"/>
  <c r="T68" i="5"/>
  <c r="R68" i="5"/>
  <c r="Q68" i="5"/>
  <c r="R67" i="5"/>
  <c r="R66" i="5"/>
  <c r="R65" i="5"/>
  <c r="R64" i="5"/>
  <c r="R63" i="5"/>
  <c r="Q64" i="5"/>
  <c r="Q65" i="5"/>
  <c r="Q66" i="5"/>
  <c r="T66" i="5"/>
  <c r="T65" i="5"/>
  <c r="T64" i="5"/>
  <c r="P68" i="5"/>
  <c r="R62" i="5"/>
  <c r="P62" i="5"/>
  <c r="P63" i="5" s="1"/>
  <c r="P64" i="5" s="1"/>
  <c r="P65" i="5" s="1"/>
  <c r="P66" i="5" s="1"/>
  <c r="U61" i="5"/>
  <c r="Q61" i="5"/>
  <c r="Y7" i="9"/>
  <c r="Y13" i="9"/>
  <c r="Y19" i="9"/>
  <c r="Y6" i="9"/>
  <c r="Y12" i="9"/>
  <c r="Y18" i="9"/>
  <c r="Y5" i="9"/>
  <c r="Y11" i="9"/>
  <c r="Y17" i="9"/>
  <c r="Y4" i="9"/>
  <c r="Y10" i="9"/>
  <c r="Y16" i="9"/>
  <c r="Y3" i="9"/>
  <c r="Y9" i="9"/>
  <c r="Y15" i="9"/>
  <c r="Y2" i="9"/>
  <c r="Y8" i="9"/>
  <c r="Y14" i="9"/>
  <c r="G30" i="10" l="1"/>
  <c r="G33" i="10"/>
  <c r="G31" i="10"/>
  <c r="G32" i="10"/>
  <c r="E21" i="10"/>
  <c r="D28" i="10"/>
  <c r="D22" i="10"/>
  <c r="G21" i="10"/>
  <c r="Z87" i="9"/>
  <c r="Z89" i="9"/>
  <c r="S79" i="9"/>
  <c r="T78" i="9"/>
  <c r="Y78" i="9" s="1"/>
  <c r="Q81" i="9"/>
  <c r="Q78" i="9"/>
  <c r="R77" i="9"/>
  <c r="U78" i="9"/>
  <c r="U81" i="9"/>
  <c r="V77" i="9"/>
  <c r="W81" i="9"/>
  <c r="X77" i="9"/>
  <c r="W78" i="9"/>
  <c r="X76" i="9"/>
  <c r="T81" i="9"/>
  <c r="Y81" i="9" s="1"/>
  <c r="R76" i="9"/>
  <c r="T77" i="9"/>
  <c r="Y77" i="9" s="1"/>
  <c r="V76" i="9"/>
  <c r="AE24" i="4"/>
  <c r="AE23" i="4"/>
  <c r="AE22" i="4"/>
  <c r="AE21" i="4"/>
  <c r="Y71" i="5"/>
  <c r="Q63" i="5"/>
  <c r="P67" i="5"/>
  <c r="Q62" i="5"/>
  <c r="T62" i="5"/>
  <c r="G22" i="10" l="1"/>
  <c r="G23" i="10" s="1"/>
  <c r="E22" i="10"/>
  <c r="E23" i="10" s="1"/>
  <c r="F23" i="10" s="1"/>
  <c r="F28" i="10"/>
  <c r="E28" i="10"/>
  <c r="G28" i="10"/>
  <c r="D23" i="10"/>
  <c r="U82" i="9"/>
  <c r="V82" i="9" s="1"/>
  <c r="V81" i="9"/>
  <c r="S80" i="9"/>
  <c r="T80" i="9" s="1"/>
  <c r="Y80" i="9" s="1"/>
  <c r="T79" i="9"/>
  <c r="Y79" i="9" s="1"/>
  <c r="W82" i="9"/>
  <c r="X82" i="9" s="1"/>
  <c r="X81" i="9"/>
  <c r="Q79" i="9"/>
  <c r="R78" i="9"/>
  <c r="U79" i="9"/>
  <c r="V78" i="9"/>
  <c r="W79" i="9"/>
  <c r="X78" i="9"/>
  <c r="Q82" i="9"/>
  <c r="R82" i="9" s="1"/>
  <c r="R81" i="9"/>
  <c r="W62" i="5"/>
  <c r="V63" i="5"/>
  <c r="Q67" i="5"/>
  <c r="T63" i="5"/>
  <c r="Q80" i="9" l="1"/>
  <c r="R80" i="9" s="1"/>
  <c r="R79" i="9"/>
  <c r="U80" i="9"/>
  <c r="V80" i="9" s="1"/>
  <c r="V79" i="9"/>
  <c r="W80" i="9"/>
  <c r="X80" i="9" s="1"/>
  <c r="X79" i="9"/>
  <c r="V67" i="5"/>
  <c r="T67" i="5"/>
  <c r="R19" i="9" l="1"/>
  <c r="R18" i="9"/>
  <c r="R17" i="9"/>
  <c r="R16" i="9"/>
  <c r="R15" i="9"/>
  <c r="R14" i="9"/>
  <c r="R13" i="9"/>
  <c r="R12" i="9"/>
  <c r="R11" i="9"/>
  <c r="R10" i="9"/>
  <c r="R9" i="9"/>
  <c r="R8" i="9"/>
  <c r="R7" i="9"/>
  <c r="R6" i="9"/>
  <c r="R5" i="9"/>
  <c r="R4" i="9"/>
  <c r="R3" i="9"/>
  <c r="R2" i="9"/>
  <c r="M70" i="9"/>
  <c r="M66" i="9"/>
  <c r="M62" i="9"/>
  <c r="M58" i="9"/>
  <c r="M54" i="9"/>
  <c r="M50" i="9"/>
  <c r="M46" i="9"/>
  <c r="M42" i="9"/>
  <c r="M38" i="9"/>
  <c r="M34" i="9"/>
  <c r="M30" i="9"/>
  <c r="M26" i="9"/>
  <c r="M22" i="9"/>
  <c r="M18" i="9"/>
  <c r="M14" i="9"/>
  <c r="M10" i="9"/>
  <c r="M6" i="9"/>
  <c r="M2" i="9"/>
  <c r="L70" i="9"/>
  <c r="L66" i="9"/>
  <c r="L62" i="9"/>
  <c r="L58" i="9"/>
  <c r="L54" i="9"/>
  <c r="L50" i="9"/>
  <c r="L46" i="9"/>
  <c r="L42" i="9"/>
  <c r="L38" i="9"/>
  <c r="L34" i="9"/>
  <c r="L30" i="9"/>
  <c r="L26" i="9"/>
  <c r="L22" i="9"/>
  <c r="L18" i="9"/>
  <c r="L14" i="9"/>
  <c r="L10" i="9"/>
  <c r="L6" i="9"/>
  <c r="L2" i="9"/>
  <c r="K77" i="8"/>
  <c r="L191" i="5"/>
  <c r="L188" i="5"/>
  <c r="L185" i="5"/>
  <c r="L182" i="5"/>
  <c r="L179" i="5"/>
  <c r="L176" i="5"/>
  <c r="L173" i="5"/>
  <c r="L170" i="5"/>
  <c r="L168" i="5"/>
  <c r="L166" i="5"/>
  <c r="L164" i="5"/>
  <c r="L162" i="5"/>
  <c r="L160" i="5"/>
  <c r="L158" i="5"/>
  <c r="L156" i="5"/>
  <c r="L154" i="5"/>
  <c r="L152" i="5"/>
  <c r="L150" i="5"/>
  <c r="L148" i="5"/>
  <c r="L146" i="5"/>
  <c r="L144" i="5"/>
  <c r="L142" i="5"/>
  <c r="L140" i="5"/>
  <c r="L138" i="5"/>
  <c r="L136" i="5"/>
  <c r="L134" i="5"/>
  <c r="L132" i="5"/>
  <c r="L130" i="5"/>
  <c r="L128" i="5"/>
  <c r="L126" i="5"/>
  <c r="L124" i="5"/>
  <c r="L122" i="5"/>
  <c r="L120" i="5"/>
  <c r="L118" i="5"/>
  <c r="L116" i="5"/>
  <c r="L114" i="5"/>
  <c r="L112" i="5"/>
  <c r="L110" i="5"/>
  <c r="L108" i="5"/>
  <c r="L106" i="5"/>
  <c r="L104" i="5"/>
  <c r="L102" i="5"/>
  <c r="L100" i="5"/>
  <c r="L98" i="5"/>
  <c r="C149" i="8"/>
  <c r="C192" i="8"/>
  <c r="C173" i="8"/>
  <c r="C138" i="8"/>
  <c r="C151" i="8"/>
  <c r="F65" i="8"/>
  <c r="C142" i="8"/>
  <c r="C140" i="8"/>
  <c r="C139" i="8"/>
  <c r="F47" i="8"/>
  <c r="F48" i="8"/>
  <c r="F49" i="8"/>
  <c r="F50" i="8"/>
  <c r="F46" i="8"/>
  <c r="F45" i="8"/>
  <c r="E51" i="8"/>
  <c r="F51" i="8" s="1"/>
  <c r="E46" i="8"/>
  <c r="Q68" i="8"/>
  <c r="Q67" i="8"/>
  <c r="R65" i="8"/>
  <c r="L65" i="8"/>
  <c r="R69" i="8"/>
  <c r="K68" i="8"/>
  <c r="K67" i="8"/>
  <c r="L67" i="8" s="1"/>
  <c r="E68" i="8"/>
  <c r="E67" i="8"/>
  <c r="R70" i="8"/>
  <c r="L71" i="8"/>
  <c r="L70" i="8"/>
  <c r="L69" i="8"/>
  <c r="L68" i="8"/>
  <c r="F69" i="8"/>
  <c r="F70" i="8"/>
  <c r="E58" i="8"/>
  <c r="E57" i="8"/>
  <c r="E59" i="8"/>
  <c r="K191" i="8"/>
  <c r="K190" i="8"/>
  <c r="K189" i="8"/>
  <c r="K188" i="8"/>
  <c r="K187" i="8"/>
  <c r="K186" i="8"/>
  <c r="K185" i="8"/>
  <c r="K184" i="8"/>
  <c r="K183" i="8"/>
  <c r="K182" i="8"/>
  <c r="K181" i="8"/>
  <c r="K180" i="8"/>
  <c r="K179" i="8"/>
  <c r="C179" i="8"/>
  <c r="C185" i="8" s="1"/>
  <c r="C191" i="8" s="1"/>
  <c r="K178" i="8"/>
  <c r="C178" i="8"/>
  <c r="C184" i="8" s="1"/>
  <c r="C190" i="8" s="1"/>
  <c r="K177" i="8"/>
  <c r="C177" i="8"/>
  <c r="C183" i="8" s="1"/>
  <c r="C189" i="8" s="1"/>
  <c r="K176" i="8"/>
  <c r="C176" i="8"/>
  <c r="C182" i="8" s="1"/>
  <c r="C188" i="8" s="1"/>
  <c r="K175" i="8"/>
  <c r="C175" i="8"/>
  <c r="C181" i="8" s="1"/>
  <c r="C187" i="8" s="1"/>
  <c r="K174" i="8"/>
  <c r="C174" i="8"/>
  <c r="C180" i="8" s="1"/>
  <c r="C186" i="8" s="1"/>
  <c r="K172" i="8"/>
  <c r="K171" i="8"/>
  <c r="K170" i="8"/>
  <c r="K169" i="8"/>
  <c r="K168" i="8"/>
  <c r="K167" i="8"/>
  <c r="K166" i="8"/>
  <c r="K165" i="8"/>
  <c r="K164" i="8"/>
  <c r="K163" i="8"/>
  <c r="K162" i="8"/>
  <c r="K161" i="8"/>
  <c r="K160" i="8"/>
  <c r="K159" i="8"/>
  <c r="K158" i="8"/>
  <c r="K157" i="8"/>
  <c r="K156" i="8"/>
  <c r="K155" i="8"/>
  <c r="K154" i="8"/>
  <c r="C154" i="8"/>
  <c r="C155" i="8" s="1"/>
  <c r="K153" i="8"/>
  <c r="K152" i="8"/>
  <c r="C152" i="8"/>
  <c r="C153" i="8" s="1"/>
  <c r="K151" i="8"/>
  <c r="K150" i="8"/>
  <c r="K149" i="8"/>
  <c r="C148" i="8"/>
  <c r="K147" i="8"/>
  <c r="K146" i="8"/>
  <c r="K145" i="8"/>
  <c r="K144" i="8"/>
  <c r="K143" i="8"/>
  <c r="K142" i="8"/>
  <c r="K141" i="8"/>
  <c r="K140" i="8"/>
  <c r="K139" i="8"/>
  <c r="C141" i="8"/>
  <c r="C145" i="8" s="1"/>
  <c r="K138" i="8"/>
  <c r="K137" i="8"/>
  <c r="K136" i="8"/>
  <c r="K135" i="8"/>
  <c r="C135" i="8"/>
  <c r="C147" i="8" s="1"/>
  <c r="K134" i="8"/>
  <c r="C134" i="8"/>
  <c r="C137" i="8" s="1"/>
  <c r="K133" i="8"/>
  <c r="C133" i="8"/>
  <c r="C136" i="8" s="1"/>
  <c r="K130" i="8"/>
  <c r="K129" i="8"/>
  <c r="K128" i="8"/>
  <c r="K127" i="8"/>
  <c r="K126" i="8"/>
  <c r="K125" i="8"/>
  <c r="K124" i="8"/>
  <c r="K123" i="8"/>
  <c r="K122" i="8"/>
  <c r="K121" i="8"/>
  <c r="K120" i="8"/>
  <c r="C158" i="8"/>
  <c r="C159" i="8" s="1"/>
  <c r="K119" i="8"/>
  <c r="K118" i="8"/>
  <c r="C162" i="8"/>
  <c r="C163" i="8" s="1"/>
  <c r="K117" i="8"/>
  <c r="C156" i="8"/>
  <c r="C157" i="8" s="1"/>
  <c r="K116" i="8"/>
  <c r="K115" i="8"/>
  <c r="C160" i="8"/>
  <c r="K114" i="8"/>
  <c r="K113" i="8"/>
  <c r="K112" i="8"/>
  <c r="K111" i="8"/>
  <c r="K110" i="8"/>
  <c r="K109" i="8"/>
  <c r="K108" i="8"/>
  <c r="K107" i="8"/>
  <c r="K106" i="8"/>
  <c r="K105" i="8"/>
  <c r="K104" i="8"/>
  <c r="K103" i="8"/>
  <c r="K102" i="8"/>
  <c r="K101" i="8"/>
  <c r="K100" i="8"/>
  <c r="K99" i="8"/>
  <c r="K98" i="8"/>
  <c r="D92" i="8"/>
  <c r="C92" i="8" s="1"/>
  <c r="H92" i="8" s="1"/>
  <c r="I92" i="8" s="1"/>
  <c r="B83" i="8"/>
  <c r="D93" i="8" s="1"/>
  <c r="C93" i="8" s="1"/>
  <c r="H93" i="8" s="1"/>
  <c r="I93" i="8" s="1"/>
  <c r="B82" i="8"/>
  <c r="B81" i="8"/>
  <c r="D91" i="8" s="1"/>
  <c r="C91" i="8" s="1"/>
  <c r="H91" i="8" s="1"/>
  <c r="I91" i="8" s="1"/>
  <c r="B80" i="8"/>
  <c r="D90" i="8" s="1"/>
  <c r="C90" i="8" s="1"/>
  <c r="H90" i="8" s="1"/>
  <c r="I90" i="8" s="1"/>
  <c r="B79" i="8"/>
  <c r="D89" i="8" s="1"/>
  <c r="C89" i="8" s="1"/>
  <c r="H89" i="8" s="1"/>
  <c r="I89" i="8" s="1"/>
  <c r="B78" i="8"/>
  <c r="D88" i="8" s="1"/>
  <c r="C88" i="8" s="1"/>
  <c r="H88" i="8" s="1"/>
  <c r="I88" i="8" s="1"/>
  <c r="R71" i="8" l="1"/>
  <c r="F71" i="8"/>
  <c r="C144" i="8"/>
  <c r="F67" i="8"/>
  <c r="F68" i="8"/>
  <c r="R67" i="8"/>
  <c r="R68" i="8"/>
  <c r="F55" i="8"/>
  <c r="C143" i="8"/>
  <c r="C146" i="8" s="1"/>
  <c r="C161" i="8"/>
  <c r="C164" i="8"/>
  <c r="C165" i="8" s="1"/>
  <c r="C170" i="8" s="1"/>
  <c r="C168" i="8"/>
  <c r="C169" i="8" s="1"/>
  <c r="C171" i="8" s="1"/>
  <c r="C166" i="8"/>
  <c r="C167" i="8" s="1"/>
  <c r="C172" i="8" s="1"/>
  <c r="E52" i="8" l="1"/>
  <c r="F59" i="8"/>
  <c r="F60" i="8"/>
  <c r="F57" i="8"/>
  <c r="F58" i="8"/>
  <c r="Q66" i="8" l="1"/>
  <c r="K66" i="8"/>
  <c r="E66" i="8"/>
  <c r="E56" i="8"/>
  <c r="F56" i="8" s="1"/>
  <c r="F52" i="8"/>
  <c r="F66" i="8"/>
  <c r="E72" i="8"/>
  <c r="F72" i="8" s="1"/>
  <c r="K72" i="8" l="1"/>
  <c r="L72" i="8" s="1"/>
  <c r="L66" i="8"/>
  <c r="K73" i="8"/>
  <c r="L73" i="8" s="1"/>
  <c r="R66" i="8"/>
  <c r="Q72" i="8"/>
  <c r="R72" i="8" s="1"/>
  <c r="E61" i="8"/>
  <c r="F61" i="8" s="1"/>
  <c r="E73" i="8"/>
  <c r="F73" i="8" s="1"/>
  <c r="Q73" i="8" l="1"/>
  <c r="R73" i="8" s="1"/>
  <c r="E62" i="8"/>
  <c r="F62" i="8" s="1"/>
  <c r="Z32" i="5" l="1"/>
  <c r="Y32" i="5"/>
  <c r="Z26" i="5"/>
  <c r="Y26" i="5"/>
  <c r="Z20" i="5"/>
  <c r="Y20" i="5"/>
  <c r="Z14" i="5"/>
  <c r="Y14" i="5"/>
  <c r="Z8" i="5"/>
  <c r="Y8" i="5"/>
  <c r="Z2" i="5"/>
  <c r="Y2" i="5"/>
  <c r="W37" i="5"/>
  <c r="W31" i="5"/>
  <c r="W25" i="5"/>
  <c r="W19" i="5"/>
  <c r="W13" i="5"/>
  <c r="W7" i="5"/>
  <c r="W36" i="5"/>
  <c r="W30" i="5"/>
  <c r="W24" i="5"/>
  <c r="W18" i="5"/>
  <c r="W12" i="5"/>
  <c r="W6" i="5"/>
  <c r="W35" i="5"/>
  <c r="W29" i="5"/>
  <c r="W23" i="5"/>
  <c r="W17" i="5"/>
  <c r="W11" i="5"/>
  <c r="W5" i="5"/>
  <c r="W34" i="5"/>
  <c r="W28" i="5"/>
  <c r="W22" i="5"/>
  <c r="W16" i="5"/>
  <c r="W10" i="5"/>
  <c r="W4" i="5"/>
  <c r="W33" i="5"/>
  <c r="W27" i="5"/>
  <c r="W21" i="5"/>
  <c r="W15" i="5"/>
  <c r="W9" i="5"/>
  <c r="W3" i="5"/>
  <c r="W32" i="5"/>
  <c r="W26" i="5"/>
  <c r="W20" i="5"/>
  <c r="W14" i="5"/>
  <c r="W8" i="5"/>
  <c r="W2" i="5"/>
  <c r="W1"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2" i="5"/>
  <c r="P1" i="5"/>
  <c r="S32" i="5"/>
  <c r="S26" i="5"/>
  <c r="S20" i="5"/>
  <c r="S14" i="5"/>
  <c r="S8" i="5"/>
  <c r="S2" i="5"/>
  <c r="R32" i="5"/>
  <c r="R26" i="5"/>
  <c r="R20" i="5"/>
  <c r="R14" i="5"/>
  <c r="R8" i="5"/>
  <c r="R2" i="5"/>
  <c r="M95" i="5" l="1"/>
  <c r="L95" i="5"/>
  <c r="M92" i="5"/>
  <c r="L92" i="5"/>
  <c r="M89" i="5"/>
  <c r="L89" i="5"/>
  <c r="M86" i="5"/>
  <c r="L86" i="5"/>
  <c r="M83" i="5"/>
  <c r="L83" i="5"/>
  <c r="M80" i="5"/>
  <c r="L80" i="5"/>
  <c r="M77" i="5"/>
  <c r="L77" i="5"/>
  <c r="M74" i="5"/>
  <c r="L74" i="5"/>
  <c r="L72" i="5"/>
  <c r="L70" i="5"/>
  <c r="L68" i="5"/>
  <c r="L66" i="5"/>
  <c r="L64" i="5"/>
  <c r="L62" i="5"/>
  <c r="L60" i="5"/>
  <c r="L58" i="5"/>
  <c r="L56" i="5"/>
  <c r="L54" i="5"/>
  <c r="L52" i="5"/>
  <c r="L50" i="5"/>
  <c r="L48" i="5"/>
  <c r="L46" i="5"/>
  <c r="L44" i="5"/>
  <c r="L42" i="5"/>
  <c r="L40" i="5"/>
  <c r="L38" i="5"/>
  <c r="L36" i="5"/>
  <c r="L34" i="5"/>
  <c r="L32" i="5"/>
  <c r="L30" i="5"/>
  <c r="L28" i="5"/>
  <c r="L26" i="5"/>
  <c r="L24" i="5"/>
  <c r="L22" i="5"/>
  <c r="L20" i="5"/>
  <c r="L18" i="5"/>
  <c r="L16" i="5"/>
  <c r="L14" i="5"/>
  <c r="L8" i="5"/>
  <c r="L6" i="5"/>
  <c r="L4" i="5"/>
  <c r="L2" i="5"/>
  <c r="F148" i="7"/>
  <c r="F145" i="7"/>
  <c r="F146" i="7"/>
  <c r="F147" i="7"/>
  <c r="F144" i="7"/>
  <c r="F143" i="7"/>
  <c r="C47" i="7"/>
  <c r="E156" i="7" s="1"/>
  <c r="E147" i="7"/>
  <c r="E145" i="7"/>
  <c r="E144" i="7"/>
  <c r="E148" i="7" s="1"/>
  <c r="K136" i="7"/>
  <c r="K137" i="7"/>
  <c r="K138" i="7"/>
  <c r="K139" i="7"/>
  <c r="M149" i="7" s="1"/>
  <c r="L149" i="7" s="1"/>
  <c r="Q149" i="7" s="1"/>
  <c r="R149" i="7" s="1"/>
  <c r="K140" i="7"/>
  <c r="K141" i="7"/>
  <c r="M151" i="7" s="1"/>
  <c r="L151" i="7" s="1"/>
  <c r="Q151" i="7" s="1"/>
  <c r="R151" i="7" s="1"/>
  <c r="F154" i="7"/>
  <c r="F212" i="7"/>
  <c r="F204" i="7"/>
  <c r="F196" i="7"/>
  <c r="F188" i="7"/>
  <c r="F180" i="7"/>
  <c r="F172" i="7"/>
  <c r="F206" i="7" s="1"/>
  <c r="F163" i="7"/>
  <c r="F166" i="7" s="1"/>
  <c r="M150" i="7"/>
  <c r="L150" i="7" s="1"/>
  <c r="Q150" i="7" s="1"/>
  <c r="R150" i="7" s="1"/>
  <c r="M148" i="7"/>
  <c r="L148" i="7" s="1"/>
  <c r="Q148" i="7" s="1"/>
  <c r="R148" i="7" s="1"/>
  <c r="M147" i="7"/>
  <c r="L147" i="7" s="1"/>
  <c r="Q147" i="7" s="1"/>
  <c r="R147" i="7" s="1"/>
  <c r="M146" i="7"/>
  <c r="L146" i="7" s="1"/>
  <c r="Q146" i="7" s="1"/>
  <c r="R146" i="7" s="1"/>
  <c r="L129" i="7"/>
  <c r="L128" i="7"/>
  <c r="L123" i="7"/>
  <c r="P122" i="7"/>
  <c r="P121" i="7"/>
  <c r="K117" i="7"/>
  <c r="K116" i="7"/>
  <c r="K115" i="7"/>
  <c r="K114" i="7"/>
  <c r="K113" i="7"/>
  <c r="K112" i="7"/>
  <c r="K111" i="7"/>
  <c r="K110" i="7"/>
  <c r="K109" i="7"/>
  <c r="K104" i="7"/>
  <c r="K103" i="7"/>
  <c r="K102" i="7"/>
  <c r="K101" i="7"/>
  <c r="K100" i="7"/>
  <c r="K99" i="7"/>
  <c r="K98" i="7"/>
  <c r="K97" i="7"/>
  <c r="K96" i="7"/>
  <c r="K95" i="7"/>
  <c r="K94" i="7"/>
  <c r="K93" i="7"/>
  <c r="K92" i="7"/>
  <c r="K91" i="7"/>
  <c r="K90" i="7"/>
  <c r="K89" i="7"/>
  <c r="K88" i="7"/>
  <c r="K87" i="7"/>
  <c r="C87" i="7"/>
  <c r="C94" i="7" s="1"/>
  <c r="C95" i="7" s="1"/>
  <c r="K86" i="7"/>
  <c r="K85" i="7"/>
  <c r="K84" i="7"/>
  <c r="K83" i="7"/>
  <c r="K82" i="7"/>
  <c r="C82" i="7"/>
  <c r="E215" i="7" s="1"/>
  <c r="F215" i="7" s="1"/>
  <c r="K81" i="7"/>
  <c r="K80" i="7"/>
  <c r="K79" i="7"/>
  <c r="K78" i="7"/>
  <c r="C78" i="7"/>
  <c r="C79" i="7" s="1"/>
  <c r="K77" i="7"/>
  <c r="K76" i="7"/>
  <c r="K75" i="7"/>
  <c r="K74" i="7"/>
  <c r="C74" i="7"/>
  <c r="E199" i="7" s="1"/>
  <c r="K73" i="7"/>
  <c r="K72" i="7"/>
  <c r="K71" i="7"/>
  <c r="K70" i="7"/>
  <c r="C70" i="7"/>
  <c r="E191" i="7" s="1"/>
  <c r="K69" i="7"/>
  <c r="K68" i="7"/>
  <c r="K67" i="7"/>
  <c r="K66" i="7"/>
  <c r="C66" i="7"/>
  <c r="C67" i="7" s="1"/>
  <c r="K65" i="7"/>
  <c r="K64" i="7"/>
  <c r="K63" i="7"/>
  <c r="K62" i="7"/>
  <c r="C62" i="7"/>
  <c r="E175" i="7" s="1"/>
  <c r="F175" i="7" s="1"/>
  <c r="K61" i="7"/>
  <c r="K60" i="7"/>
  <c r="K59" i="7"/>
  <c r="C59" i="7"/>
  <c r="K58" i="7"/>
  <c r="K57" i="7"/>
  <c r="C57" i="7"/>
  <c r="K56" i="7"/>
  <c r="K55" i="7"/>
  <c r="K54" i="7"/>
  <c r="K53" i="7"/>
  <c r="K52" i="7"/>
  <c r="K51" i="7"/>
  <c r="K49" i="7"/>
  <c r="K48" i="7"/>
  <c r="C48" i="7"/>
  <c r="E157" i="7" s="1"/>
  <c r="K47" i="7"/>
  <c r="K46" i="7"/>
  <c r="K45" i="7"/>
  <c r="C45" i="7"/>
  <c r="C46" i="7" s="1"/>
  <c r="K44" i="7"/>
  <c r="C44" i="7"/>
  <c r="C88" i="7" s="1"/>
  <c r="C96" i="7" s="1"/>
  <c r="C97" i="7" s="1"/>
  <c r="K43" i="7"/>
  <c r="C43" i="7"/>
  <c r="K42" i="7"/>
  <c r="C42" i="7"/>
  <c r="K41" i="7"/>
  <c r="C41" i="7"/>
  <c r="K40" i="7"/>
  <c r="C40"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K9" i="7"/>
  <c r="K8" i="7"/>
  <c r="K7" i="7"/>
  <c r="K6" i="7"/>
  <c r="K5" i="7"/>
  <c r="K4" i="7"/>
  <c r="K3" i="7"/>
  <c r="C55" i="7" l="1"/>
  <c r="C71" i="7"/>
  <c r="E207" i="7"/>
  <c r="F207" i="7" s="1"/>
  <c r="E183" i="7"/>
  <c r="F183" i="7" s="1"/>
  <c r="F165" i="7"/>
  <c r="C83" i="7"/>
  <c r="F190" i="7"/>
  <c r="C84" i="7"/>
  <c r="C85" i="7" s="1"/>
  <c r="C63" i="7"/>
  <c r="F199" i="7"/>
  <c r="C91" i="7"/>
  <c r="C102" i="7" s="1"/>
  <c r="C103" i="7" s="1"/>
  <c r="C49" i="7"/>
  <c r="F191" i="7"/>
  <c r="C75" i="7"/>
  <c r="C89" i="7"/>
  <c r="C98" i="7" s="1"/>
  <c r="C99" i="7" s="1"/>
  <c r="F168" i="7"/>
  <c r="F182" i="7"/>
  <c r="F214" i="7"/>
  <c r="F157" i="7"/>
  <c r="C54" i="7"/>
  <c r="C86" i="7"/>
  <c r="C92" i="7" s="1"/>
  <c r="C90" i="7"/>
  <c r="C100" i="7" s="1"/>
  <c r="C101" i="7" s="1"/>
  <c r="C50" i="7"/>
  <c r="F167" i="7"/>
  <c r="F198" i="7"/>
  <c r="C64" i="7"/>
  <c r="C68" i="7"/>
  <c r="C72" i="7"/>
  <c r="C76" i="7"/>
  <c r="C77" i="7" s="1"/>
  <c r="C80" i="7"/>
  <c r="F174" i="7"/>
  <c r="E216" i="7" l="1"/>
  <c r="F216" i="7" s="1"/>
  <c r="C58" i="7"/>
  <c r="C52" i="7"/>
  <c r="M123" i="7" s="1"/>
  <c r="M121" i="7"/>
  <c r="F156" i="7"/>
  <c r="C93" i="7"/>
  <c r="E192" i="7"/>
  <c r="F192" i="7" s="1"/>
  <c r="C73" i="7"/>
  <c r="E176" i="7"/>
  <c r="F176" i="7" s="1"/>
  <c r="C65" i="7"/>
  <c r="E184" i="7"/>
  <c r="F184" i="7" s="1"/>
  <c r="C69" i="7"/>
  <c r="E158" i="7"/>
  <c r="F158" i="7" s="1"/>
  <c r="C53" i="7"/>
  <c r="C110" i="7" s="1"/>
  <c r="M128" i="7" s="1"/>
  <c r="E208" i="7"/>
  <c r="F208" i="7" s="1"/>
  <c r="C81" i="7"/>
  <c r="E200" i="7"/>
  <c r="F200" i="7" s="1"/>
  <c r="C60" i="7"/>
  <c r="E164" i="7"/>
  <c r="E155" i="7"/>
  <c r="C109" i="7"/>
  <c r="C51" i="7"/>
  <c r="C56" i="7" s="1"/>
  <c r="M129" i="7" s="1"/>
  <c r="M130" i="7" s="1"/>
  <c r="C111" i="7" l="1"/>
  <c r="Q121" i="7" s="1"/>
  <c r="M124" i="7"/>
  <c r="M125" i="7" s="1"/>
  <c r="E213" i="7"/>
  <c r="E181" i="7"/>
  <c r="C104" i="7"/>
  <c r="E205" i="7"/>
  <c r="E173" i="7"/>
  <c r="E197" i="7"/>
  <c r="E189" i="7"/>
  <c r="C61" i="7"/>
  <c r="F155" i="7"/>
  <c r="E159" i="7"/>
  <c r="F159" i="7" s="1"/>
  <c r="E169" i="7"/>
  <c r="F169" i="7" s="1"/>
  <c r="F164" i="7"/>
  <c r="F205" i="7" l="1"/>
  <c r="E209" i="7"/>
  <c r="F209" i="7" s="1"/>
  <c r="E185" i="7"/>
  <c r="F185" i="7" s="1"/>
  <c r="F181" i="7"/>
  <c r="F173" i="7"/>
  <c r="E177" i="7"/>
  <c r="F177" i="7" s="1"/>
  <c r="E217" i="7"/>
  <c r="F217" i="7" s="1"/>
  <c r="F213" i="7"/>
  <c r="C116" i="7"/>
  <c r="C112" i="7"/>
  <c r="Q122" i="7"/>
  <c r="Q124" i="7" s="1"/>
  <c r="C114" i="7"/>
  <c r="C117" i="7"/>
  <c r="C113" i="7"/>
  <c r="C115" i="7"/>
  <c r="F189" i="7"/>
  <c r="E193" i="7"/>
  <c r="F193" i="7" s="1"/>
  <c r="F197" i="7"/>
  <c r="E201" i="7"/>
  <c r="F201" i="7" s="1"/>
  <c r="AC16" i="4" l="1"/>
  <c r="AC17" i="4"/>
  <c r="AC15" i="4"/>
  <c r="Z16" i="4"/>
  <c r="Z17" i="4"/>
  <c r="Z15" i="4"/>
  <c r="W16" i="4"/>
  <c r="W17" i="4"/>
  <c r="W15" i="4"/>
  <c r="T16" i="4"/>
  <c r="T17" i="4"/>
  <c r="T15" i="4"/>
  <c r="M80" i="4"/>
  <c r="M77" i="4"/>
  <c r="M74" i="4"/>
  <c r="M56" i="4"/>
  <c r="M53" i="4"/>
  <c r="M50" i="4"/>
  <c r="M32" i="4"/>
  <c r="M29" i="4"/>
  <c r="M26" i="4"/>
  <c r="M8" i="4"/>
  <c r="M5" i="4"/>
  <c r="M2" i="4"/>
  <c r="Q16" i="4"/>
  <c r="Q17" i="4"/>
  <c r="Q15" i="4"/>
  <c r="L167" i="4"/>
  <c r="L164" i="4"/>
  <c r="L161" i="4"/>
  <c r="L158" i="4"/>
  <c r="L155" i="4"/>
  <c r="L152" i="4"/>
  <c r="L149" i="4"/>
  <c r="L146" i="4"/>
  <c r="L143" i="4"/>
  <c r="L140" i="4"/>
  <c r="L137" i="4"/>
  <c r="L134" i="4"/>
  <c r="L131" i="4"/>
  <c r="L128" i="4"/>
  <c r="L125" i="4"/>
  <c r="L122" i="4"/>
  <c r="L119" i="4"/>
  <c r="L116" i="4"/>
  <c r="L113" i="4"/>
  <c r="L110" i="4"/>
  <c r="L107" i="4"/>
  <c r="L104" i="4"/>
  <c r="L101" i="4"/>
  <c r="L98" i="4"/>
  <c r="L80" i="4" l="1"/>
  <c r="L77" i="4"/>
  <c r="L74" i="4"/>
  <c r="L56" i="4"/>
  <c r="L53" i="4"/>
  <c r="L50" i="4"/>
  <c r="L32" i="4"/>
  <c r="L29" i="4"/>
  <c r="L26" i="4"/>
  <c r="L8" i="4"/>
  <c r="L5" i="4"/>
  <c r="L2" i="4"/>
  <c r="E29" i="3"/>
  <c r="E30" i="3"/>
  <c r="E31" i="3"/>
  <c r="E28" i="3"/>
  <c r="F29" i="3"/>
  <c r="F30" i="3"/>
  <c r="F31" i="3"/>
  <c r="F28" i="3"/>
  <c r="F27" i="3"/>
  <c r="G30" i="3"/>
  <c r="G29" i="3"/>
  <c r="G28" i="3"/>
  <c r="E20" i="3"/>
  <c r="L38" i="3"/>
  <c r="D21" i="3" s="1"/>
  <c r="D28" i="3" s="1"/>
  <c r="D29" i="3" s="1"/>
  <c r="F25" i="1"/>
  <c r="M23" i="1"/>
  <c r="G24" i="1" s="1"/>
  <c r="D22" i="3" l="1"/>
  <c r="G22" i="3" s="1"/>
  <c r="G21" i="3"/>
  <c r="E22" i="3"/>
  <c r="E21" i="3"/>
  <c r="D23" i="3"/>
  <c r="E26" i="1"/>
  <c r="D24" i="1"/>
  <c r="C25" i="1"/>
  <c r="I25" i="1"/>
  <c r="I26" i="1" s="1"/>
  <c r="J26" i="1" s="1"/>
  <c r="H24" i="1"/>
  <c r="G25" i="1"/>
  <c r="H25" i="1" s="1"/>
  <c r="J25" i="1"/>
  <c r="I27" i="1"/>
  <c r="G23" i="3" l="1"/>
  <c r="D31" i="3"/>
  <c r="G31" i="3" s="1"/>
  <c r="E23" i="3"/>
  <c r="F23" i="3" s="1"/>
  <c r="D25" i="1"/>
  <c r="C26" i="1"/>
  <c r="E27" i="1"/>
  <c r="F26" i="1"/>
  <c r="G26" i="1"/>
  <c r="H26" i="1" s="1"/>
  <c r="I28" i="1"/>
  <c r="J27" i="1"/>
  <c r="E28" i="1" l="1"/>
  <c r="F27" i="1"/>
  <c r="C27" i="1"/>
  <c r="D26" i="1"/>
  <c r="G27" i="1"/>
  <c r="H27" i="1" s="1"/>
  <c r="J28" i="1"/>
  <c r="I29" i="1"/>
  <c r="E29" i="1" l="1"/>
  <c r="F28" i="1"/>
  <c r="D27" i="1"/>
  <c r="C28" i="1"/>
  <c r="G28" i="1"/>
  <c r="H28" i="1" s="1"/>
  <c r="I30" i="1"/>
  <c r="J29" i="1"/>
  <c r="G29" i="1" l="1"/>
  <c r="H29" i="1" s="1"/>
  <c r="F29" i="1"/>
  <c r="E30" i="1"/>
  <c r="C29" i="1"/>
  <c r="D28" i="1"/>
  <c r="G30" i="1"/>
  <c r="H30" i="1" s="1"/>
  <c r="J30" i="1"/>
  <c r="I31" i="1"/>
  <c r="G31" i="1" l="1"/>
  <c r="H31" i="1" s="1"/>
  <c r="D29" i="1"/>
  <c r="C30" i="1"/>
  <c r="E31" i="1"/>
  <c r="F30" i="1"/>
  <c r="G32" i="1"/>
  <c r="H32" i="1" s="1"/>
  <c r="I32" i="1"/>
  <c r="J31" i="1"/>
  <c r="E32" i="1" l="1"/>
  <c r="F31" i="1"/>
  <c r="C31" i="1"/>
  <c r="D30" i="1"/>
  <c r="G33" i="1"/>
  <c r="H33" i="1" s="1"/>
  <c r="J32" i="1"/>
  <c r="I33" i="1"/>
  <c r="D31" i="1" l="1"/>
  <c r="C32" i="1"/>
  <c r="E33" i="1"/>
  <c r="F32" i="1"/>
  <c r="I34" i="1"/>
  <c r="J33" i="1"/>
  <c r="G34" i="1"/>
  <c r="H34" i="1" s="1"/>
  <c r="E34" i="1" l="1"/>
  <c r="F33" i="1"/>
  <c r="C33" i="1"/>
  <c r="D32" i="1"/>
  <c r="G35" i="1"/>
  <c r="H35" i="1" s="1"/>
  <c r="J34" i="1"/>
  <c r="I35" i="1"/>
  <c r="E35" i="1" l="1"/>
  <c r="F34" i="1"/>
  <c r="D33" i="1"/>
  <c r="C34" i="1"/>
  <c r="I36" i="1"/>
  <c r="J35" i="1"/>
  <c r="G36" i="1"/>
  <c r="H36" i="1" s="1"/>
  <c r="E36" i="1" l="1"/>
  <c r="F35" i="1"/>
  <c r="C35" i="1"/>
  <c r="D34" i="1"/>
  <c r="G37" i="1"/>
  <c r="H37" i="1" s="1"/>
  <c r="J36" i="1"/>
  <c r="I37" i="1"/>
  <c r="D35" i="1" l="1"/>
  <c r="C36" i="1"/>
  <c r="E37" i="1"/>
  <c r="F36" i="1"/>
  <c r="I38" i="1"/>
  <c r="J37" i="1"/>
  <c r="G38" i="1"/>
  <c r="H38" i="1" s="1"/>
  <c r="E38" i="1" l="1"/>
  <c r="F37" i="1"/>
  <c r="C37" i="1"/>
  <c r="D36" i="1"/>
  <c r="G39" i="1"/>
  <c r="H39" i="1" s="1"/>
  <c r="J38" i="1"/>
  <c r="I39" i="1"/>
  <c r="D37" i="1" l="1"/>
  <c r="C38" i="1"/>
  <c r="E39" i="1"/>
  <c r="F38" i="1"/>
  <c r="G40" i="1"/>
  <c r="H40" i="1" s="1"/>
  <c r="I40" i="1"/>
  <c r="J39" i="1"/>
  <c r="E40" i="1" l="1"/>
  <c r="F39" i="1"/>
  <c r="C39" i="1"/>
  <c r="D38" i="1"/>
  <c r="J40" i="1"/>
  <c r="I41" i="1"/>
  <c r="G41" i="1"/>
  <c r="H41" i="1" s="1"/>
  <c r="D39" i="1" l="1"/>
  <c r="C40" i="1"/>
  <c r="E41" i="1"/>
  <c r="F40" i="1"/>
  <c r="G42" i="1"/>
  <c r="H42" i="1" s="1"/>
  <c r="I42" i="1"/>
  <c r="J41" i="1"/>
  <c r="C41" i="1" l="1"/>
  <c r="D40" i="1"/>
  <c r="E42" i="1"/>
  <c r="F41" i="1"/>
  <c r="J42" i="1"/>
  <c r="F42" i="1" l="1"/>
  <c r="D41" i="1"/>
  <c r="C42" i="1"/>
  <c r="D42" i="1" l="1"/>
  <c r="H39" i="2" l="1"/>
  <c r="H38" i="2"/>
  <c r="G38" i="2"/>
  <c r="D38" i="2"/>
  <c r="H37" i="2"/>
  <c r="D37" i="2"/>
  <c r="G37" i="2" s="1"/>
  <c r="H36" i="2"/>
  <c r="D36" i="2"/>
  <c r="G36" i="2" s="1"/>
  <c r="H35" i="2"/>
  <c r="D35" i="2"/>
  <c r="G35" i="2" s="1"/>
  <c r="H34" i="2"/>
  <c r="D34" i="2"/>
  <c r="G34" i="2" s="1"/>
  <c r="H33" i="2"/>
  <c r="D33" i="2"/>
  <c r="G33" i="2" s="1"/>
  <c r="H32" i="2"/>
  <c r="G32" i="2"/>
  <c r="D32" i="2"/>
  <c r="H31" i="2"/>
  <c r="G31" i="2"/>
  <c r="D31" i="2"/>
  <c r="H30" i="2"/>
  <c r="D30" i="2"/>
  <c r="G30" i="2" s="1"/>
  <c r="H29" i="2"/>
  <c r="G29" i="2"/>
  <c r="H28" i="2"/>
  <c r="G28" i="2"/>
  <c r="H27" i="2"/>
  <c r="G27" i="2"/>
  <c r="H26" i="2"/>
  <c r="G26" i="2"/>
  <c r="H25" i="2"/>
  <c r="G25" i="2"/>
  <c r="D25" i="2"/>
  <c r="H24" i="2"/>
  <c r="D24" i="2"/>
  <c r="G24" i="2" s="1"/>
  <c r="H23" i="2"/>
  <c r="D23" i="2"/>
  <c r="G39" i="2" l="1"/>
  <c r="G23" i="2"/>
  <c r="G41" i="2" l="1"/>
  <c r="D4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tc={CD090161-2B40-4EBB-98CF-B335A6CFF213}</author>
    <author>tc={9E166559-6E78-4B2C-92FD-BB62D52CB468}</author>
    <author>tc={12F4FF0D-EF45-469B-A9BB-47FF81EA0A11}</author>
    <author>tc={58397D89-3D68-4360-ABB2-BCA81E566B9B}</author>
    <author>tc={19DB2CC8-41EE-4D98-9C11-B3632E16C89D}</author>
    <author>tc={E6EE7E9A-3DDF-4ED3-9DF4-84C2833712EE}</author>
    <author>tc={7E76DEB3-4A83-4F39-B1A2-292F67DF894A}</author>
    <author>tc={F21F48AE-FE33-4E3C-B959-E7DC70D0F176}</author>
    <author>tc={89275663-F240-4A15-9D32-AB59AE0649D4}</author>
    <author>tc={D6087FFB-B6C7-4470-A2AE-AB8BD1856F5B}</author>
    <author>tc={BD5DB857-EC67-4909-A53D-28ABE3F93C14}</author>
    <author>tc={738BAC87-25C7-4D6A-936E-EC7DC456760B}</author>
  </authors>
  <commentList>
    <comment ref="C24" authorId="0" shapeId="0" xr:uid="{CD090161-2B40-4EBB-98CF-B335A6CFF213}">
      <text>
        <t>[Threaded comment]
Your version of Excel allows you to read this threaded comment; however, any edits to it will get removed if the file is opened in a newer version of Excel. Learn more: https://go.microsoft.com/fwlink/?linkid=870924
Comment:
    this is expected concentration from the tube.</t>
      </text>
    </comment>
    <comment ref="E24" authorId="1" shapeId="0" xr:uid="{9E166559-6E78-4B2C-92FD-BB62D52CB468}">
      <text>
        <t>[Threaded comment]
Your version of Excel allows you to read this threaded comment; however, any edits to it will get removed if the file is opened in a newer version of Excel. Learn more: https://go.microsoft.com/fwlink/?linkid=870924
Comment:
    don't have details or tech sheet regarding this original tube.</t>
      </text>
    </comment>
    <comment ref="F24" authorId="2" shapeId="0" xr:uid="{12F4FF0D-EF45-469B-A9BB-47FF81EA0A11}">
      <text>
        <t>[Threaded comment]
Your version of Excel allows you to read this threaded comment; however, any edits to it will get removed if the file is opened in a newer version of Excel. Learn more: https://go.microsoft.com/fwlink/?linkid=870924
Comment:
    Raquel and production use copy number per ul.
Reply:
    assumes copy number is in 1000ul</t>
      </text>
    </comment>
    <comment ref="I24" authorId="3" shapeId="0" xr:uid="{58397D89-3D68-4360-ABB2-BCA81E566B9B}">
      <text>
        <t>[Threaded comment]
Your version of Excel allows you to read this threaded comment; however, any edits to it will get removed if the file is opened in a newer version of Excel. Learn more: https://go.microsoft.com/fwlink/?linkid=870924
Comment:
    don't have details or tech sheet regarding this original tube.</t>
      </text>
    </comment>
    <comment ref="J24" authorId="4" shapeId="0" xr:uid="{19DB2CC8-41EE-4D98-9C11-B3632E16C89D}">
      <text>
        <t>[Threaded comment]
Your version of Excel allows you to read this threaded comment; however, any edits to it will get removed if the file is opened in a newer version of Excel. Learn more: https://go.microsoft.com/fwlink/?linkid=870924
Comment:
    Raquel and production use copy number per ul.</t>
      </text>
    </comment>
    <comment ref="B25" authorId="5" shapeId="0" xr:uid="{E6EE7E9A-3DDF-4ED3-9DF4-84C2833712EE}">
      <text>
        <t>[Threaded comment]
Your version of Excel allows you to read this threaded comment; however, any edits to it will get removed if the file is opened in a newer version of Excel. Learn more: https://go.microsoft.com/fwlink/?linkid=870924
Comment:
    Note, that this is different than micH std or other standards as I usually have 100x dilution from std_0 to std_1. However, this standard is simply 10x dilution.</t>
      </text>
    </comment>
    <comment ref="E25" authorId="6" shapeId="0" xr:uid="{7E76DEB3-4A83-4F39-B1A2-292F67DF894A}">
      <text>
        <t>[Threaded comment]
Your version of Excel allows you to read this threaded comment; however, any edits to it will get removed if the file is opened in a newer version of Excel. Learn more: https://go.microsoft.com/fwlink/?linkid=870924
Comment:
    In 10ul of the source, there are this many molecules.
Reply:
    conc uM = umol/L = 10e-6101e6*avogadro's number</t>
      </text>
    </comment>
    <comment ref="I25" authorId="7" shapeId="0" xr:uid="{F21F48AE-FE33-4E3C-B959-E7DC70D0F176}">
      <text>
        <t>[Threaded comment]
Your version of Excel allows you to read this threaded comment; however, any edits to it will get removed if the file is opened in a newer version of Excel. Learn more: https://go.microsoft.com/fwlink/?linkid=870924
Comment:
    In 10ul of the source, there are this many molecules.
Reply:
    conc uM = umol/L = 10e-6101e6*avogadro's number</t>
      </text>
    </comment>
    <comment ref="A99" authorId="8" shapeId="0" xr:uid="{89275663-F240-4A15-9D32-AB59AE0649D4}">
      <text>
        <t>[Threaded comment]
Your version of Excel allows you to read this threaded comment; however, any edits to it will get removed if the file is opened in a newer version of Excel. Learn more: https://go.microsoft.com/fwlink/?linkid=870924
Comment:
    Leg pneumo probe has been ordered but not yet arrived. I asked Raquel to make mastermix without probe. I would add that down here because I have leftover probe from reactions.</t>
      </text>
    </comment>
    <comment ref="B171" authorId="9" shapeId="0" xr:uid="{D6087FFB-B6C7-4470-A2AE-AB8BD1856F5B}">
      <text>
        <t>[Threaded comment]
Your version of Excel allows you to read this threaded comment; however, any edits to it will get removed if the file is opened in a newer version of Excel. Learn more: https://go.microsoft.com/fwlink/?linkid=870924
Comment:
    Leg pneumo probe has been ordered but not yet arrived. I asked Raquel to make mastermix without probe. I would add that down here because I have leftover probe from reactions.</t>
      </text>
    </comment>
    <comment ref="B187" authorId="10" shapeId="0" xr:uid="{BD5DB857-EC67-4909-A53D-28ABE3F93C14}">
      <text>
        <t>[Threaded comment]
Your version of Excel allows you to read this threaded comment; however, any edits to it will get removed if the file is opened in a newer version of Excel. Learn more: https://go.microsoft.com/fwlink/?linkid=870924
Comment:
    Leg pneumo probe has been ordered but not yet arrived. I asked Raquel to make mastermix without probe. I would add that down here because I have leftover probe from reactions.</t>
      </text>
    </comment>
    <comment ref="B188" authorId="11" shapeId="0" xr:uid="{738BAC87-25C7-4D6A-936E-EC7DC456760B}">
      <text>
        <t>[Threaded comment]
Your version of Excel allows you to read this threaded comment; however, any edits to it will get removed if the file is opened in a newer version of Excel. Learn more: https://go.microsoft.com/fwlink/?linkid=870924
Comment:
    I have enough probe to complete these reactions.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tc={381B3EE7-F869-468A-958A-4F2F3AF3447C}</author>
  </authors>
  <commentList>
    <comment ref="D21" authorId="0" shapeId="0" xr:uid="{381B3EE7-F869-468A-958A-4F2F3AF3447C}">
      <text>
        <t>[Threaded comment]
Your version of Excel allows you to read this threaded comment; however, any edits to it will get removed if the file is opened in a newer version of Excel. Learn more: https://go.microsoft.com/fwlink/?linkid=870924
Comment:
    Raquel did not add water to this mastermix.</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tc={A9D534E2-1104-4BE5-A2A0-6DB5A69CBCC0}</author>
  </authors>
  <commentList>
    <comment ref="O1" authorId="0" shapeId="0" xr:uid="{A9D534E2-1104-4BE5-A2A0-6DB5A69CBCC0}">
      <text>
        <t>[Threaded comment]
Your version of Excel allows you to read this threaded comment; however, any edits to it will get removed if the file is opened in a newer version of Excel. Learn more: https://go.microsoft.com/fwlink/?linkid=870924
Comment:
    Legionella pneumophila positive control.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tc={9961E538-B9B6-4EEB-9ACC-59927C3F957D}</author>
  </authors>
  <commentList>
    <comment ref="D21" authorId="0" shapeId="0" xr:uid="{9961E538-B9B6-4EEB-9ACC-59927C3F957D}">
      <text>
        <t>[Threaded comment]
Your version of Excel allows you to read this threaded comment; however, any edits to it will get removed if the file is opened in a newer version of Excel. Learn more: https://go.microsoft.com/fwlink/?linkid=870924
Comment:
    Raquel did not add water to this mastermix.</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tc={DD07708B-4A94-4357-8307-BF7289ECBE1B}</author>
    <author>tc={CADF98D4-719A-4505-AB4A-E5B94BC7165B}</author>
    <author>tc={2E7ACF86-282E-499F-B5B3-228D3805416D}</author>
    <author>tc={F3BBC06D-3991-4FCB-824F-4422DC57ECB5}</author>
    <author>tc={C0B5E49F-C88D-43C7-835C-B5C47C1344E4}</author>
    <author>tc={8DC390E1-B158-425C-AB3F-5E0DA31573F8}</author>
    <author>tc={3CA408A2-8B11-4509-B2EF-5835A1B494BA}</author>
    <author>tc={F82E3100-565F-44BC-8B78-105FFA4595FE}</author>
    <author>tc={84004AFB-0ACE-4B82-B13F-D6EE442C2CF1}</author>
    <author>tc={E65AF7D0-41F7-4DC3-B79C-46049B18D375}</author>
  </authors>
  <commentList>
    <comment ref="P61" authorId="0" shapeId="0" xr:uid="{DD07708B-4A94-4357-8307-BF7289ECBE1B}">
      <text>
        <t>[Threaded comment]
Your version of Excel allows you to read this threaded comment; however, any edits to it will get removed if the file is opened in a newer version of Excel. Learn more: https://go.microsoft.com/fwlink/?linkid=870924
Comment:
    this is expected concentration from the tube.</t>
      </text>
    </comment>
    <comment ref="R61" authorId="1" shapeId="0" xr:uid="{CADF98D4-719A-4505-AB4A-E5B94BC7165B}">
      <text>
        <t>[Threaded comment]
Your version of Excel allows you to read this threaded comment; however, any edits to it will get removed if the file is opened in a newer version of Excel. Learn more: https://go.microsoft.com/fwlink/?linkid=870924
Comment:
    don't have details or tech sheet regarding this original tube.</t>
      </text>
    </comment>
    <comment ref="S61" authorId="2" shapeId="0" xr:uid="{2E7ACF86-282E-499F-B5B3-228D3805416D}">
      <text>
        <t>[Threaded comment]
Your version of Excel allows you to read this threaded comment; however, any edits to it will get removed if the file is opened in a newer version of Excel. Learn more: https://go.microsoft.com/fwlink/?linkid=870924
Comment:
    Raquel and production use copy number per ul.
Reply:
    assumes copy number is in 1000ul</t>
      </text>
    </comment>
    <comment ref="V61" authorId="3" shapeId="0" xr:uid="{F3BBC06D-3991-4FCB-824F-4422DC57ECB5}">
      <text>
        <t>[Threaded comment]
Your version of Excel allows you to read this threaded comment; however, any edits to it will get removed if the file is opened in a newer version of Excel. Learn more: https://go.microsoft.com/fwlink/?linkid=870924
Comment:
    don't have details or tech sheet regarding this original tube.</t>
      </text>
    </comment>
    <comment ref="W61" authorId="4" shapeId="0" xr:uid="{C0B5E49F-C88D-43C7-835C-B5C47C1344E4}">
      <text>
        <t>[Threaded comment]
Your version of Excel allows you to read this threaded comment; however, any edits to it will get removed if the file is opened in a newer version of Excel. Learn more: https://go.microsoft.com/fwlink/?linkid=870924
Comment:
    Raquel and production use copy number per ul.</t>
      </text>
    </comment>
    <comment ref="O62" authorId="5" shapeId="0" xr:uid="{8DC390E1-B158-425C-AB3F-5E0DA31573F8}">
      <text>
        <t>[Threaded comment]
Your version of Excel allows you to read this threaded comment; however, any edits to it will get removed if the file is opened in a newer version of Excel. Learn more: https://go.microsoft.com/fwlink/?linkid=870924
Comment:
    Note, that this is different than micH std or other standards as I usually have 100x dilution from std_0 to std_1. However, this standard is simply 10x dilution.</t>
      </text>
    </comment>
    <comment ref="R62" authorId="6" shapeId="0" xr:uid="{3CA408A2-8B11-4509-B2EF-5835A1B494BA}">
      <text>
        <t>[Threaded comment]
Your version of Excel allows you to read this threaded comment; however, any edits to it will get removed if the file is opened in a newer version of Excel. Learn more: https://go.microsoft.com/fwlink/?linkid=870924
Comment:
    In 10ul of the source, there are this many molecules.
Reply:
    conc uM = umol/L = 10e-6101e6*avogadro's number</t>
      </text>
    </comment>
    <comment ref="V62" authorId="7" shapeId="0" xr:uid="{F82E3100-565F-44BC-8B78-105FFA4595FE}">
      <text>
        <t>[Threaded comment]
Your version of Excel allows you to read this threaded comment; however, any edits to it will get removed if the file is opened in a newer version of Excel. Learn more: https://go.microsoft.com/fwlink/?linkid=870924
Comment:
    In 10ul of the source, there are this many molecules.
Reply:
    conc uM = umol/L = 10e-6101e6*avogadro's number</t>
      </text>
    </comment>
    <comment ref="O64" authorId="8" shapeId="0" xr:uid="{84004AFB-0ACE-4B82-B13F-D6EE442C2CF1}">
      <text>
        <t>[Threaded comment]
Your version of Excel allows you to read this threaded comment; however, any edits to it will get removed if the file is opened in a newer version of Excel. Learn more: https://go.microsoft.com/fwlink/?linkid=870924
Comment:
    made these because standards below 3 fail. These are 1/2 dilutions. Took 200ul and added it to 200ul. Mixed. Removed 200ul and added to next tube.</t>
      </text>
    </comment>
    <comment ref="Y68" authorId="9" shapeId="0" xr:uid="{E65AF7D0-41F7-4DC3-B79C-46049B18D375}">
      <text>
        <t>[Threaded comment]
Your version of Excel allows you to read this threaded comment; however, any edits to it will get removed if the file is opened in a newer version of Excel. Learn more: https://go.microsoft.com/fwlink/?linkid=870924
Comment:
    Remove this because it failed. May be useful for calculating OD.</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tc={6413B37A-17B9-4D1B-9D87-32E71FA4D0E0}</author>
    <author>tc={C5EF1A5E-59DD-4419-8C6D-D53963D456D5}</author>
    <author>tc={028B4CD2-6811-4A14-B4D5-1E9D662707E8}</author>
    <author>tc={26B611AB-E446-4D29-BFC1-79C093A4B990}</author>
  </authors>
  <commentList>
    <comment ref="E69" authorId="0" shapeId="0" xr:uid="{6413B37A-17B9-4D1B-9D87-32E71FA4D0E0}">
      <text>
        <t>[Threaded comment]
Your version of Excel allows you to read this threaded comment; however, any edits to it will get removed if the file is opened in a newer version of Excel. Learn more: https://go.microsoft.com/fwlink/?linkid=870924
Comment:
    Want to add 1.6ul of probe to equal rxn_mix + 1.6ul = 20ul. Consistent with F primer in Exp800.05.</t>
      </text>
    </comment>
    <comment ref="K69" authorId="1" shapeId="0" xr:uid="{C5EF1A5E-59DD-4419-8C6D-D53963D456D5}">
      <text>
        <t>[Threaded comment]
Your version of Excel allows you to read this threaded comment; however, any edits to it will get removed if the file is opened in a newer version of Excel. Learn more: https://go.microsoft.com/fwlink/?linkid=870924
Comment:
    Want to add 1.6ul of probe to equal rxn_mix + 1.6ul = 20ul. Consistent with F primer in Exp800.05.</t>
      </text>
    </comment>
    <comment ref="Q69" authorId="2" shapeId="0" xr:uid="{028B4CD2-6811-4A14-B4D5-1E9D662707E8}">
      <text>
        <t>[Threaded comment]
Your version of Excel allows you to read this threaded comment; however, any edits to it will get removed if the file is opened in a newer version of Excel. Learn more: https://go.microsoft.com/fwlink/?linkid=870924
Comment:
    Want to add 1.6ul of probe to equal rxn_mix + 1.6ul = 20ul. Consistent with F primer in Exp800.05.</t>
      </text>
    </comment>
    <comment ref="E88" authorId="3" shapeId="0" xr:uid="{26B611AB-E446-4D29-BFC1-79C093A4B990}">
      <text>
        <t>[Threaded comment]
Your version of Excel allows you to read this threaded comment; however, any edits to it will get removed if the file is opened in a newer version of Excel. Learn more: https://go.microsoft.com/fwlink/?linkid=870924
Comment:
    Exp800.05 uses 100ul total volume. But F primer cheaper than probe. Can this be reduced to 50ul total volume?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tc={D569956F-9A90-48B7-A432-1FDFF05096D8}</author>
    <author>tc={F0424E49-C803-4826-9ABD-0040239916B9}</author>
    <author>tc={F3C5D05E-3DB6-489A-9473-872498BDD655}</author>
    <author>tc={BA439429-3E68-4927-89F0-8378212F7D3C}</author>
    <author>tc={A7773AE5-AE31-454C-BA90-89B75B6715A0}</author>
    <author>tc={06602B66-5294-47B9-8FA3-D2F45CAE2997}</author>
    <author>tc={E7DF2BE2-D878-4764-BBC4-AF4652C05C3F}</author>
    <author>tc={B1E96219-C103-4671-A493-897C2C22F8DA}</author>
    <author>tc={EA01DAC6-BB79-4E06-B2B1-427901D88626}</author>
    <author>tc={0F3A896D-4978-42DB-90BD-6B84B41F9803}</author>
  </authors>
  <commentList>
    <comment ref="Q75" authorId="0" shapeId="0" xr:uid="{D569956F-9A90-48B7-A432-1FDFF05096D8}">
      <text>
        <t>[Threaded comment]
Your version of Excel allows you to read this threaded comment; however, any edits to it will get removed if the file is opened in a newer version of Excel. Learn more: https://go.microsoft.com/fwlink/?linkid=870924
Comment:
    this is expected concentration from the tube.</t>
      </text>
    </comment>
    <comment ref="S75" authorId="1" shapeId="0" xr:uid="{F0424E49-C803-4826-9ABD-0040239916B9}">
      <text>
        <t>[Threaded comment]
Your version of Excel allows you to read this threaded comment; however, any edits to it will get removed if the file is opened in a newer version of Excel. Learn more: https://go.microsoft.com/fwlink/?linkid=870924
Comment:
    don't have details or tech sheet regarding this original tube.</t>
      </text>
    </comment>
    <comment ref="T75" authorId="2" shapeId="0" xr:uid="{F3C5D05E-3DB6-489A-9473-872498BDD655}">
      <text>
        <t>[Threaded comment]
Your version of Excel allows you to read this threaded comment; however, any edits to it will get removed if the file is opened in a newer version of Excel. Learn more: https://go.microsoft.com/fwlink/?linkid=870924
Comment:
    Raquel and production use copy number per ul.
Reply:
    assumes copy number is in 1000ul</t>
      </text>
    </comment>
    <comment ref="W75" authorId="3" shapeId="0" xr:uid="{BA439429-3E68-4927-89F0-8378212F7D3C}">
      <text>
        <t>[Threaded comment]
Your version of Excel allows you to read this threaded comment; however, any edits to it will get removed if the file is opened in a newer version of Excel. Learn more: https://go.microsoft.com/fwlink/?linkid=870924
Comment:
    don't have details or tech sheet regarding this original tube.</t>
      </text>
    </comment>
    <comment ref="X75" authorId="4" shapeId="0" xr:uid="{A7773AE5-AE31-454C-BA90-89B75B6715A0}">
      <text>
        <t>[Threaded comment]
Your version of Excel allows you to read this threaded comment; however, any edits to it will get removed if the file is opened in a newer version of Excel. Learn more: https://go.microsoft.com/fwlink/?linkid=870924
Comment:
    Raquel and production use copy number per ul.</t>
      </text>
    </comment>
    <comment ref="P76" authorId="5" shapeId="0" xr:uid="{06602B66-5294-47B9-8FA3-D2F45CAE2997}">
      <text>
        <t>[Threaded comment]
Your version of Excel allows you to read this threaded comment; however, any edits to it will get removed if the file is opened in a newer version of Excel. Learn more: https://go.microsoft.com/fwlink/?linkid=870924
Comment:
    Note, that this is different than micH std or other standards as I usually have 100x dilution from std_0 to std_1. However, this standard is simply 10x dilution.</t>
      </text>
    </comment>
    <comment ref="S76" authorId="6" shapeId="0" xr:uid="{E7DF2BE2-D878-4764-BBC4-AF4652C05C3F}">
      <text>
        <t>[Threaded comment]
Your version of Excel allows you to read this threaded comment; however, any edits to it will get removed if the file is opened in a newer version of Excel. Learn more: https://go.microsoft.com/fwlink/?linkid=870924
Comment:
    In 10ul of the source, there are this many molecules.
Reply:
    conc uM = umol/L = 10e-6101e6*avogadro's number</t>
      </text>
    </comment>
    <comment ref="W76" authorId="7" shapeId="0" xr:uid="{B1E96219-C103-4671-A493-897C2C22F8DA}">
      <text>
        <t>[Threaded comment]
Your version of Excel allows you to read this threaded comment; however, any edits to it will get removed if the file is opened in a newer version of Excel. Learn more: https://go.microsoft.com/fwlink/?linkid=870924
Comment:
    In 10ul of the source, there are this many molecules.
Reply:
    conc uM = umol/L = 10e-6101e6*avogadro's number</t>
      </text>
    </comment>
    <comment ref="P78" authorId="8" shapeId="0" xr:uid="{EA01DAC6-BB79-4E06-B2B1-427901D88626}">
      <text>
        <t>[Threaded comment]
Your version of Excel allows you to read this threaded comment; however, any edits to it will get removed if the file is opened in a newer version of Excel. Learn more: https://go.microsoft.com/fwlink/?linkid=870924
Comment:
    made these because standards below 3 fail. These are 1/2 dilutions. Took 200ul and added it to 200ul. Mixed. Removed 200ul and added to next tube.</t>
      </text>
    </comment>
    <comment ref="Z82" authorId="9" shapeId="0" xr:uid="{0F3A896D-4978-42DB-90BD-6B84B41F9803}">
      <text>
        <t>[Threaded comment]
Your version of Excel allows you to read this threaded comment; however, any edits to it will get removed if the file is opened in a newer version of Excel. Learn more: https://go.microsoft.com/fwlink/?linkid=870924
Comment:
    Remove this because it failed. May be useful for calculating OD.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tc={2D654FC1-DF35-432A-A9BD-CADCAA315EBA}</author>
  </authors>
  <commentList>
    <comment ref="S29" authorId="0" shapeId="0" xr:uid="{2D654FC1-DF35-432A-A9BD-CADCAA315EBA}">
      <text>
        <t>[Threaded comment]
Your version of Excel allows you to read this threaded comment; however, any edits to it will get removed if the file is opened in a newer version of Excel. Learn more: https://go.microsoft.com/fwlink/?linkid=870924
Comment:
    Poor fluorescence in these wells. Not convinced by any of the Cqs.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tc={5A48B6EF-0B06-4075-9FD7-2B04EC5F71F0}</author>
    <author>tc={C7035595-D265-4C2C-9257-3F73DCE1A4FA}</author>
    <author>tc={9D5A45D9-8903-4DB8-8916-9253FE2C145D}</author>
  </authors>
  <commentList>
    <comment ref="D8" authorId="0" shapeId="0" xr:uid="{5A48B6EF-0B06-4075-9FD7-2B04EC5F71F0}">
      <text>
        <t>[Threaded comment]
Your version of Excel allows you to read this threaded comment; however, any edits to it will get removed if the file is opened in a newer version of Excel. Learn more: https://go.microsoft.com/fwlink/?linkid=870924
Comment:
    This probe is empty. It has been re-ordered but didn't arrive in time.</t>
      </text>
    </comment>
    <comment ref="A66" authorId="1" shapeId="0" xr:uid="{C7035595-D265-4C2C-9257-3F73DCE1A4FA}">
      <text>
        <t>[Threaded comment]
Your version of Excel allows you to read this threaded comment; however, any edits to it will get removed if the file is opened in a newer version of Excel. Learn more: https://go.microsoft.com/fwlink/?linkid=870924
Comment:
    Raquel provided me with 10ul of undiluted Leg spp positive control.</t>
      </text>
    </comment>
    <comment ref="D67" authorId="2" shapeId="0" xr:uid="{9D5A45D9-8903-4DB8-8916-9253FE2C145D}">
      <text>
        <t>[Threaded comment]
Your version of Excel allows you to read this threaded comment; however, any edits to it will get removed if the file is opened in a newer version of Excel. Learn more: https://go.microsoft.com/fwlink/?linkid=870924
Comment:
    I don't know why we multiple by 32 instead of 20.</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tc={C94F105C-9DCF-4130-A88F-A6188E902DB5}</author>
    <author>tc={B9BE8846-3C34-4B68-B3C8-D31CBBC838C7}</author>
    <author>tc={6E32324E-69AE-4018-BEE6-9EA0BF529E88}</author>
    <author>tc={E8D13136-33DE-409E-9311-A378873A3BAD}</author>
    <author>tc={79F582E8-8A70-4C8D-8558-18D5AA130AC2}</author>
    <author>tc={E8F45E62-10E9-4997-9A72-9A9DD0C55613}</author>
  </authors>
  <commentList>
    <comment ref="AC6" authorId="0" shapeId="0" xr:uid="{C94F105C-9DCF-4130-A88F-A6188E902DB5}">
      <text>
        <t>[Threaded comment]
Your version of Excel allows you to read this threaded comment; however, any edits to it will get removed if the file is opened in a newer version of Excel. Learn more: https://go.microsoft.com/fwlink/?linkid=870924
Comment:
    This probe is empty. It has been re-ordered but didn't arrive in time.</t>
      </text>
    </comment>
    <comment ref="R26" authorId="1" shapeId="0" xr:uid="{B9BE8846-3C34-4B68-B3C8-D31CBBC838C7}">
      <text>
        <t>[Threaded comment]
Your version of Excel allows you to read this threaded comment; however, any edits to it will get removed if the file is opened in a newer version of Excel. Learn more: https://go.microsoft.com/fwlink/?linkid=870924
Comment:
    this is expected concentration from the tube.</t>
      </text>
    </comment>
    <comment ref="T26" authorId="2" shapeId="0" xr:uid="{6E32324E-69AE-4018-BEE6-9EA0BF529E88}">
      <text>
        <t>[Threaded comment]
Your version of Excel allows you to read this threaded comment; however, any edits to it will get removed if the file is opened in a newer version of Excel. Learn more: https://go.microsoft.com/fwlink/?linkid=870924
Comment:
    don't have details or tech sheet regarding this original tube.</t>
      </text>
    </comment>
    <comment ref="U26" authorId="3" shapeId="0" xr:uid="{E8D13136-33DE-409E-9311-A378873A3BAD}">
      <text>
        <t>[Threaded comment]
Your version of Excel allows you to read this threaded comment; however, any edits to it will get removed if the file is opened in a newer version of Excel. Learn more: https://go.microsoft.com/fwlink/?linkid=870924
Comment:
    Raquel and production use copy number per ul.
Reply:
    assumes copy number is in 1000ul</t>
      </text>
    </comment>
    <comment ref="Q27" authorId="4" shapeId="0" xr:uid="{79F582E8-8A70-4C8D-8558-18D5AA130AC2}">
      <text>
        <t>[Threaded comment]
Your version of Excel allows you to read this threaded comment; however, any edits to it will get removed if the file is opened in a newer version of Excel. Learn more: https://go.microsoft.com/fwlink/?linkid=870924
Comment:
    Note, that this is different than micH std or other standards as I usually have 100x dilution from std_0 to std_1. However, this standard is simply 10x dilution.</t>
      </text>
    </comment>
    <comment ref="T27" authorId="5" shapeId="0" xr:uid="{E8F45E62-10E9-4997-9A72-9A9DD0C55613}">
      <text>
        <t>[Threaded comment]
Your version of Excel allows you to read this threaded comment; however, any edits to it will get removed if the file is opened in a newer version of Excel. Learn more: https://go.microsoft.com/fwlink/?linkid=870924
Comment:
    In 10ul of the source, there are this many molecules.
Reply:
    conc uM = umol/L = 10e-6101e6*avogadro's number</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tc={3346B6B5-545C-425E-86CD-D0560A8D37B4}</author>
    <author>tc={9CD3C3F3-9007-426A-84F0-B3A3C744C8E4}</author>
    <author>tc={0886299B-6CC0-43B3-B5D9-ABAF773C6B9F}</author>
    <author>tc={CB4DAC7E-6AF3-4D97-848E-5F3A594FFFB4}</author>
  </authors>
  <commentList>
    <comment ref="P34" authorId="0" shapeId="0" xr:uid="{3346B6B5-545C-425E-86CD-D0560A8D37B4}">
      <text>
        <t>[Threaded comment]
Your version of Excel allows you to read this threaded comment; however, any edits to it will get removed if the file is opened in a newer version of Excel. Learn more: https://go.microsoft.com/fwlink/?linkid=870924
Comment:
    Raquel provided me 100uM IAC ultramer from a tube upstairs. I diluted 10ul in 990ul water. This is std_0. Another 10ul from std_0 was used and put into 990ul std_1. Every dilution after this is 1/10, 100 into 900ul.</t>
      </text>
    </comment>
    <comment ref="Q36" authorId="1" shapeId="0" xr:uid="{9CD3C3F3-9007-426A-84F0-B3A3C744C8E4}">
      <text>
        <t>[Threaded comment]
Your version of Excel allows you to read this threaded comment; however, any edits to it will get removed if the file is opened in a newer version of Excel. Learn more: https://go.microsoft.com/fwlink/?linkid=870924
Comment:
    confirmed that beginning concentration = 100uM.</t>
      </text>
    </comment>
    <comment ref="AJ36" authorId="2" shapeId="0" xr:uid="{0886299B-6CC0-43B3-B5D9-ABAF773C6B9F}">
      <text>
        <t>[Threaded comment]
Your version of Excel allows you to read this threaded comment; however, any edits to it will get removed if the file is opened in a newer version of Excel. Learn more: https://go.microsoft.com/fwlink/?linkid=870924
Comment:
    confirmed that beginning concentration = 100uM.</t>
      </text>
    </comment>
    <comment ref="E154" authorId="3" shapeId="0" xr:uid="{CB4DAC7E-6AF3-4D97-848E-5F3A594FFFB4}">
      <text>
        <t>[Threaded comment]
Your version of Excel allows you to read this threaded comment; however, any edits to it will get removed if the file is opened in a newer version of Excel. Learn more: https://go.microsoft.com/fwlink/?linkid=870924
Comment:
    From this tube, fill wells A1, B1 and C1 with 237.6ul.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tc={3EC684AB-450E-4C62-B366-466A0FBA28D4}</author>
  </authors>
  <commentList>
    <comment ref="AC75" authorId="0" shapeId="0" xr:uid="{3EC684AB-450E-4C62-B366-466A0FBA28D4}">
      <text>
        <t>[Threaded comment]
Your version of Excel allows you to read this threaded comment; however, any edits to it will get removed if the file is opened in a newer version of Excel. Learn more: https://go.microsoft.com/fwlink/?linkid=870924
Comment:
    confirmed that beginning concentration = 100uM.</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tc={0FB34D50-7663-48F0-88E5-B76FE79F245F}</author>
  </authors>
  <commentList>
    <comment ref="A34" authorId="0" shapeId="0" xr:uid="{0FB34D50-7663-48F0-88E5-B76FE79F245F}">
      <text>
        <t>[Threaded comment]
Your version of Excel allows you to read this threaded comment; however, any edits to it will get removed if the file is opened in a newer version of Excel. Learn more: https://go.microsoft.com/fwlink/?linkid=870924
Comment:
    In every 0.2ul added from std_6 to 20ul reaction, there are 100,000 copies. Expected Cq =33.3 +/- 0.9</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tc={773D40F8-4F66-4A16-844A-E110B05E839E}</author>
  </authors>
  <commentList>
    <comment ref="AT102" authorId="0" shapeId="0" xr:uid="{773D40F8-4F66-4A16-844A-E110B05E839E}">
      <text>
        <t>[Threaded comment]
Your version of Excel allows you to read this threaded comment; however, any edits to it will get removed if the file is opened in a newer version of Excel. Learn more: https://go.microsoft.com/fwlink/?linkid=870924
Comment:
    These two values should agree, but they don't. Ok, thy're close enough. Take avg</t>
      </text>
    </comment>
  </commentList>
</comments>
</file>

<file path=xl/sharedStrings.xml><?xml version="1.0" encoding="utf-8"?>
<sst xmlns="http://schemas.openxmlformats.org/spreadsheetml/2006/main" count="36209" uniqueCount="1330">
  <si>
    <t>Exp800.10</t>
  </si>
  <si>
    <t>What is the optimal concentration of IAC in Legionella pneumophila assay?</t>
  </si>
  <si>
    <t xml:space="preserve">Legionella species assay uses 1e3 copies/ul as IAC concentration. This results in a Cq of 38-40. </t>
  </si>
  <si>
    <t>Greg explains that this reaction out-competes Leg spp. Reaction so want a late crossover.</t>
  </si>
  <si>
    <t>This reaction doesn't need to be successful if sample is successful. Thus, okay if it fails.</t>
  </si>
  <si>
    <t xml:space="preserve">However, if sample fails, then this reaction needs to succeed for troubleshooting and control purposes. </t>
  </si>
  <si>
    <t>I think 38-40 is too late and increases risk of not-observing control.</t>
  </si>
  <si>
    <t xml:space="preserve">Will aim for 35 cycles. </t>
  </si>
  <si>
    <t>Neither Greg nor I have observed IAC fluor in Leg pneumophila assay using various sources and concentrations of IAC.</t>
  </si>
  <si>
    <t xml:space="preserve">In one study I used std_3 (high conc) and did not observe IAC fluor. </t>
  </si>
  <si>
    <t xml:space="preserve">I used 38 cycles because I was interested in determining LOD. </t>
  </si>
  <si>
    <t>However, didn't observe IAC at 45 cycles either.</t>
  </si>
  <si>
    <t>yesterday, I used DeNovix spec to calc concentration of undiluted IAC.</t>
  </si>
  <si>
    <t>Raquel says that tube arrives at concentration of 10uM, not 100uM.</t>
  </si>
  <si>
    <t>IAC_DEER Extinction Co</t>
  </si>
  <si>
    <t>measured absorbance of 10uM from Raquel on spectrophotometer using DeNovix.</t>
  </si>
  <si>
    <t>ng/ul</t>
  </si>
  <si>
    <t>IDT DNA Data (IAC)</t>
  </si>
  <si>
    <t>Spec Data</t>
  </si>
  <si>
    <t>abs@260</t>
  </si>
  <si>
    <t>TubeName</t>
  </si>
  <si>
    <t>Conc (uM)</t>
  </si>
  <si>
    <t>pM</t>
  </si>
  <si>
    <t>Copy Number</t>
  </si>
  <si>
    <t>Copy Number/rxn</t>
  </si>
  <si>
    <t>Copy Number/ul</t>
  </si>
  <si>
    <t>Conc</t>
  </si>
  <si>
    <t>uM</t>
  </si>
  <si>
    <t>should be 10uM.</t>
  </si>
  <si>
    <t>IDT Source</t>
  </si>
  <si>
    <t>std_1</t>
  </si>
  <si>
    <t>std_2</t>
  </si>
  <si>
    <t>std_3</t>
  </si>
  <si>
    <t>std_4</t>
  </si>
  <si>
    <t>std_5</t>
  </si>
  <si>
    <t>std_6</t>
  </si>
  <si>
    <t>std_7</t>
  </si>
  <si>
    <t>std_8</t>
  </si>
  <si>
    <t>std_9</t>
  </si>
  <si>
    <t>std_10</t>
  </si>
  <si>
    <t>std_11</t>
  </si>
  <si>
    <t>std_12</t>
  </si>
  <si>
    <t>std_13</t>
  </si>
  <si>
    <t>std_14</t>
  </si>
  <si>
    <t>std_15</t>
  </si>
  <si>
    <t>std_16</t>
  </si>
  <si>
    <t>std_17</t>
  </si>
  <si>
    <t>std_18</t>
  </si>
  <si>
    <t>Supplier</t>
  </si>
  <si>
    <t>Cat #</t>
  </si>
  <si>
    <t>Component</t>
  </si>
  <si>
    <t>Size (Average)</t>
  </si>
  <si>
    <t>Units</t>
  </si>
  <si>
    <t>Stock Concentration</t>
  </si>
  <si>
    <t>IDT</t>
  </si>
  <si>
    <t xml:space="preserve">N2 Forward </t>
  </si>
  <si>
    <t>uL</t>
  </si>
  <si>
    <t xml:space="preserve">N2 Reverse </t>
  </si>
  <si>
    <t>Raquel found this in a COVID-19 doc</t>
  </si>
  <si>
    <t xml:space="preserve">N2 Probe </t>
  </si>
  <si>
    <t>https://luminultratechnologiesltd.sharepoint.com/:x:/r/LuminUltra%20Corporate/qms/_layouts/15/Doc.aspx?sourcedoc=%7B0C151CC3-2386-4BB6-A817-F6B1779387FB%7D&amp;file=SARS-CoV-2%20Direct%20-%20Updated%20BOM%20Calculations.xlsx&amp;action=default&amp;mobileredirect=true&amp;DefaultItemOpen=1</t>
  </si>
  <si>
    <t>Custom</t>
  </si>
  <si>
    <t>IAC Forward Primer (100uM)</t>
  </si>
  <si>
    <t>IAC Reverse Primer (100uM)</t>
  </si>
  <si>
    <t>IAC Probe (100uM)</t>
  </si>
  <si>
    <t>IAC Template (Ultramer)</t>
  </si>
  <si>
    <t>&lt;-- Stock is ~ 6x10^13 copies/uL.  Dilute 1.5uL into 898.5uL TE to make 1x10^11 solution and then dilute by serial 1:100 dilutions (2uL in 198uL TE) to 1x10^5 for final use.  Use H20 for final dilution to 1x10^5.</t>
  </si>
  <si>
    <t>This agrees with my value in 10ul (think it's 4x higher in 100uM), but I disagree with per ul. Another way to say this is that there are 6e13 copies in 10ul. If this 10ul is added to 990ul water, then it can be 6e13/1000 or 6e10 copies/ul (Red is from Neil)</t>
  </si>
  <si>
    <t xml:space="preserve">Ran 8 tubes just as a quick check to see if IAC would even amplify at std_1 concentration. </t>
  </si>
  <si>
    <t>Running primer matrix and probe matrix shows that optimal concentration of primer and probe is 50, 50nM and 400nM.</t>
  </si>
  <si>
    <t xml:space="preserve">Running another plate using Exp800.04 std curve using optimized conditions in presence of Leg pneumo shows failed wells. </t>
  </si>
  <si>
    <t>Was this incorrect setup? Peformed Thursday before trip to TX. Did I miss something?</t>
  </si>
  <si>
    <t>Want to make a whole plate and compare it to optimized concentration. Will use std_6 Leg pneumo. Ask Raquel to make two mmixes:</t>
  </si>
  <si>
    <t xml:space="preserve">mmix base = </t>
  </si>
  <si>
    <t>Desired</t>
  </si>
  <si>
    <t>PROBE RXN</t>
  </si>
  <si>
    <t>mmix</t>
  </si>
  <si>
    <t>Leg pneumo Probe</t>
  </si>
  <si>
    <t>Leg pneumo "std_5"</t>
  </si>
  <si>
    <t>water</t>
  </si>
  <si>
    <t>TOTAL</t>
  </si>
  <si>
    <t xml:space="preserve">Will use "std_5" instead of "std_6" because vol is too high. </t>
  </si>
  <si>
    <t>Good data. See sheet "std_vs_opt"</t>
  </si>
  <si>
    <t xml:space="preserve">Talked with Greg, he reminds me that with lyophilization, sample fluorescence will take a hit. </t>
  </si>
  <si>
    <t xml:space="preserve">Greg also wondered what IAC would do in presence of lower Leg pneumo pos control. </t>
  </si>
  <si>
    <t xml:space="preserve">So, I'm repeating the assay with std_12 in place of std_5. </t>
  </si>
  <si>
    <t xml:space="preserve">I repeated assay with std_12, "LO_std_vs_opt" </t>
  </si>
  <si>
    <t>posted details in Monday.com: https://luminultra.monday.com/boards/1049377695/pulses/1242653111</t>
  </si>
  <si>
    <t>Neil and Greg still concerned that IAC concentration is so high.</t>
  </si>
  <si>
    <t xml:space="preserve">Neil and I discussed assays. </t>
  </si>
  <si>
    <t xml:space="preserve">See also email to Pat Whalen for a good synposis and updating thinking, wordage. </t>
  </si>
  <si>
    <t>Why is IAC positive control high? </t>
  </si>
  <si>
    <t>The high (3e9 copies/ul) concentration is disconcerting for three reasons:</t>
  </si>
  <si>
    <t>1) It's a lot of DNA. Inefficient.</t>
  </si>
  <si>
    <t>2) It's not high in Legionella spp. assay. </t>
  </si>
  <si>
    <t>3) It might indicate other systemic problems with this assay e.g. Leg pneumo primer, probe interactions, incompatibility with or miscalculation with reagent like dNTPs or polymerases etc.</t>
  </si>
  <si>
    <t>Three factors might be causing it:</t>
  </si>
  <si>
    <t>1) Leg pneumo effects. Maybe there's something about this F, R primer and probe that interact with IAC F, R primers and probe. The IAC positive control is a synthetic construct that does not match any sequence in GenBank source.</t>
  </si>
  <si>
    <t>2) My calculations could be off. Maybe, but not too difficult to calculate the concentration. I've been through these calculations several times to confirm and check. </t>
  </si>
  <si>
    <t>3) The original concentration of IAC is incorrect. @Raquel Jaramillo says the IDT DNA tube is 10uM. I've confirmed this with the spectrophotometer also confirming my calculations.</t>
  </si>
  <si>
    <t>My hypothesis is that IAC is high because of Leg pneumo effects. This explains the null fluorescence in previous reactions prepared by @Greg Howard and myself. </t>
  </si>
  <si>
    <t>Spoke with @Neil Sharma today. We're doing the following to test the hypothesis that IAC concentration is a function of the presence of Leg pneumo primers and probe:</t>
  </si>
  <si>
    <t>1) Raquel will make two master mixes with everything similar except the Leg pneumo primers and probe will be swapped out with Leg spp primers and probe. I'll use the same standards I previously prepared. I expect to find a lower Cq for IAC concentration in Leg spp. assay.</t>
  </si>
  <si>
    <t>2) Raquel will make two master mixes. The master mix will contain a different polymerase. One master mix will contain Leg pneumo primers and probe in addition to IAC primers and probe. The other master mix will only contain IAC primers and probe. I expect to find a lower Cq for IAC concentration in the absence of Leg pneumo primers and probe. </t>
  </si>
  <si>
    <t>None of the master mixes provided by Raquel have any fluorescence. Wrong primer?</t>
  </si>
  <si>
    <t>found this graphic when searching for LOQ. Want to incorporate a version into my reports.</t>
  </si>
  <si>
    <t>https://www.eflm.eu/files/efcc/Zagreb-Theodorsson_2.pdf</t>
  </si>
  <si>
    <t>Raquel repeated Leg pneumo master mix from "Why_so_high_mmix". Confirmed IAC primers. Had her check sequences. However, no Leg pneumo probe was added because this is on backorder.</t>
  </si>
  <si>
    <t>Wrote Laara for status update and she wrote company, ThermoFisher, but no response yet.</t>
  </si>
  <si>
    <t>Made 96 well plate yesterday using master mix. No fluorescence in any channel. To be expected in FAM channel because not Leg pneumo probe available, but expected to see it in IAC.</t>
  </si>
  <si>
    <t>Testing with my own IAC primers probe to see if:</t>
  </si>
  <si>
    <t>1) Concentration of IAC primers probe is a factor (currently at my optimized concentrations: 50, 50, 400nM)</t>
  </si>
  <si>
    <t>2) Incorrect IAC primers probe.</t>
  </si>
  <si>
    <t>IAC_F</t>
  </si>
  <si>
    <t>0.25uM</t>
  </si>
  <si>
    <t>IAC_R</t>
  </si>
  <si>
    <t>IAC_P</t>
  </si>
  <si>
    <t>0.5uM</t>
  </si>
  <si>
    <t>again, no fluorescence.</t>
  </si>
  <si>
    <t>Making new IAC std control.</t>
  </si>
  <si>
    <t>From 10uM undiluted template that Raquel provided me.</t>
  </si>
  <si>
    <t>Add 10ul to 990ul H2O.</t>
  </si>
  <si>
    <t xml:space="preserve">use a little bit of the remaining master mix to test the reaction mix to see if it works. </t>
  </si>
  <si>
    <t>Leg pneumo probe</t>
  </si>
  <si>
    <t>Legionella - Master Mix for Lyophilization</t>
  </si>
  <si>
    <t>Number of Reactions =</t>
  </si>
  <si>
    <t>Stock Concentrations</t>
  </si>
  <si>
    <t>Overage =</t>
  </si>
  <si>
    <t>%</t>
  </si>
  <si>
    <t>LegGF</t>
  </si>
  <si>
    <t>LegGR</t>
  </si>
  <si>
    <t xml:space="preserve">Leg spp MGB probe </t>
  </si>
  <si>
    <t>IAC Forward</t>
  </si>
  <si>
    <t>IAC Reverse</t>
  </si>
  <si>
    <t>IAC Probe RED (CY5)</t>
  </si>
  <si>
    <t>Deer_IAC_Ultramer (1 x 10e3 copies/uL)</t>
  </si>
  <si>
    <t>dNTP Mix</t>
  </si>
  <si>
    <t>mM</t>
  </si>
  <si>
    <t>Mg2+</t>
  </si>
  <si>
    <t>AptaTaq</t>
  </si>
  <si>
    <t>Units/uL</t>
  </si>
  <si>
    <t>KAPA3G</t>
  </si>
  <si>
    <t>Trehalose</t>
  </si>
  <si>
    <t>Percent</t>
  </si>
  <si>
    <t>BSA</t>
  </si>
  <si>
    <t>mg/mL</t>
  </si>
  <si>
    <t>10X Taq Buffer (No Mg2+)</t>
  </si>
  <si>
    <t>x</t>
  </si>
  <si>
    <t>2-Hydroxypropyl-β-Cyclodextrin</t>
  </si>
  <si>
    <t>Dextran</t>
  </si>
  <si>
    <t>Per 20 uL</t>
  </si>
  <si>
    <t>Multiple Reactions</t>
  </si>
  <si>
    <t>Lot</t>
  </si>
  <si>
    <t>DotAF</t>
  </si>
  <si>
    <t>Forward 1</t>
  </si>
  <si>
    <t>DotAR</t>
  </si>
  <si>
    <t>Reverse 1</t>
  </si>
  <si>
    <t>Leg pne DotA MGB probe</t>
  </si>
  <si>
    <t>Probe 1</t>
  </si>
  <si>
    <t>PCR Buffer 10X</t>
  </si>
  <si>
    <t>Ficoll</t>
  </si>
  <si>
    <t>Water</t>
  </si>
  <si>
    <t>Total:</t>
  </si>
  <si>
    <t>[3/10 1:44 PM] Neil Sharma</t>
  </si>
  <si>
    <t>GeneCount Legionella pneumophlia (In Development)</t>
  </si>
  <si>
    <t>Leg pne DotA MGB</t>
  </si>
  <si>
    <t>6-FAM-ATACAGCAAATGTATGTGACTT</t>
  </si>
  <si>
    <t>ATTGTCTCGCGCGATTGC</t>
  </si>
  <si>
    <t>CCGGATCATTATTAACCATSAC</t>
  </si>
  <si>
    <t>IAC Probe RED</t>
  </si>
  <si>
    <t>Cy5-agctagtcgatgcactccagtcctcct-TAO/ 3' IBRQ</t>
  </si>
  <si>
    <t>IAC DNA (Deer_IAC_Ultramer)</t>
  </si>
  <si>
    <t>tacagcaccctagcttggtagaatcgatcagctacgtgaggtcctacgacgatcgccaagcatgccctagctaagatgcatcgattgctcatcacgtacgttaggtcgactaggaggactggagtgcatcgactagctaagatggttcgattgctcatcacgaaggttaggtcgactacgaacgagtcgtacgttaggtt</t>
  </si>
  <si>
    <t>Positive Control (Leg_pne_UltraPOS)</t>
  </si>
  <si>
    <t>CCGGATCATTATTAACCATCACCTGTGCCACCGTAGATAAAGTCACATACATTTGCTGTATAGCAATCGCGCGAGACAAT</t>
  </si>
  <si>
    <t>[3/10 1:50 PM] Neil Sharma</t>
  </si>
  <si>
    <t>GeneCount Legionella Species</t>
  </si>
  <si>
    <t>CTAATTggCTgATTgTCTTgAC</t>
  </si>
  <si>
    <t>ggCgATgACCTACTTTCg</t>
  </si>
  <si>
    <t>Leg Spp MGB Probe (Order From Invitrogen)</t>
  </si>
  <si>
    <t>6FAM- gTTTCACTTCTgAgTTCg</t>
  </si>
  <si>
    <t>ctaaccttcgtgatgagcaatcg</t>
  </si>
  <si>
    <t>gatcagctacgtgaggtcctac</t>
  </si>
  <si>
    <t>Positive Control (Leg_spp_UltraPOS)</t>
  </si>
  <si>
    <t>TCTAATTGGCTGATTGTCTTGACCATATAATCTGAGTGACTTCAGAATGTGATATTGATTTGTATACGTGAAACGTATCGTGTAAACTCTGACTCTTTACCAAACCTGTGGCTTACTGATACCATCTCGAACTCAGAAGTGAAACATTTCCGCGCCAATGATAGTGTGAGGCTTCCTCATGCGAAAGTAGGTCATCGCCT</t>
  </si>
  <si>
    <t>Process</t>
  </si>
  <si>
    <t>Used the same process for making std curve.</t>
  </si>
  <si>
    <t>The std_curve mastermix had Legionella pneumophila positive control doped in.</t>
  </si>
  <si>
    <t>Used stds 6, 9 , 12 from Leg pneumo.</t>
  </si>
  <si>
    <t>mastermix</t>
  </si>
  <si>
    <t>per 3</t>
  </si>
  <si>
    <t>per 8 sets of 3</t>
  </si>
  <si>
    <t>per 4 sets of 24</t>
  </si>
  <si>
    <t>per 20 ul</t>
  </si>
  <si>
    <t>each mastermix has their own conc of Legionella. 4 sets of 24 so 4 diff conc of Leg stds can be used.</t>
  </si>
  <si>
    <t>overage = 1.14</t>
  </si>
  <si>
    <t>*3</t>
  </si>
  <si>
    <t>Leg std DNA</t>
  </si>
  <si>
    <t>Well</t>
  </si>
  <si>
    <t>Target</t>
  </si>
  <si>
    <t>Property</t>
  </si>
  <si>
    <t>Dye</t>
  </si>
  <si>
    <t>Ct</t>
  </si>
  <si>
    <t>Ct_mean</t>
  </si>
  <si>
    <t>A01</t>
  </si>
  <si>
    <t>IAC</t>
  </si>
  <si>
    <t>Unknown</t>
  </si>
  <si>
    <t>Cy5</t>
  </si>
  <si>
    <t>IAC Tube</t>
  </si>
  <si>
    <t>Leg pneumo</t>
  </si>
  <si>
    <t>FAM</t>
  </si>
  <si>
    <t>A02</t>
  </si>
  <si>
    <t>A03</t>
  </si>
  <si>
    <t>A04</t>
  </si>
  <si>
    <t>A05</t>
  </si>
  <si>
    <t>A06</t>
  </si>
  <si>
    <t>A07</t>
  </si>
  <si>
    <t>A08</t>
  </si>
  <si>
    <t>A09</t>
  </si>
  <si>
    <t>A10</t>
  </si>
  <si>
    <t/>
  </si>
  <si>
    <t>A11</t>
  </si>
  <si>
    <t>A12</t>
  </si>
  <si>
    <t>B01</t>
  </si>
  <si>
    <t>Log(Copy#)</t>
  </si>
  <si>
    <t>Lpneumo "std_6"</t>
  </si>
  <si>
    <t>Ct_6_STDEV</t>
  </si>
  <si>
    <t>2*STDEV</t>
  </si>
  <si>
    <t>Lpneumo "std_9"</t>
  </si>
  <si>
    <t>Ct_9_STDEV</t>
  </si>
  <si>
    <t>Lpneumo "std_12"</t>
  </si>
  <si>
    <t>Ct_12_STDEV</t>
  </si>
  <si>
    <r>
      <t>Lpneumo "H</t>
    </r>
    <r>
      <rPr>
        <vertAlign val="subscript"/>
        <sz val="11"/>
        <color theme="1"/>
        <rFont val="Calibri"/>
        <family val="2"/>
        <scheme val="minor"/>
      </rPr>
      <t>2</t>
    </r>
    <r>
      <rPr>
        <sz val="11"/>
        <color theme="1"/>
        <rFont val="Calibri"/>
        <family val="2"/>
        <scheme val="minor"/>
      </rPr>
      <t>O"</t>
    </r>
  </si>
  <si>
    <t>Ct_H2O_STDEV</t>
  </si>
  <si>
    <t>B02</t>
  </si>
  <si>
    <t>B03</t>
  </si>
  <si>
    <t>B04</t>
  </si>
  <si>
    <t>B05</t>
  </si>
  <si>
    <t>B06</t>
  </si>
  <si>
    <t>B07</t>
  </si>
  <si>
    <t>b</t>
  </si>
  <si>
    <t>PCR Efficiency</t>
  </si>
  <si>
    <t>B08</t>
  </si>
  <si>
    <t>B09</t>
  </si>
  <si>
    <t>B10</t>
  </si>
  <si>
    <t>B11</t>
  </si>
  <si>
    <t>H2O</t>
  </si>
  <si>
    <t>B12</t>
  </si>
  <si>
    <t>C01</t>
  </si>
  <si>
    <t>C02</t>
  </si>
  <si>
    <t>C03</t>
  </si>
  <si>
    <t>C04</t>
  </si>
  <si>
    <t>C05</t>
  </si>
  <si>
    <t>C06</t>
  </si>
  <si>
    <t>C07</t>
  </si>
  <si>
    <t>C08</t>
  </si>
  <si>
    <t>C09</t>
  </si>
  <si>
    <t>C10</t>
  </si>
  <si>
    <t>C11</t>
  </si>
  <si>
    <t>C12</t>
  </si>
  <si>
    <t>D01</t>
  </si>
  <si>
    <t>D02</t>
  </si>
  <si>
    <t>D03</t>
  </si>
  <si>
    <t>D04</t>
  </si>
  <si>
    <t>D05</t>
  </si>
  <si>
    <t>D06</t>
  </si>
  <si>
    <t>D07</t>
  </si>
  <si>
    <t>D08</t>
  </si>
  <si>
    <t>D09</t>
  </si>
  <si>
    <t>CONCLUSIONS</t>
  </si>
  <si>
    <t>D10</t>
  </si>
  <si>
    <t xml:space="preserve">IAC only amplify above concentration 1.2e9 copies/ul. Four, 10 fold serial dilutions beyond this fail. And they fail at every background concentration of Leg pneumo suggesting that Leg pneumo primers, probe, DNA does not interfere with IAC reaction. Assuming normal distribution of Cq, error bars represent two sigma (95%) confidence interval (CI). Overlapping error bars among different dilutions of Leg pneumo suggest Leg pneumo does not interfere. 
No fluorescence in IAC in std tubes 4-7 suggests nonoptimal primer probe concentrations. </t>
  </si>
  <si>
    <t>D11</t>
  </si>
  <si>
    <t>D12</t>
  </si>
  <si>
    <t>E01</t>
  </si>
  <si>
    <t>E02</t>
  </si>
  <si>
    <t>E03</t>
  </si>
  <si>
    <t>E04</t>
  </si>
  <si>
    <t>E05</t>
  </si>
  <si>
    <t>E06</t>
  </si>
  <si>
    <t>E07</t>
  </si>
  <si>
    <t>E08</t>
  </si>
  <si>
    <t>E09</t>
  </si>
  <si>
    <t>E10</t>
  </si>
  <si>
    <t>E11</t>
  </si>
  <si>
    <t>E12</t>
  </si>
  <si>
    <t>F01</t>
  </si>
  <si>
    <t>F02</t>
  </si>
  <si>
    <t>F03</t>
  </si>
  <si>
    <t>F04</t>
  </si>
  <si>
    <t>F05</t>
  </si>
  <si>
    <t>F06</t>
  </si>
  <si>
    <t>F07</t>
  </si>
  <si>
    <t>F08</t>
  </si>
  <si>
    <t>F09</t>
  </si>
  <si>
    <t>F10</t>
  </si>
  <si>
    <t>F11</t>
  </si>
  <si>
    <t>F12</t>
  </si>
  <si>
    <t>G01</t>
  </si>
  <si>
    <t>G02</t>
  </si>
  <si>
    <t>G03</t>
  </si>
  <si>
    <t>G04</t>
  </si>
  <si>
    <t>G05</t>
  </si>
  <si>
    <t>G06</t>
  </si>
  <si>
    <t>G07</t>
  </si>
  <si>
    <t>G08</t>
  </si>
  <si>
    <t>G09</t>
  </si>
  <si>
    <t>G10</t>
  </si>
  <si>
    <t>G11</t>
  </si>
  <si>
    <t>G12</t>
  </si>
  <si>
    <t>H01</t>
  </si>
  <si>
    <t>H02</t>
  </si>
  <si>
    <t>H03</t>
  </si>
  <si>
    <t>H04</t>
  </si>
  <si>
    <t>H05</t>
  </si>
  <si>
    <t>H06</t>
  </si>
  <si>
    <t>H07</t>
  </si>
  <si>
    <t>H08</t>
  </si>
  <si>
    <t>H09</t>
  </si>
  <si>
    <t>H10</t>
  </si>
  <si>
    <t>Negative</t>
  </si>
  <si>
    <t>H11</t>
  </si>
  <si>
    <t>H12</t>
  </si>
  <si>
    <t xml:space="preserve">selected new F, R and probe concentration: 50, 50, 400 respectively. </t>
  </si>
  <si>
    <t>Using Mmix with no IAC, no water. R. made 4/16.</t>
  </si>
  <si>
    <t>testing same standards as in plate1. Expect to see decrease Cq for all detectable standards.</t>
  </si>
  <si>
    <t>overage = 1.17</t>
  </si>
  <si>
    <t>CT_Mean</t>
  </si>
  <si>
    <t>Legpneumo</t>
  </si>
  <si>
    <t>Creating a primer matrix from concentrations</t>
  </si>
  <si>
    <t>USER_INPUTS</t>
  </si>
  <si>
    <t>Value</t>
  </si>
  <si>
    <t>Note</t>
  </si>
  <si>
    <t>orig_F_conc</t>
  </si>
  <si>
    <t>What is the starting F primer concentration? (in uM)</t>
  </si>
  <si>
    <t>orig_R_conc</t>
  </si>
  <si>
    <t>What is the starting R primer concentration? (in uM)</t>
  </si>
  <si>
    <t>orig_P_conc</t>
  </si>
  <si>
    <t>What is probe starting concentration? (in uM)</t>
  </si>
  <si>
    <t>std_F_conc</t>
  </si>
  <si>
    <t>What is the constant F primer concentration for standards? This should be guess or from literature. (in nM)</t>
  </si>
  <si>
    <t>std_R_cond</t>
  </si>
  <si>
    <t>What is the constant R primer concentration for standards? This should be guess or from literature. (in nM)</t>
  </si>
  <si>
    <t>P_conc</t>
  </si>
  <si>
    <t>What is the probe concentration? This should be constant throughout experiment.</t>
  </si>
  <si>
    <t>tot_stds</t>
  </si>
  <si>
    <t>How many wells of standards will be run? (in # wells)</t>
  </si>
  <si>
    <t>tot_NTCs</t>
  </si>
  <si>
    <t>How many wells of NTCs will be run? (in # wells)</t>
  </si>
  <si>
    <t>tot_samp</t>
  </si>
  <si>
    <t>How many samples with varying conditions will be run? (in # wells)</t>
  </si>
  <si>
    <t>rxn_base</t>
  </si>
  <si>
    <t>Everything in PCR buffer (Mg2+, dNTPs, polymerase, enhancers, stabilizers, sugars, etc.). (in uL)</t>
  </si>
  <si>
    <t>tot_rxn_vol</t>
  </si>
  <si>
    <t>What is total volume of PCR reaction in plate/tube? (in ul)</t>
  </si>
  <si>
    <t>F_concs</t>
  </si>
  <si>
    <t>[50, 100, 200, 400, 600, 800]</t>
  </si>
  <si>
    <t>What are the F primer concentrations? (a list in nM)</t>
  </si>
  <si>
    <t>R_concs</t>
  </si>
  <si>
    <t>What are the R primer concentrations? (a list in nM)</t>
  </si>
  <si>
    <t>F_50</t>
  </si>
  <si>
    <t>F primer at lowest concentration. (in nM)</t>
  </si>
  <si>
    <t>F_100</t>
  </si>
  <si>
    <t>F primer at concentration. (in nM)</t>
  </si>
  <si>
    <t>F_200</t>
  </si>
  <si>
    <t>F_400</t>
  </si>
  <si>
    <t>F_600</t>
  </si>
  <si>
    <t>F_800</t>
  </si>
  <si>
    <t>F primer at highest concentration. (in nM)</t>
  </si>
  <si>
    <t>R_50</t>
  </si>
  <si>
    <t>R primer at lowest concentration. (in nM)</t>
  </si>
  <si>
    <t>R_100</t>
  </si>
  <si>
    <t>R primer at concentration. (in nM)</t>
  </si>
  <si>
    <t>R_200</t>
  </si>
  <si>
    <t>R_400</t>
  </si>
  <si>
    <t>R_600</t>
  </si>
  <si>
    <t>R_800</t>
  </si>
  <si>
    <t>R primer at highest concentration. (in nM)</t>
  </si>
  <si>
    <t>dna_per_rxn</t>
  </si>
  <si>
    <t xml:space="preserve">How much standard, positive control or NTC to add per well. </t>
  </si>
  <si>
    <t>std_NTC_reps</t>
  </si>
  <si>
    <t>How many standard and NTC replicates? (int)</t>
  </si>
  <si>
    <t>R_reps</t>
  </si>
  <si>
    <t>How many wells will use R primer at particular concentration? (int)</t>
  </si>
  <si>
    <t>F_reps</t>
  </si>
  <si>
    <t>How many wells will use F primer at particular concentration? (int)</t>
  </si>
  <si>
    <t>F_int_vol</t>
  </si>
  <si>
    <t>What is the volume of F intermediate primer in new tube? (in ul)</t>
  </si>
  <si>
    <t>percent_waste</t>
  </si>
  <si>
    <t>What percentage waste? (decimal)</t>
  </si>
  <si>
    <t>sN_mix_waste_offset</t>
  </si>
  <si>
    <t>How much percent_waste offset should sN_mix use? This calculated as percent_waste-sN_mix_overage = percent_waste for sN_mix_overage e.g. (20-7=13%) Should not be 0 otherwise offset = percent_waste. (decimal)</t>
  </si>
  <si>
    <t>R_mix_waste_offset</t>
  </si>
  <si>
    <t>How much percent_waste offset should R_mix use? This calculated as percent_waste-R_mix_overage = percent_waste for R_mix_overage e.g. (20-=13%) If 0, then offset = percent_waste. (decimal)</t>
  </si>
  <si>
    <t>std_NTC_waste_offset</t>
  </si>
  <si>
    <t>How much percent_waste offset should std_NTC use? (decimal)</t>
  </si>
  <si>
    <t>bpw_waste_offset</t>
  </si>
  <si>
    <t>How much percent_waste offset should bpw_waste use? (decimal)</t>
  </si>
  <si>
    <t>CALCS</t>
  </si>
  <si>
    <t>tot_rxns</t>
  </si>
  <si>
    <t>Calc what is total # rxns. (int)</t>
  </si>
  <si>
    <t>tot_sds_NTC</t>
  </si>
  <si>
    <t>Calc number of standards and nontemplate controls. (int)</t>
  </si>
  <si>
    <t>rxn_vol_no_dna</t>
  </si>
  <si>
    <t>Calc what is volume of PCR rxn with no DNA added. (in ul)</t>
  </si>
  <si>
    <t>P_per_rxn</t>
  </si>
  <si>
    <t>Calc this constant probe is needed per pcr reaction. (in ul)</t>
  </si>
  <si>
    <t>max_vol_F_per_rxn</t>
  </si>
  <si>
    <t>Calc greatest vol added from starting F primer conc to rxn to satisfy max test F conc? (in ul)</t>
  </si>
  <si>
    <t>max_vol_R_per_rxn</t>
  </si>
  <si>
    <t>Calc greatest vol added from starting R primer conc to rxn to satisfy max test R conc? (in ul)</t>
  </si>
  <si>
    <t>water_per_rxn</t>
  </si>
  <si>
    <t>Calc this is water added per rxn such that greatest F, R primer conc can be accommodated in total rxn vol. (in ul)</t>
  </si>
  <si>
    <t>std_vol_F_per_rxn</t>
  </si>
  <si>
    <t>Calc adding this much F primer to each std rxn</t>
  </si>
  <si>
    <t>std_vol_R_per_rxn</t>
  </si>
  <si>
    <t>BPW_rxn</t>
  </si>
  <si>
    <t>Mix base + probe + water (no DNA, F, R primer). (in ul)</t>
  </si>
  <si>
    <t>std_woff_per_sN_rxn</t>
  </si>
  <si>
    <t>Calc how much water to add to offset diff in max vol F,R primer per reaction. (Max-Std)*2 (in ul)</t>
  </si>
  <si>
    <t>BPW_sN_rxn</t>
  </si>
  <si>
    <t>Mix base + probe + water+F,R primer at std conc+water_offset(no DNA). (in ul)</t>
  </si>
  <si>
    <t>BWP_mix_xfer_sN_mix</t>
  </si>
  <si>
    <t>Calc how much tot_BPW_mix to move to make new tube for stds and NTC. (in ul)</t>
  </si>
  <si>
    <t>std_woff_add_to_sN_mix</t>
  </si>
  <si>
    <t>Cal how much water to add to sdd_NTC mmix with waste</t>
  </si>
  <si>
    <t>F_add_to_sN_mix</t>
  </si>
  <si>
    <t>Calc how much F primer to add to std_NTC mmix with waste</t>
  </si>
  <si>
    <t>R_add_to_sN_mix</t>
  </si>
  <si>
    <t>Calc how much R primer to add to std_NTC mmix with waste</t>
  </si>
  <si>
    <t>sN_mix_xfer_to_stds_mix</t>
  </si>
  <si>
    <t>Calc how much sn_mix to aliquot to tube in preparation for std DNA mixing. (in ul)</t>
  </si>
  <si>
    <t>std_DNA_xfer_to_stds_mix</t>
  </si>
  <si>
    <t>Calc how much DNA from each standard adding to stds_mix with waste. (in ul)</t>
  </si>
  <si>
    <t>bpw_mix_xfer_bpwd_mix</t>
  </si>
  <si>
    <t>Calc how much bpw_mix needed in new tube for # total samples</t>
  </si>
  <si>
    <t>std_DNA_xfer_to_bpwd_mix</t>
  </si>
  <si>
    <t>Calc how much DNA to add to bpw_mix for template in PCR rxns.</t>
  </si>
  <si>
    <t>bpwd_rxn</t>
  </si>
  <si>
    <t>Calc vol of bpw reaction + DNA vol</t>
  </si>
  <si>
    <t>bpwd_mix_xfer_R_mix</t>
  </si>
  <si>
    <t>Calc how muc bpwd_mix to transfer to each tube for specific R conc. Less than 12% to avoid missing vol.</t>
  </si>
  <si>
    <t>R_50_rxn</t>
  </si>
  <si>
    <t>Calc how much R primer at lowest concentration to add per reaction? (e.g. 50nM) (in ul)</t>
  </si>
  <si>
    <t>R_50_mix</t>
  </si>
  <si>
    <t>Calc how much R primer to add to R_50 mix. (in ul)</t>
  </si>
  <si>
    <t>R_50_woff_rxn</t>
  </si>
  <si>
    <t>Calc how much water offset to add to each rxn. (in ul)</t>
  </si>
  <si>
    <t>R_50_woff_mix</t>
  </si>
  <si>
    <t>Calc how much water offset to add to R_50 mix. (in ul)</t>
  </si>
  <si>
    <t>R_100_rxn</t>
  </si>
  <si>
    <t>Calc how much R primer at concentration to add. (in ul)</t>
  </si>
  <si>
    <t>R_100_mix</t>
  </si>
  <si>
    <t>Calc how much R primer to add to add. (in ul)</t>
  </si>
  <si>
    <t>R_100_woff_rxn</t>
  </si>
  <si>
    <t>R_100_woff_mix</t>
  </si>
  <si>
    <t>Calc how much water offset to add to mix. (in ul)</t>
  </si>
  <si>
    <t>R_200_rxn</t>
  </si>
  <si>
    <t>R_200_mix</t>
  </si>
  <si>
    <t>R_200_woff_rxn</t>
  </si>
  <si>
    <t>R_200_woff_mix</t>
  </si>
  <si>
    <t>R_400_rxn</t>
  </si>
  <si>
    <t>R_400_mix</t>
  </si>
  <si>
    <t>R_400_woff_rxn</t>
  </si>
  <si>
    <t>R_400_woff_mix</t>
  </si>
  <si>
    <t>R_600_rxn</t>
  </si>
  <si>
    <t>R_600_mix</t>
  </si>
  <si>
    <t>R_600_woff_rxn</t>
  </si>
  <si>
    <t>R_600_woff_mix</t>
  </si>
  <si>
    <t>R_800_rxn</t>
  </si>
  <si>
    <t>R_800_mix</t>
  </si>
  <si>
    <t>R_800_woff_rxn</t>
  </si>
  <si>
    <t>R_800_woff_mix</t>
  </si>
  <si>
    <t>F_50_int_conc</t>
  </si>
  <si>
    <t>What intermediate (int) concentration of F primer is needed such that by adding 1.6ul I obtain a final F primer concentration of 50, 100, 200…etc in rxn well? (in uM)</t>
  </si>
  <si>
    <t>F_100_int_conc</t>
  </si>
  <si>
    <t>F_200_int_conc</t>
  </si>
  <si>
    <t>F_400_int_conc</t>
  </si>
  <si>
    <t>F_600_int_conc</t>
  </si>
  <si>
    <t>F_800_int_conc</t>
  </si>
  <si>
    <t>F_50_int_primer</t>
  </si>
  <si>
    <t>What amount of primer should be added to generate int F primer conc? (in ul)</t>
  </si>
  <si>
    <t>F_50_int_water</t>
  </si>
  <si>
    <t>What amount of water should be added to generate int F primer conc? (in ul)</t>
  </si>
  <si>
    <t>F_100_int_primer</t>
  </si>
  <si>
    <t>F_100_int_water</t>
  </si>
  <si>
    <t>F_200_int_primer</t>
  </si>
  <si>
    <t>F_200_int_water</t>
  </si>
  <si>
    <t>F_400_int_primer</t>
  </si>
  <si>
    <t>F_400_int_water</t>
  </si>
  <si>
    <t>F_600_int_primer</t>
  </si>
  <si>
    <t>F_600_int_water</t>
  </si>
  <si>
    <t>F_800_int_primer</t>
  </si>
  <si>
    <t>F_800_int_water</t>
  </si>
  <si>
    <t>R_mix_rxn</t>
  </si>
  <si>
    <t>What is the rxn vol that should be aliquoted to plate wells after R primer addition? (in ul)</t>
  </si>
  <si>
    <t>MIXES</t>
  </si>
  <si>
    <t>BPW_mix_tot</t>
  </si>
  <si>
    <t>Mix = base + probe + water (no DNA, F, R primer)*96*waste. (in ul)</t>
  </si>
  <si>
    <t>sN_mix_tot</t>
  </si>
  <si>
    <t>Mix = base + probe + water + F,R primers at std conc + water offset (no DNA) * number stds_NTC * waste</t>
  </si>
  <si>
    <t>bpwd_mix_tot</t>
  </si>
  <si>
    <t xml:space="preserve">Mix = base + probe + DNA (no F, R primer) </t>
  </si>
  <si>
    <t>50_mix</t>
  </si>
  <si>
    <t>Mix = base + probe + DNA+ R primer (No F primer)</t>
  </si>
  <si>
    <t>100_mix</t>
  </si>
  <si>
    <t>200_mix</t>
  </si>
  <si>
    <t>400_mix</t>
  </si>
  <si>
    <t>600_mix</t>
  </si>
  <si>
    <t>800_mix</t>
  </si>
  <si>
    <t>Mastermix ordered from Raquel</t>
  </si>
  <si>
    <t>Confirming Volumes and offsets</t>
  </si>
  <si>
    <t>BPW_mix</t>
  </si>
  <si>
    <t>F_10uM use</t>
  </si>
  <si>
    <t>aliquoted (transferred (xfer)) to two mixes</t>
  </si>
  <si>
    <t># transfers</t>
  </si>
  <si>
    <t>bpwd_mix</t>
  </si>
  <si>
    <t>sN_mix has other volumes added and then gets aliquoted to 8 tubes containing standards</t>
  </si>
  <si>
    <t>* 8 tubes</t>
  </si>
  <si>
    <t>What intermediate (int) concentration of F primer is needed such that by adding 1.6ul I obtain a final F primer concentration of 50, 100, 200…etc</t>
  </si>
  <si>
    <t>ul</t>
  </si>
  <si>
    <t>nM</t>
  </si>
  <si>
    <t>C1</t>
  </si>
  <si>
    <t>V1</t>
  </si>
  <si>
    <t>C2</t>
  </si>
  <si>
    <t>V2</t>
  </si>
  <si>
    <t>tube:"bpw_mix"</t>
  </si>
  <si>
    <t>24 wells for std curve and NTCs</t>
  </si>
  <si>
    <t>Creating F primer intermediate concentrations from 10uM in 1.5mL tube</t>
  </si>
  <si>
    <t>Probe from 10uM</t>
  </si>
  <si>
    <t>500nM</t>
  </si>
  <si>
    <t>10uM N2_Fwd</t>
  </si>
  <si>
    <t>Leg pneumo std_6</t>
  </si>
  <si>
    <t>tube:"sN_mix"</t>
  </si>
  <si>
    <t>F_primer@10uM</t>
  </si>
  <si>
    <t>R_primer@10uM</t>
  </si>
  <si>
    <t>tube:"bpwd_mix"</t>
  </si>
  <si>
    <t>72 wells for samples</t>
  </si>
  <si>
    <t xml:space="preserve">DNA (from std_1) for </t>
  </si>
  <si>
    <t>tube:"50_mix"</t>
  </si>
  <si>
    <t>various</t>
  </si>
  <si>
    <t>nm</t>
  </si>
  <si>
    <t>tube:"100_mix"</t>
  </si>
  <si>
    <t>tube:"200_mix"</t>
  </si>
  <si>
    <t>tube:"400_mix"</t>
  </si>
  <si>
    <t>tube:"600_mix"</t>
  </si>
  <si>
    <t>tube:"800_mix"</t>
  </si>
  <si>
    <t>Ct_AVG</t>
  </si>
  <si>
    <t>[F]</t>
  </si>
  <si>
    <t>[R]</t>
  </si>
  <si>
    <t>TrendAvg</t>
  </si>
  <si>
    <t>TrendStDev</t>
  </si>
  <si>
    <t>Lpneumo</t>
  </si>
  <si>
    <t>IDT DNA Data</t>
  </si>
  <si>
    <t>Tube</t>
  </si>
  <si>
    <t>Cq_mean</t>
  </si>
  <si>
    <t>Cq_stdev</t>
  </si>
  <si>
    <t>Tube 1</t>
  </si>
  <si>
    <t>Tube 2</t>
  </si>
  <si>
    <t>Tube 3</t>
  </si>
  <si>
    <t>std_2.1</t>
  </si>
  <si>
    <t>Tube 4</t>
  </si>
  <si>
    <t>std_2.2</t>
  </si>
  <si>
    <t>Tube 5</t>
  </si>
  <si>
    <t>std_2.3</t>
  </si>
  <si>
    <t>Tube 6</t>
  </si>
  <si>
    <t>Tube 7</t>
  </si>
  <si>
    <t>std_3.1</t>
  </si>
  <si>
    <t>m</t>
  </si>
  <si>
    <t>Standard</t>
  </si>
  <si>
    <t>Create a set of 7, 10-fold std dilutions as in previous experiments e.g. Exp800.05</t>
  </si>
  <si>
    <t>from a mastermix tube containing everything but DNA, probe and primers</t>
  </si>
  <si>
    <t>remove XXX ul to a new tube for standard creation</t>
  </si>
  <si>
    <t>Add 400nm F, R primers, 300nM probe and aliquot to new tubes</t>
  </si>
  <si>
    <t>Add std tube into S intermediate tubes, mix and dispense on plate</t>
  </si>
  <si>
    <t>add DNA from std_5 or other and mix</t>
  </si>
  <si>
    <t>remove XXX ul to a new tube for lower F,R creation</t>
  </si>
  <si>
    <t>remove XXX ul to a new tube for mid F, R creation e.g. 400nm</t>
  </si>
  <si>
    <t xml:space="preserve">remove XXX ul to a new tube for upper F, R creation </t>
  </si>
  <si>
    <t>add F, R pimers to lower F, R tube</t>
  </si>
  <si>
    <t>add F, R, primers to mid F, R tube</t>
  </si>
  <si>
    <t>add F, R, primers to upper F, R tube</t>
  </si>
  <si>
    <t>add water to tube for adjusting</t>
  </si>
  <si>
    <t>Dispense 18.4*4ul from lower, mid, upper tubes to 6 beg wells</t>
  </si>
  <si>
    <t xml:space="preserve">While chillin, make probe dilutions similar to F dilutions </t>
  </si>
  <si>
    <t>add 1.6*4 into beg well, mix, aliquiot to 3 neighboring wells</t>
  </si>
  <si>
    <t>Creating other F, R primer concentrations around the empirically determined concentrations to test for F,R-probe efficiencies at diff conc.</t>
  </si>
  <si>
    <t>tube:"mix_bw_tot"</t>
  </si>
  <si>
    <t>IAC_F_primer@10uM</t>
  </si>
  <si>
    <t>50nM</t>
  </si>
  <si>
    <t>IAC_R_primer@10uM</t>
  </si>
  <si>
    <t>probe@10uM</t>
  </si>
  <si>
    <t>Leg pneumo "std_6"</t>
  </si>
  <si>
    <t>lower</t>
  </si>
  <si>
    <t>mid</t>
  </si>
  <si>
    <t>upper</t>
  </si>
  <si>
    <t>100nM</t>
  </si>
  <si>
    <t>200nM</t>
  </si>
  <si>
    <t>IAC_DNA "std_1"</t>
  </si>
  <si>
    <t>What intermediate (int) concentration of probe is needed such that by adding 1.6ul into 20ul tot vol I obtain a final concentration of 50, 100, 200…etc</t>
  </si>
  <si>
    <t>OT-2 moves this much to each int_tube (Hi, mid, low)</t>
  </si>
  <si>
    <t>Creating probe intermediate concentrations from 10uM in 1.5mL tube</t>
  </si>
  <si>
    <t>What is the probe concentration for the stds?</t>
  </si>
  <si>
    <t>P_50</t>
  </si>
  <si>
    <t>Probe at lowest conc.</t>
  </si>
  <si>
    <t>P_100</t>
  </si>
  <si>
    <t>Probe at conc</t>
  </si>
  <si>
    <t>P_200</t>
  </si>
  <si>
    <t>P_400</t>
  </si>
  <si>
    <t>P_600</t>
  </si>
  <si>
    <t>P_800</t>
  </si>
  <si>
    <t>Probe at highest conc.</t>
  </si>
  <si>
    <t>sample_reps</t>
  </si>
  <si>
    <t>How many samples at each F, R conc will be run?</t>
  </si>
  <si>
    <t>rxn_base_plus_water</t>
  </si>
  <si>
    <t xml:space="preserve">This value set from other experiments. </t>
  </si>
  <si>
    <t>F_upp</t>
  </si>
  <si>
    <t>F_mid</t>
  </si>
  <si>
    <t>What is the constant F primer concentration for standards? This should be guess or from literature or empirically determined. (in nM)</t>
  </si>
  <si>
    <t>F_low</t>
  </si>
  <si>
    <t>R_upp</t>
  </si>
  <si>
    <t>R_mid</t>
  </si>
  <si>
    <t>What is the constant R primer concentration for standards? This should be guess or from literature or empirically determined. (in nM)</t>
  </si>
  <si>
    <t>R_low</t>
  </si>
  <si>
    <t>P_reps</t>
  </si>
  <si>
    <t>How many wells will use probe primer at particular concentration? (int)</t>
  </si>
  <si>
    <t>P_vol_rxn</t>
  </si>
  <si>
    <t>What vol of probe will be added to reaction? (in ul)</t>
  </si>
  <si>
    <t>P_int_vol</t>
  </si>
  <si>
    <t>samp_int_mix_waste_offset</t>
  </si>
  <si>
    <t>mix_samp_XFT_well_waste_offset</t>
  </si>
  <si>
    <t>How much should offset be from each sample tube, upper, mid, low to the plate wells? Will receive P, be mixed and then aliquoted to 3 wells.</t>
  </si>
  <si>
    <t>tot_stds_NTC</t>
  </si>
  <si>
    <t>mix_bw_tot</t>
  </si>
  <si>
    <t>Tube with mix containing base and water.</t>
  </si>
  <si>
    <t>mix_bw_XFR_mix_sn</t>
  </si>
  <si>
    <t>Transfer this amount from MIX_bw to new tube to receive F, R, P for std and NTC prep</t>
  </si>
  <si>
    <t>Calc adding this much R primer to each std rxn</t>
  </si>
  <si>
    <t>std_vol_P_per_rxn</t>
  </si>
  <si>
    <t>Calc adding this much Probe to each std rxn</t>
  </si>
  <si>
    <t>std_vol_water_per_rxn</t>
  </si>
  <si>
    <t>How much water is added to the std_ntc reactions. Should be 18ul to receive 2ul DNA. (in ul)</t>
  </si>
  <si>
    <t>std_vol_F_mix</t>
  </si>
  <si>
    <t>How much F primer to add to MIX_sn?</t>
  </si>
  <si>
    <t>std_vol_R_mix</t>
  </si>
  <si>
    <t>How much R primer to add to MIX_sn?</t>
  </si>
  <si>
    <t>std_vol_P_mix</t>
  </si>
  <si>
    <t>How much P primer to add to MIX_sn?</t>
  </si>
  <si>
    <t>std_vol_water_mix</t>
  </si>
  <si>
    <t>How much water  to add to MIX_sn?</t>
  </si>
  <si>
    <t>mix_sn_tot</t>
  </si>
  <si>
    <t>Mix containing base+water+F,R,P. Needs to be aliquoted to std_int tubes</t>
  </si>
  <si>
    <t>mix_sn_XFR_to_std_int</t>
  </si>
  <si>
    <t>transfer this amount to std_int tubes</t>
  </si>
  <si>
    <t>std_dna_XFR_to_std_int</t>
  </si>
  <si>
    <t>transfer this amount DNA to std_int_tubes to mix and aliquot to 3 wells</t>
  </si>
  <si>
    <t>mix_bw_XFR_samp_int</t>
  </si>
  <si>
    <t>transfer this amount from mix_bw to a new sample intermediate tube for diff values of F, R conc.</t>
  </si>
  <si>
    <t>10x_dna_per_rxn</t>
  </si>
  <si>
    <t>Dilute DNA vol added by 10x and use std_4 instead of std_5 to save vol for P and F, R at upp</t>
  </si>
  <si>
    <t>dna_XFR_samp_int</t>
  </si>
  <si>
    <t>Add this DNA to a tube and mix before aliquoting to samp_int</t>
  </si>
  <si>
    <t>F_mid_rxn</t>
  </si>
  <si>
    <t xml:space="preserve">How much F @ mid conc to add to rxn. </t>
  </si>
  <si>
    <t>F_mid_mix</t>
  </si>
  <si>
    <t>How much F to add to mix</t>
  </si>
  <si>
    <t>R_mid_rxn</t>
  </si>
  <si>
    <t xml:space="preserve">How much R @ mid conc to add to rxn. </t>
  </si>
  <si>
    <t>R_mid_mix</t>
  </si>
  <si>
    <t>How much R to add to mix</t>
  </si>
  <si>
    <t>F_low_rxn</t>
  </si>
  <si>
    <t xml:space="preserve">How much F @ low conc to add to rxn. </t>
  </si>
  <si>
    <t>F_low_mix</t>
  </si>
  <si>
    <t>R_low_rxn</t>
  </si>
  <si>
    <t xml:space="preserve">How much R @ low conc to add to rxn. </t>
  </si>
  <si>
    <t>R_low_mix</t>
  </si>
  <si>
    <t>F_upp_rxn</t>
  </si>
  <si>
    <t xml:space="preserve">How much F @ upp conc to add to rxn. </t>
  </si>
  <si>
    <t>F_upp_mix</t>
  </si>
  <si>
    <t>R_upp_rxn</t>
  </si>
  <si>
    <t xml:space="preserve">How much R @ upp conc to add to rxn. </t>
  </si>
  <si>
    <t>R_upp_mix</t>
  </si>
  <si>
    <t>water_upp_rxn</t>
  </si>
  <si>
    <t>How much water to add to upp rxn</t>
  </si>
  <si>
    <t>water_upp_mix</t>
  </si>
  <si>
    <t>How much water to add to upp mix</t>
  </si>
  <si>
    <t>water_low_rxn</t>
  </si>
  <si>
    <t>How much water to add to low rxn</t>
  </si>
  <si>
    <t>water_low_mix</t>
  </si>
  <si>
    <t>How much water to add to low mix</t>
  </si>
  <si>
    <t>water_mid_rxn</t>
  </si>
  <si>
    <t>how much water to add to mid rxn</t>
  </si>
  <si>
    <t>water_mid_mix</t>
  </si>
  <si>
    <t>how much water to add to mid mix</t>
  </si>
  <si>
    <t>MIX_upp_samp_int</t>
  </si>
  <si>
    <t>How much in upper intermediate sample tube?</t>
  </si>
  <si>
    <t>MIX_mid_samp_int</t>
  </si>
  <si>
    <t>How much in middle intermediate sample tube?</t>
  </si>
  <si>
    <t>MIX_low_samp_int</t>
  </si>
  <si>
    <t>How much in lower intermediate sample tube?</t>
  </si>
  <si>
    <t>mix_samp_XFR_to_well</t>
  </si>
  <si>
    <t>How much to add to plate wells?</t>
  </si>
  <si>
    <t>P_50_int_conc</t>
  </si>
  <si>
    <t>What intermediate (int) concentration of  Probe is needed such that by adding 1.6ul I obtain a final concentration of 50, 100, 200…etc in rxn well? (in uM)</t>
  </si>
  <si>
    <t>P_100_int_conc</t>
  </si>
  <si>
    <t>P_200_int_conc</t>
  </si>
  <si>
    <t>P_400_int_conc</t>
  </si>
  <si>
    <t>P_600_int_conc</t>
  </si>
  <si>
    <t>P_800_int_conc</t>
  </si>
  <si>
    <t>P_50_int_primer</t>
  </si>
  <si>
    <t>P_100_int_primer</t>
  </si>
  <si>
    <t>P_200_int_primer</t>
  </si>
  <si>
    <t>P_400_int_primer</t>
  </si>
  <si>
    <t>P_600_int_primer</t>
  </si>
  <si>
    <t>P_800_int_primer</t>
  </si>
  <si>
    <t>P_50_int_water</t>
  </si>
  <si>
    <t>P_100_int_water</t>
  </si>
  <si>
    <t>P_200_int_water</t>
  </si>
  <si>
    <t>P_400_int_water</t>
  </si>
  <si>
    <t>P_600_int_water</t>
  </si>
  <si>
    <t>P_800_int_water</t>
  </si>
  <si>
    <t>p_int_XFR_to_well</t>
  </si>
  <si>
    <t>What amount of probe intermediate to add to bolus in wells?</t>
  </si>
  <si>
    <t>Ct_stdDev</t>
  </si>
  <si>
    <t>F_conc</t>
  </si>
  <si>
    <t>R_conc</t>
  </si>
  <si>
    <t>Name</t>
  </si>
  <si>
    <t>Ct_stdev</t>
  </si>
  <si>
    <t>STD</t>
  </si>
  <si>
    <t>OPT</t>
  </si>
  <si>
    <t>Ct_STD</t>
  </si>
  <si>
    <t>Ct_STD_MEAN</t>
  </si>
  <si>
    <t>Ct_STD_STDEV</t>
  </si>
  <si>
    <t>Ct_OPT</t>
  </si>
  <si>
    <t>Ct_OPT_MEAN</t>
  </si>
  <si>
    <t>Ct_OPT_STDEV</t>
  </si>
  <si>
    <t>Log(Copy Number/ul)</t>
  </si>
  <si>
    <t>2*stdev</t>
  </si>
  <si>
    <t>Diff</t>
  </si>
  <si>
    <t xml:space="preserve">Determining how much from tube 2 IAC, I need to add to get to same concentration of "std_2.2". </t>
  </si>
  <si>
    <t>The equivalent of 0.5ul from std_2 is the same as 2ul std_2_2</t>
  </si>
  <si>
    <t>Legionella pneumophila positive control</t>
  </si>
  <si>
    <t>copies/2ul_rxn</t>
  </si>
  <si>
    <t>Orig</t>
  </si>
  <si>
    <t>std_0</t>
  </si>
  <si>
    <t>Next Steps</t>
  </si>
  <si>
    <t>﻿Make big batch of Leg pneumo master mix with optimized concentrations. Test/Re-Test the following</t>
  </si>
  <si>
    <t>Liquid Master Mix in Tube</t>
  </si>
  <si>
    <t>Assay</t>
  </si>
  <si>
    <t>Estimated Reactions</t>
  </si>
  <si>
    <t>Notes</t>
  </si>
  <si>
    <t>Leg pneumo std curve</t>
  </si>
  <si>
    <t>LOD Determination</t>
  </si>
  <si>
    <t>200-400</t>
  </si>
  <si>
    <t>Sample Detection (Leg pneumo gDNA, tablet from ieLab)</t>
  </si>
  <si>
    <t>15ul formulation</t>
  </si>
  <si>
    <t>Lyophilized Master Mix in 8-well strip cap tubes</t>
  </si>
  <si>
    <t>Q16 validation</t>
  </si>
  <si>
    <t>Leg pneumo = "std_5"</t>
  </si>
  <si>
    <t>Group</t>
  </si>
  <si>
    <t>Cq</t>
  </si>
  <si>
    <t>Ct_STD_MEAN for Leg pneumo</t>
  </si>
  <si>
    <t>Ct_STD_STDEV for Leg pneumo</t>
  </si>
  <si>
    <t>Anova: Single Factor</t>
  </si>
  <si>
    <t>SUMMARY</t>
  </si>
  <si>
    <t>Groups</t>
  </si>
  <si>
    <t>Count</t>
  </si>
  <si>
    <t>Sum</t>
  </si>
  <si>
    <t>Average</t>
  </si>
  <si>
    <t>Variance</t>
  </si>
  <si>
    <t>ANOVA</t>
  </si>
  <si>
    <t>Source of Variation</t>
  </si>
  <si>
    <t>SS</t>
  </si>
  <si>
    <t>df</t>
  </si>
  <si>
    <t>MS</t>
  </si>
  <si>
    <t>F</t>
  </si>
  <si>
    <t>P-value</t>
  </si>
  <si>
    <t>F crit</t>
  </si>
  <si>
    <t>Between Groups</t>
  </si>
  <si>
    <t>Within Groups</t>
  </si>
  <si>
    <t>Total</t>
  </si>
  <si>
    <t>Ct_STD_Mean</t>
  </si>
  <si>
    <t>Ct_OPT_Mean</t>
  </si>
  <si>
    <t>Diff (hi-lo)</t>
  </si>
  <si>
    <t>from OPT HI</t>
  </si>
  <si>
    <t>from this assay (LO OPT)</t>
  </si>
  <si>
    <t>This master mix given to Raquell</t>
  </si>
  <si>
    <t>from this file: "C:\Users\HarleyKing\OneDrive - LuminUltra Technologies Ltd\Documents\Exp800-automation\Exp800.09 Optimizing Legionella pneumophila\Legionella recipes wet 04_12_21.xlsx"</t>
  </si>
  <si>
    <t>OPTIMIZED RECIPE</t>
  </si>
  <si>
    <t>20210430_Testing OPT recipe vs LEG recipe</t>
  </si>
  <si>
    <t>Used same IAC standards set from previous experiments. No more vol in std_2.1 and std_2.2</t>
  </si>
  <si>
    <t>Row</t>
  </si>
  <si>
    <t>IAC Std</t>
  </si>
  <si>
    <t>A</t>
  </si>
  <si>
    <t>B</t>
  </si>
  <si>
    <t>C</t>
  </si>
  <si>
    <t>D</t>
  </si>
  <si>
    <t>E</t>
  </si>
  <si>
    <t xml:space="preserve">Meant to add std_4 here but didn't update OT-2 settings </t>
  </si>
  <si>
    <t>LEG spp. RECIPE</t>
  </si>
  <si>
    <t xml:space="preserve">Master mixes made by Raquel after 4/26 have a problem. Diagnosed to be dNTP and Mg2+ concentration. </t>
  </si>
  <si>
    <t>She made a Leg spp mastermix that I also believe needs dNTP and Mg adjustment.</t>
  </si>
  <si>
    <t>Leg spp "std_5"</t>
  </si>
  <si>
    <t>dNTP</t>
  </si>
  <si>
    <t xml:space="preserve">This worked splendidly well. </t>
  </si>
  <si>
    <t>Didn't observe Leg spp. Fluorescence but expected, too. Did Raquel leave out this probe, too?</t>
  </si>
  <si>
    <t xml:space="preserve">Repeated same program and mastermix above with Leg pneumo mix. </t>
  </si>
  <si>
    <t>Ct_Mean</t>
  </si>
  <si>
    <t>Ct_StDev</t>
  </si>
  <si>
    <t>CY5</t>
  </si>
  <si>
    <t>Leg spp</t>
  </si>
  <si>
    <t>Ct_STDEV</t>
  </si>
  <si>
    <t>too high</t>
  </si>
  <si>
    <t>c1</t>
  </si>
  <si>
    <t>v1</t>
  </si>
  <si>
    <t>c2</t>
  </si>
  <si>
    <t>v2</t>
  </si>
  <si>
    <t>Neil says</t>
  </si>
  <si>
    <t>This is really crazy.  Out of curiosity, I took the primers and probes and plugged them into Thermo's multiple primer analyzer: https://www.thermofisher.com/us/en/home/brands/thermo-scientific/molecular-biology/molecular-biology...</t>
  </si>
  <si>
    <t>One significant interaction came up between the forward Legionella primer and the IAC forward:</t>
  </si>
  <si>
    <t>While we are waiting for more Leg probe, would it make sense to run a couple tests to confirm which primer(s) may be causing the issue?  For example, it may be interesting to know if only one of the Legionella primers is causing the issue (i.e. perhaps by running complete IAC assay with each Legionella primer together and individually).  That could potentially suggest a way to fix the issue by changing the IAC sequence slightly?</t>
  </si>
  <si>
    <t>Using this master mix to test IAC amplification inhibited by presence of Leg pneumo F.</t>
  </si>
  <si>
    <t>Blank - Master Mix for Lyophilization</t>
  </si>
  <si>
    <t>dextran</t>
  </si>
  <si>
    <t>IAC F_primer@10uM</t>
  </si>
  <si>
    <t>IAC R_primer@10uM</t>
  </si>
  <si>
    <t>IAC probe@10uM</t>
  </si>
  <si>
    <t>IAC pos control (std_5)</t>
  </si>
  <si>
    <t>sample</t>
  </si>
  <si>
    <t>procedure</t>
  </si>
  <si>
    <t xml:space="preserve">Use program "qPCR test samples with std curve.py". </t>
  </si>
  <si>
    <t>Allow program to create std curve using IAC stds 2..7.</t>
  </si>
  <si>
    <t>This will use "18*3*1.14"= 61.56ul * 8 = 492.48ul from mastermix</t>
  </si>
  <si>
    <t>to leftover mastermix add 10ul IAC "std_2" and homogenize about 10/1500 = 0.67% error in mmix, which is acceptable.</t>
  </si>
  <si>
    <t xml:space="preserve">make 6 "sample" tubes containing increasing concentrations of F, R primer. </t>
  </si>
  <si>
    <t>Program requires "2ul*12*1.1" = 26.4ul total sample</t>
  </si>
  <si>
    <t>From 10uM F, R Leg pneumo primers, add to separate tube and water according to schedule below.</t>
  </si>
  <si>
    <t>Leg pneumo Primers</t>
  </si>
  <si>
    <t>"Sample" Tube</t>
  </si>
  <si>
    <t>ROW</t>
  </si>
  <si>
    <t>R</t>
  </si>
  <si>
    <t>row A</t>
  </si>
  <si>
    <t>Leg pneumo primer</t>
  </si>
  <si>
    <t>row B</t>
  </si>
  <si>
    <t>row C</t>
  </si>
  <si>
    <t>row D</t>
  </si>
  <si>
    <t>row E</t>
  </si>
  <si>
    <t>row F</t>
  </si>
  <si>
    <t>not much difference observed between concentrations. Inhibition more pronounced at lower concentrations?</t>
  </si>
  <si>
    <t>IAC pos control (std_2)</t>
  </si>
  <si>
    <t>Conclusion</t>
  </si>
  <si>
    <t xml:space="preserve">Had Raquel make me a new mix: this one doesn't contain dextran. </t>
  </si>
  <si>
    <t xml:space="preserve">I’m worried that dextran is attenuating my fluorescence signal. </t>
  </si>
  <si>
    <t xml:space="preserve">20210512 Asked Raquel to send me down all the IAC tubes and she sent me these. </t>
  </si>
  <si>
    <t>Sequences on tube label are different. Wrote Laara Moran to ask for IDT_DNA spec sheets.</t>
  </si>
  <si>
    <t>Order #</t>
  </si>
  <si>
    <t>Date</t>
  </si>
  <si>
    <t>Ordered By:</t>
  </si>
  <si>
    <t>Leg_spp_UltraIAC</t>
  </si>
  <si>
    <t>D. Acevedo</t>
  </si>
  <si>
    <t>Leg_pne_UltraIAC</t>
  </si>
  <si>
    <t>Leg_spp_UltraIAC V1</t>
  </si>
  <si>
    <t>Leg_spp_UltraIAC V2</t>
  </si>
  <si>
    <t>Leg_spp_UltraIAC V3</t>
  </si>
  <si>
    <t>﻿Hi, @Neil Sharma﻿, in designing new IAC Forward and Reverse primers, I ﻿discover that the IAC_F﻿ shares 15bp identify with an upstream region of the IAC ultramer. It may explain some IAC weirdness.</t>
  </si>
  <si>
    <t>Made a video for Neil:</t>
  </si>
  <si>
    <t>https://web.microsoftstream.com/video/ec6aaaf9-1292-4fee-b2a0-a8c2ff0e71a0</t>
  </si>
  <si>
    <t>Making 3 New F and R primers</t>
  </si>
  <si>
    <t>name</t>
  </si>
  <si>
    <t>seq (5'-3')</t>
  </si>
  <si>
    <t>Length</t>
  </si>
  <si>
    <t>Tm</t>
  </si>
  <si>
    <t xml:space="preserve">IAC_Rev_2 </t>
  </si>
  <si>
    <t>CAGCACCCTAGCTTGGTAGAA</t>
  </si>
  <si>
    <t>IAC Rev_3</t>
  </si>
  <si>
    <t>CAGCACCCTAGCTTGGTAG</t>
  </si>
  <si>
    <t xml:space="preserve">IAC_Rev_4 </t>
  </si>
  <si>
    <t>ATCGATCAGCTACGTGAGGTC</t>
  </si>
  <si>
    <t>IAC Fwd_2</t>
  </si>
  <si>
    <t>ACCTAACGTACGACTCGTTC</t>
  </si>
  <si>
    <t xml:space="preserve">IAC Fwd_3 </t>
  </si>
  <si>
    <t>TTCGTAGTCGACCTAACCTT</t>
  </si>
  <si>
    <t xml:space="preserve">IAC Fwd_4 </t>
  </si>
  <si>
    <t>CTCGTTCGTAGTCGACCTAA</t>
  </si>
  <si>
    <t>IAC std curve with old primers</t>
  </si>
  <si>
    <t>IAC_Fwd and IAC_Rev_std</t>
  </si>
  <si>
    <t>IAC Ultramer</t>
  </si>
  <si>
    <t>Ct_StDEV</t>
  </si>
  <si>
    <t>Log(copy#/rxn)</t>
  </si>
  <si>
    <t>F, R</t>
  </si>
  <si>
    <t>F2, R</t>
  </si>
  <si>
    <t>mx</t>
  </si>
  <si>
    <t>stds_2..8</t>
  </si>
  <si>
    <t>using EvaGreen and stds to make a melting curve to see if any diff. between primer sets.</t>
  </si>
  <si>
    <t>IAC_F2</t>
  </si>
  <si>
    <t>conclusions</t>
  </si>
  <si>
    <t xml:space="preserve">Small difference in melting when comparing IAC amplification with F vs F2 primer consistent with longer amplicon being generated by F2. </t>
  </si>
  <si>
    <t>EvaGreen</t>
  </si>
  <si>
    <t xml:space="preserve">also want to test for IAC amplification in the presence of Leg pneumo F primer. </t>
  </si>
  <si>
    <t>Make it with "sample qPCR with std curve" but without std curve.</t>
  </si>
  <si>
    <t>What is Leg pneumo conc of int tubes?</t>
  </si>
  <si>
    <t>How much Leg pneumo F @ 10uM to get desired conc</t>
  </si>
  <si>
    <t>WATER</t>
  </si>
  <si>
    <t>IAC std_5</t>
  </si>
  <si>
    <t xml:space="preserve">Make 70 of each of these sample tubes. From each tube, 26.4ul will be drawn and added to the wells. </t>
  </si>
  <si>
    <t xml:space="preserve">IAC amplification with F and F2 with doping in Leg pneumo at 50, 800nM. Using program qPCR sample with no std curve. Also testing melting. </t>
  </si>
  <si>
    <t>IAC__F</t>
  </si>
  <si>
    <t>Leg pneumo F Conc (nM)</t>
  </si>
  <si>
    <t>EvaG_Mean</t>
  </si>
  <si>
    <t>EvaG_STD</t>
  </si>
  <si>
    <t>IAC_Mean</t>
  </si>
  <si>
    <t>IAC_STD</t>
  </si>
  <si>
    <t>Results</t>
  </si>
  <si>
    <t>Normal IAC amplification in row A</t>
  </si>
  <si>
    <t>No IAC amplification in row B. Leg pneumo F inhibits?</t>
  </si>
  <si>
    <t>NTC</t>
  </si>
  <si>
    <t xml:space="preserve">Melt curve analysis suggests 800nM Leg pneumo F generates alternate amplicon with Tm ~49C. </t>
  </si>
  <si>
    <t xml:space="preserve">50nM </t>
  </si>
  <si>
    <t>This explains previous results showing that decreased IAC F from 250 to 50nM had better fluorescence.</t>
  </si>
  <si>
    <t xml:space="preserve">Also explains why IAC ultramer needed to be at a high concentration. </t>
  </si>
  <si>
    <t xml:space="preserve">Also shows that F2 primer acceptable replacement. </t>
  </si>
  <si>
    <t>Sum of F1</t>
  </si>
  <si>
    <t>Sampling Count</t>
  </si>
  <si>
    <t>Grand Total</t>
  </si>
  <si>
    <t>Sum of F4</t>
  </si>
  <si>
    <t>Cycles</t>
  </si>
  <si>
    <t>dna_per_rxn_10x</t>
  </si>
  <si>
    <t>10x concentrated DNA to add to reactions to avoid using too much std sample</t>
  </si>
  <si>
    <t>Leg pneumo ultramer std_5</t>
  </si>
  <si>
    <t>Leg pneumo F</t>
  </si>
  <si>
    <t>400nM</t>
  </si>
  <si>
    <t>Leg pneumo R</t>
  </si>
  <si>
    <t>IAC Probe</t>
  </si>
  <si>
    <t>300nM</t>
  </si>
  <si>
    <t>IAC_F2 primer@10uM</t>
  </si>
  <si>
    <t xml:space="preserve">DNA (from std_7) for </t>
  </si>
  <si>
    <t>[Primer]</t>
  </si>
  <si>
    <t>Constant [R]</t>
  </si>
  <si>
    <t>Constant [F]</t>
  </si>
  <si>
    <t>y = 930.2554 + (32.44879 - 930.2554)/(1 + (x/0.002186158)^-0.9452625)^98.95066</t>
  </si>
  <si>
    <t>Tube 8</t>
  </si>
  <si>
    <t>Leg pneumo Variations in presence of IAC F, R Concentrations</t>
  </si>
  <si>
    <t>GroupMean_const[P]</t>
  </si>
  <si>
    <t>Group_SD</t>
  </si>
  <si>
    <t>GroupMean_cons[F,R]</t>
  </si>
  <si>
    <t>500_500_50</t>
  </si>
  <si>
    <t>Leg pneumoe</t>
  </si>
  <si>
    <t>500_500_100</t>
  </si>
  <si>
    <t>400_400_50</t>
  </si>
  <si>
    <t>500_500_200</t>
  </si>
  <si>
    <t>300_300_50</t>
  </si>
  <si>
    <t>500_500_400</t>
  </si>
  <si>
    <t>500_500_600</t>
  </si>
  <si>
    <t>500_500_800</t>
  </si>
  <si>
    <t xml:space="preserve">this is pasted from other tab; confirming values on left. </t>
  </si>
  <si>
    <t>Now that I have optimized for Leg pneumo and IAC in the presence of Leg pneumo, I can test final optimized concentrations and see if they can amplify Leg pneumo samples</t>
  </si>
  <si>
    <t>Copy Number/0.2ul</t>
  </si>
  <si>
    <t>Copy Number/2ul</t>
  </si>
  <si>
    <t>IAC F2</t>
  </si>
  <si>
    <t>IAC R</t>
  </si>
  <si>
    <t>IAC probe</t>
  </si>
  <si>
    <t>250nM</t>
  </si>
  <si>
    <t>IAC std_6</t>
  </si>
  <si>
    <t xml:space="preserve">Used 6 Leg pneumo standards. </t>
  </si>
  <si>
    <t>Some samples positive when should have been negative. NTCs also positive = contamination. Water?</t>
  </si>
  <si>
    <t>Not much difference observed between samples.</t>
  </si>
  <si>
    <t>IAC_no_dextran</t>
  </si>
  <si>
    <t>IAC_with_dextran</t>
  </si>
  <si>
    <t>Have Raquel make master mix:</t>
  </si>
  <si>
    <t>Leg pneumo P</t>
  </si>
  <si>
    <t>Procedure</t>
  </si>
  <si>
    <t>1) Add reagents together according to the above schedule</t>
  </si>
  <si>
    <t>2) Aliquot 12.11ul into each well of an 8-well strip tube. There should be 24, 8-well strip tubes for a total of 192 wells.</t>
  </si>
  <si>
    <t>3) The remaining volume (6358.92-(12.11*192) = 4033.8ul) should be place in a 5mL conical tube and sent downstairs.</t>
  </si>
  <si>
    <t>4) The 24 strip cap tubes should be placed in lyophilizer and processed. When finished, they may be sent downstairs.</t>
  </si>
  <si>
    <t>I have the IAC F2 and the IAC ultramer down here. I'll add them in when I want to use the mix. </t>
  </si>
  <si>
    <t>using program in Exp800.14.</t>
  </si>
  <si>
    <t xml:space="preserve">Need to add IAC_F2 and Ultramer to water solution so that every well can receive. </t>
  </si>
  <si>
    <t xml:space="preserve">lyophilized mastermix tube containing everything but DNA. </t>
  </si>
  <si>
    <t>IAC ultramer "std_7"</t>
  </si>
  <si>
    <t>0.3uM</t>
  </si>
  <si>
    <t>Internal Control</t>
  </si>
  <si>
    <t>Q96</t>
  </si>
  <si>
    <t xml:space="preserve"> Sample</t>
  </si>
  <si>
    <t xml:space="preserve"> Type</t>
  </si>
  <si>
    <t xml:space="preserve"> Target</t>
  </si>
  <si>
    <t xml:space="preserve"> Ct</t>
  </si>
  <si>
    <t xml:space="preserve"> Result</t>
  </si>
  <si>
    <t>A1-1</t>
  </si>
  <si>
    <t xml:space="preserve"> A1</t>
  </si>
  <si>
    <t xml:space="preserve"> Unknown</t>
  </si>
  <si>
    <t xml:space="preserve"> Legionella sp.</t>
  </si>
  <si>
    <t xml:space="preserve"> Detected</t>
  </si>
  <si>
    <t>A1-4</t>
  </si>
  <si>
    <t xml:space="preserve"> Internal Control</t>
  </si>
  <si>
    <t xml:space="preserve"> Pass</t>
  </si>
  <si>
    <t>A2-1</t>
  </si>
  <si>
    <t xml:space="preserve"> A2</t>
  </si>
  <si>
    <t>A2-4</t>
  </si>
  <si>
    <t>A3-1</t>
  </si>
  <si>
    <t xml:space="preserve"> A3</t>
  </si>
  <si>
    <t>A3-4</t>
  </si>
  <si>
    <t xml:space="preserve"> Fail</t>
  </si>
  <si>
    <t>A4-1</t>
  </si>
  <si>
    <t xml:space="preserve"> A4</t>
  </si>
  <si>
    <t>A4-4</t>
  </si>
  <si>
    <t>A5-1</t>
  </si>
  <si>
    <t xml:space="preserve"> A5</t>
  </si>
  <si>
    <t>A5-4</t>
  </si>
  <si>
    <t>A6-1</t>
  </si>
  <si>
    <t xml:space="preserve"> A6</t>
  </si>
  <si>
    <t>A6-4</t>
  </si>
  <si>
    <t>A7-1</t>
  </si>
  <si>
    <t xml:space="preserve"> A7</t>
  </si>
  <si>
    <t>A7-4</t>
  </si>
  <si>
    <t>A8-1</t>
  </si>
  <si>
    <t xml:space="preserve"> A8</t>
  </si>
  <si>
    <t xml:space="preserve"> Undetected</t>
  </si>
  <si>
    <t>A8-4</t>
  </si>
  <si>
    <t>B1-1</t>
  </si>
  <si>
    <t xml:space="preserve"> B1</t>
  </si>
  <si>
    <t>B1-4</t>
  </si>
  <si>
    <t>B2-1</t>
  </si>
  <si>
    <t xml:space="preserve"> B2</t>
  </si>
  <si>
    <t>B2-4</t>
  </si>
  <si>
    <t>B3-1</t>
  </si>
  <si>
    <t xml:space="preserve"> B3</t>
  </si>
  <si>
    <t>B3-4</t>
  </si>
  <si>
    <t>B4-1</t>
  </si>
  <si>
    <t xml:space="preserve"> B4</t>
  </si>
  <si>
    <t>B4-4</t>
  </si>
  <si>
    <t>B5-1</t>
  </si>
  <si>
    <t xml:space="preserve"> B5</t>
  </si>
  <si>
    <t>B5-4</t>
  </si>
  <si>
    <t>B6-1</t>
  </si>
  <si>
    <t xml:space="preserve"> B6</t>
  </si>
  <si>
    <t>B6-4</t>
  </si>
  <si>
    <t>B7-1</t>
  </si>
  <si>
    <t xml:space="preserve"> B7</t>
  </si>
  <si>
    <t>B7-4</t>
  </si>
  <si>
    <t>B8-1</t>
  </si>
  <si>
    <t xml:space="preserve"> B8</t>
  </si>
  <si>
    <t>B8-4</t>
  </si>
  <si>
    <t>Q16</t>
  </si>
  <si>
    <t>cy5</t>
  </si>
  <si>
    <t>Legionella sp</t>
  </si>
  <si>
    <t>miniS</t>
  </si>
  <si>
    <t>ThermalCycler</t>
  </si>
  <si>
    <t>Well_Q96</t>
  </si>
  <si>
    <t>Well_Q16</t>
  </si>
  <si>
    <t xml:space="preserve"> Sample_Q16</t>
  </si>
  <si>
    <t>Type_Q16</t>
  </si>
  <si>
    <t>Row Labels</t>
  </si>
  <si>
    <t>Column Labels</t>
  </si>
  <si>
    <t>Sum of Ct_AVG</t>
  </si>
  <si>
    <t>creating liquid master mix to test liquid vs lyophilized.</t>
  </si>
  <si>
    <t>make mastermix</t>
  </si>
  <si>
    <t>then aliquot to 8 tubes. Add dna. Mix. Aliquot to strip tubes.</t>
  </si>
  <si>
    <t>see log for experimental details</t>
  </si>
  <si>
    <t xml:space="preserve">Used OT-2 program to run 6 strip tubes with stds2..7. </t>
  </si>
  <si>
    <t>Two were each run on Q16 (annitoa), Q96 and miniS (16-well format from BioER).</t>
  </si>
  <si>
    <t>Q16 failed with fatal error. Greg reported. Didn't pull data from miniS or from Q96</t>
  </si>
  <si>
    <t>Run 1</t>
  </si>
  <si>
    <t>Run 2</t>
  </si>
  <si>
    <t>Ran on Q16, Q96 and miniS.</t>
  </si>
  <si>
    <t>Analyzed data and copied above.</t>
  </si>
  <si>
    <t>Run 3</t>
  </si>
  <si>
    <t xml:space="preserve">Prepared  6 strip tubes. </t>
  </si>
  <si>
    <t xml:space="preserve">Also prepared 2 strip tubes with liquid formulations according to above schedule. </t>
  </si>
  <si>
    <t>Ran the liquid strip tube on both Q96 and Q16. In each case it's the top tube (Row A, Row C) High to low (left to right)</t>
  </si>
  <si>
    <t>Prepared 6 strip tubes. Used stds 8, 9, 10, 11, 12, 13, 14</t>
  </si>
  <si>
    <t>4 tubes (1 liquid, 3 lyhophilized) on Q96.</t>
  </si>
  <si>
    <t>keeping in this folder: "C:\Users\HarleyKing\OneDrive - LuminUltra Technologies Ltd\Documents\Exp800-automation\Exp800.10 Optimal Concentration of IAC in Leg pneumo Assay\qPCR\Lyophilization_Q96_vs_Q16_vs_miniS"</t>
  </si>
  <si>
    <t>late that day, 20210526</t>
  </si>
  <si>
    <t xml:space="preserve">miniS time is incorrect. Will update. </t>
  </si>
  <si>
    <t>Testing out Leg pneumo std curve with clean tips between mixes in preparation for new std curve</t>
  </si>
  <si>
    <t>Does dna carry over because I'm using the same tip?</t>
  </si>
  <si>
    <t>IAC Ultramer ("std_8")</t>
  </si>
  <si>
    <t>reset with new denaturation and 40 cycles.</t>
  </si>
  <si>
    <t>power went out with this plate after about 10-15 minutes.</t>
  </si>
  <si>
    <t>Legionella sp.</t>
  </si>
  <si>
    <t>CT_MEAN</t>
  </si>
  <si>
    <t>CT_STDEV</t>
  </si>
  <si>
    <t>Log(CopyNumber)</t>
  </si>
  <si>
    <t>Need LOD. Made new Leg pneumo std tubes with new program that uses new tips for dilutions</t>
  </si>
  <si>
    <t>Have 6, 8-strip tubes remaining. Using 4 for testing stds7..std13 with NTC.</t>
  </si>
  <si>
    <t xml:space="preserve">Remaining 2 strip tubes will be used for sample testing. </t>
  </si>
  <si>
    <t>BAC tablet</t>
  </si>
  <si>
    <t>Wei (Leg)</t>
  </si>
  <si>
    <t>gDNA</t>
  </si>
  <si>
    <t>IAC_std_8</t>
  </si>
  <si>
    <t>Sample</t>
  </si>
  <si>
    <t>Ct_SD</t>
  </si>
  <si>
    <t>ng</t>
  </si>
  <si>
    <t>Copy Number (from ng)</t>
  </si>
  <si>
    <t>Copy Number (from conc)</t>
  </si>
  <si>
    <t>Copy Number/rxn (2ul)</t>
  </si>
  <si>
    <t>Tube_0</t>
  </si>
  <si>
    <t>Tube_1</t>
  </si>
  <si>
    <t>Tube_2</t>
  </si>
  <si>
    <t>Tube_3</t>
  </si>
  <si>
    <t>Tube_4</t>
  </si>
  <si>
    <t>Tube_5</t>
  </si>
  <si>
    <t>Tube_6</t>
  </si>
  <si>
    <t>Tube_7</t>
  </si>
  <si>
    <t>Tube_8</t>
  </si>
  <si>
    <t>Tube_9</t>
  </si>
  <si>
    <t>Tube_10</t>
  </si>
  <si>
    <t>Tube_11</t>
  </si>
  <si>
    <t>Tube_12</t>
  </si>
  <si>
    <t>Tube_13</t>
  </si>
  <si>
    <t>Tube_14</t>
  </si>
  <si>
    <t>Tube_15</t>
  </si>
  <si>
    <t>Failed</t>
  </si>
  <si>
    <t>Fraction Positive</t>
  </si>
  <si>
    <t>log(copy#)</t>
  </si>
  <si>
    <t>y = 100 + (0 - 100)/(1 + (x/0.5807707)^3)^m</t>
  </si>
  <si>
    <t>https://bmcbioinformatics.biomedcentral.com/articles/10.1186/1471-2105-9-221</t>
  </si>
  <si>
    <t>y = 100 + (0 - 100)/(1 + (x/0.8)^3)^m</t>
  </si>
  <si>
    <t>log(conc)</t>
  </si>
  <si>
    <t>y = 100 + (-2.073971e-7 - 100)/(1 + (x/-9.858086)^-193.1934)^13.02813</t>
  </si>
  <si>
    <t>Model</t>
  </si>
  <si>
    <t>model didn't do well with using log(copy#) prob because it was close to 0 and log(0) = undefined.</t>
  </si>
  <si>
    <t xml:space="preserve">so I used the log (conc(um)), and that yielded a more accurate model. </t>
  </si>
  <si>
    <t>LOD Conc(uM)</t>
  </si>
  <si>
    <t>interpolating copy number/2ul</t>
  </si>
  <si>
    <t>percent</t>
  </si>
  <si>
    <t>copies/ul</t>
  </si>
  <si>
    <t>DNA copies/ul</t>
  </si>
  <si>
    <t>Ct Mean</t>
  </si>
  <si>
    <t>Ct SD</t>
  </si>
  <si>
    <t>Concentration</t>
  </si>
  <si>
    <t>Aver. Con.</t>
  </si>
  <si>
    <t>Con. SD</t>
  </si>
  <si>
    <t>Sample ID</t>
  </si>
  <si>
    <t>slope</t>
  </si>
  <si>
    <t>y-int</t>
  </si>
  <si>
    <t>Log(Conc)</t>
  </si>
  <si>
    <t>copies/2ul</t>
  </si>
  <si>
    <t>y = 100 + (-1.331975e-7 - 100)/(1 + (x/-9.88257)^-203.7598)^16.07043</t>
  </si>
  <si>
    <t>BAC_20ul</t>
  </si>
  <si>
    <t>BAC_10ul</t>
  </si>
  <si>
    <t>BAC_5ul</t>
  </si>
  <si>
    <t>BAC_1ul</t>
  </si>
  <si>
    <t>Wei_extracted sample</t>
  </si>
  <si>
    <t>from this assay</t>
  </si>
  <si>
    <t>samples from Q16 (in this folder copy pasted)</t>
  </si>
  <si>
    <t>presented Lyophilzed Leg pneumo results in lab meeting. In short, able to calc LOD and do sample detection.</t>
  </si>
  <si>
    <t xml:space="preserve">Greg and Wei both validate that difficult to detect Leg pneumo in tablet produced by ieLABs. </t>
  </si>
  <si>
    <t>Wei recommended I ask Neil to order more</t>
  </si>
  <si>
    <t>IAC_Ultramer (std_7)</t>
  </si>
  <si>
    <t xml:space="preserve">some depression in fluorescence observed in samples containing 3% dextran but Cq appear unaffected. </t>
  </si>
  <si>
    <t>Run 4</t>
  </si>
  <si>
    <t>these runs conducted 5/29/21, Saturday</t>
  </si>
  <si>
    <t>Std</t>
  </si>
  <si>
    <t xml:space="preserve">Testing the LOD of Leg spp vs Leg pneumophila (lyophilized) with Greg extracted Legionella pneumophila gDNA. </t>
  </si>
  <si>
    <t xml:space="preserve">Rceived a tube from Greg and told at 1e5 copies. </t>
  </si>
  <si>
    <t>Diluted in 5 tubes</t>
  </si>
  <si>
    <t>original</t>
  </si>
  <si>
    <t>Row 1</t>
  </si>
  <si>
    <t>Row 2</t>
  </si>
  <si>
    <t>Row 3</t>
  </si>
  <si>
    <t>Row 4</t>
  </si>
  <si>
    <t>Row 5</t>
  </si>
  <si>
    <t>Row 6</t>
  </si>
  <si>
    <t>Row 7</t>
  </si>
  <si>
    <t>Row 8</t>
  </si>
  <si>
    <t>This was either Leg spp ultramer or Leg pneumo ultramer depending on the tubes</t>
  </si>
  <si>
    <t xml:space="preserve">Lyophilized Leg spp came from batch 004. This batch has not yet been QC'ed but I was unable to wait. </t>
  </si>
  <si>
    <t>Removed 20ul from previous tube, diluted in 180ul water</t>
  </si>
  <si>
    <t>OT-2 pipetted into wells. Created 6 8-well strip tubes first of Leg spp. Followed by 6, 8-well strip tubes of Leg pneumophila.</t>
  </si>
  <si>
    <t>Max of Ct</t>
  </si>
  <si>
    <t>Type</t>
  </si>
  <si>
    <t>gDNA (1e5)</t>
  </si>
  <si>
    <t>gDNA (1e3)</t>
  </si>
  <si>
    <t>gDNA (1e4)</t>
  </si>
  <si>
    <t>gDNA (1e2)</t>
  </si>
  <si>
    <t>gDNA (1e1)</t>
  </si>
  <si>
    <t>gDNA (1e0)</t>
  </si>
  <si>
    <t>pos</t>
  </si>
  <si>
    <t>SampleName</t>
  </si>
  <si>
    <t>Better plot a few tabs down</t>
  </si>
  <si>
    <t>uses #8--&gt;NTC</t>
  </si>
  <si>
    <t>and shows conc in legend.</t>
  </si>
  <si>
    <t>Run 5</t>
  </si>
  <si>
    <t>Ran std7..std14 on Leg spp batch 004 and Leg pneumo. Observe similar LODs</t>
  </si>
  <si>
    <t>LOQ doesn't look nice in tab "New.Leg.pne_std_curve"</t>
  </si>
  <si>
    <t xml:space="preserve">Think it was due to Raquel not spinnign down reaction mix in sample wells. </t>
  </si>
  <si>
    <t>Repeating.</t>
  </si>
  <si>
    <t>﻿Perform on Q96. Think I ﻿use 4 tubes with stds 1.7.</t>
  </si>
  <si>
    <t>﻿Then 4 tubes with stds 2..8</t>
  </si>
  <si>
    <t>﻿Then 4 tubes with stds 3..9</t>
  </si>
  <si>
    <t>﻿Hope that gets something in the linear range.</t>
  </si>
  <si>
    <t>will use the OT-2 to do in batches of 4, but I will make the samples</t>
  </si>
  <si>
    <t>DNA std</t>
  </si>
  <si>
    <t>copies/rxn</t>
  </si>
  <si>
    <t>log(copies/rxn)</t>
  </si>
  <si>
    <t>Set</t>
  </si>
  <si>
    <t>Replicate</t>
  </si>
  <si>
    <t>empty</t>
  </si>
  <si>
    <t>stds1_7</t>
  </si>
  <si>
    <t>rep 1</t>
  </si>
  <si>
    <t>rep 2</t>
  </si>
  <si>
    <t>rep 3</t>
  </si>
  <si>
    <t>stds2_8</t>
  </si>
  <si>
    <t>rep 4</t>
  </si>
  <si>
    <t>stds3_9</t>
  </si>
  <si>
    <t>Stds</t>
  </si>
  <si>
    <t>copy#/rxn</t>
  </si>
  <si>
    <t>avg</t>
  </si>
  <si>
    <t>stdev</t>
  </si>
  <si>
    <t>2*sd</t>
  </si>
  <si>
    <t>CV</t>
  </si>
  <si>
    <t>undiluted</t>
  </si>
  <si>
    <t>Leg pneumo pos control quantified with spec on 20210408</t>
  </si>
  <si>
    <t>Ext Co</t>
  </si>
  <si>
    <t>conc(uM)</t>
  </si>
  <si>
    <t>Leg pneumo seq</t>
  </si>
  <si>
    <t>dil factor</t>
  </si>
  <si>
    <t>20210623 HK re-evaluating</t>
  </si>
  <si>
    <t>Above is corrected version. 20210623 hjk</t>
  </si>
  <si>
    <t>y = 100 + (-2.043069e-7 - 100)/(1 + (x/-9.857024)^-193.3437)^13.32201</t>
  </si>
  <si>
    <t>interpolating</t>
  </si>
  <si>
    <t>copy number (tube)</t>
  </si>
  <si>
    <t>interpolation</t>
  </si>
  <si>
    <t xml:space="preserve">Testing LOD on 12 replicates dispensed by new program. </t>
  </si>
  <si>
    <t xml:space="preserve">Lyo samples provided by Raquel work well. </t>
  </si>
  <si>
    <t>Average of Ct</t>
  </si>
  <si>
    <t>Rep</t>
  </si>
  <si>
    <t>1e2</t>
  </si>
  <si>
    <t>Copy Number/Tube</t>
  </si>
  <si>
    <t>Copy Number/rxn (20ul)</t>
  </si>
  <si>
    <t>Positive</t>
  </si>
  <si>
    <t>Log(uM)</t>
  </si>
  <si>
    <t>Fraction positive</t>
  </si>
  <si>
    <t>rep 5</t>
  </si>
  <si>
    <t>rep 6</t>
  </si>
  <si>
    <t>rep 7</t>
  </si>
  <si>
    <t>rep 8</t>
  </si>
  <si>
    <t>rep 9</t>
  </si>
  <si>
    <t>rep 10</t>
  </si>
  <si>
    <t>Interpolated</t>
  </si>
  <si>
    <t>copies/tube</t>
  </si>
  <si>
    <t>LOD</t>
  </si>
  <si>
    <t>rep 11</t>
  </si>
  <si>
    <t>rep 12</t>
  </si>
  <si>
    <t>Hi</t>
  </si>
  <si>
    <t>1e1</t>
  </si>
  <si>
    <t>Lo</t>
  </si>
  <si>
    <t>testing LOD with 12x8 strip tubes and Leg pneumo after concentration on spec.</t>
  </si>
  <si>
    <t>1e0</t>
  </si>
  <si>
    <t>1e-1</t>
  </si>
  <si>
    <t>rep 13</t>
  </si>
  <si>
    <t>rep 14</t>
  </si>
  <si>
    <t>rep 15</t>
  </si>
  <si>
    <t>rep 16</t>
  </si>
  <si>
    <t>rep 17</t>
  </si>
  <si>
    <t>rep 18</t>
  </si>
  <si>
    <t>rep 19</t>
  </si>
  <si>
    <t>rep 20</t>
  </si>
  <si>
    <t>rep 21</t>
  </si>
  <si>
    <t>rep 22</t>
  </si>
  <si>
    <t>rep 23</t>
  </si>
  <si>
    <t>rep 24</t>
  </si>
  <si>
    <t>Thermal Cycler</t>
  </si>
  <si>
    <t>#11</t>
  </si>
  <si>
    <t>#12</t>
  </si>
  <si>
    <t>FROM pivot table</t>
  </si>
  <si>
    <t>#13</t>
  </si>
  <si>
    <t>#14</t>
  </si>
  <si>
    <t>#11_2</t>
  </si>
  <si>
    <t>#12_2</t>
  </si>
  <si>
    <t>#13_2</t>
  </si>
  <si>
    <t>Q16 Total</t>
  </si>
  <si>
    <t xml:space="preserve">#14 sample is likely contamination as earlier, more concentrated samples were negative. </t>
  </si>
  <si>
    <t>Q96 Total</t>
  </si>
  <si>
    <t>Total Samples</t>
  </si>
  <si>
    <t>Total Positive</t>
  </si>
  <si>
    <t>Log (uM)</t>
  </si>
  <si>
    <t>Fraction Pos</t>
  </si>
  <si>
    <t xml:space="preserve"> a</t>
  </si>
  <si>
    <t xml:space="preserve"> b</t>
  </si>
  <si>
    <t>replicate</t>
  </si>
  <si>
    <t>Copy#/RXN</t>
  </si>
  <si>
    <t>lyophilized</t>
  </si>
  <si>
    <t>10^3</t>
  </si>
  <si>
    <t>10^2</t>
  </si>
  <si>
    <t>pg/rxn</t>
  </si>
  <si>
    <t>10^1</t>
  </si>
  <si>
    <t>Estimating LOD Lyophilized (Q96)</t>
  </si>
  <si>
    <t>10^0</t>
  </si>
  <si>
    <t>10^-1</t>
  </si>
  <si>
    <t>SUCCESS</t>
  </si>
  <si>
    <t>FRACTION POS</t>
  </si>
  <si>
    <t>10^-2</t>
  </si>
  <si>
    <t>10^-3</t>
  </si>
  <si>
    <t>beads</t>
  </si>
  <si>
    <t>EQN</t>
  </si>
  <si>
    <t>1st method</t>
  </si>
  <si>
    <t>this one prob more accurate</t>
  </si>
  <si>
    <t>y = 101.2638 + (-3.43411 - 101.2638)/(1 + (x/-3.869408)^-15.23477)^25697910</t>
  </si>
  <si>
    <t>compared above to see if losing datapoint was sig.</t>
  </si>
  <si>
    <t>y = 100 + (-3.463824e-7 - 100)/(1 + (x/-11.87615)^-226.0071)^14.19253</t>
  </si>
  <si>
    <t>Estimating LOD Beads</t>
  </si>
  <si>
    <t>y = 102.0532 + (-2.267969 - 102.0532)/(1 + (x/-3.26389)^-14.25711)^26634450</t>
  </si>
  <si>
    <t>2nd Estimating LOD Lyophilized (Q96)</t>
  </si>
  <si>
    <t>estimating using GraphPad.</t>
  </si>
  <si>
    <t>5PL, logarithmic</t>
  </si>
  <si>
    <t>3rd Estimating LOD Lyophilized (Q96)</t>
  </si>
  <si>
    <t>4PL, logarithmic</t>
  </si>
  <si>
    <t>+error</t>
  </si>
  <si>
    <t>-error</t>
  </si>
  <si>
    <t xml:space="preserve">the error associated with 95% could actually mean that it's more like </t>
  </si>
  <si>
    <t>95+17.328</t>
  </si>
  <si>
    <t>95-17.328</t>
  </si>
  <si>
    <t>What is the Log(uM) associated with these points?</t>
  </si>
  <si>
    <t xml:space="preserve">conc at 112 doesn't exist, asymptote at 103. </t>
  </si>
  <si>
    <t>dangerous to take the highest value because this is asymptote. Should I just use 100?</t>
  </si>
  <si>
    <t>1st LOD</t>
  </si>
  <si>
    <t>2nd LOD</t>
  </si>
  <si>
    <t>3rd LOD</t>
  </si>
  <si>
    <t>LOD_High</t>
  </si>
  <si>
    <t>LOD_low</t>
  </si>
  <si>
    <t>#Samples</t>
  </si>
  <si>
    <t xml:space="preserve">Reproducibility of Legionella LOD Calculations in 3 Separate </t>
  </si>
  <si>
    <t xml:space="preserve">Used Tube 11, 12, 13, 14. </t>
  </si>
  <si>
    <t>Duplicated 11, 12, 13.</t>
  </si>
  <si>
    <t xml:space="preserve">Calculations in 3rd LOD. </t>
  </si>
  <si>
    <t xml:space="preserve">Also included 1st LOD and 2nd LOD in sheet called "LOD_sort". </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</si>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</sst>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
    <numFmt numFmtId="165" formatCode="0.0000"/>
    <numFmt numFmtId="166" formatCode="0.0"/>
    <numFmt numFmtId="167" formatCode="0.E+00"/>
    <numFmt numFmtId="168" formatCode="0.0%"/>
    <numFmt numFmtId="169" formatCode="0.0E+00"/>
    <numFmt numFmtId="170" formatCode="0E+00"/>
  </numFmts>
  <fonts count="33" x14ac:knownFonts="1">
    <font>
      <sz val="11"/>
      <color theme="1"/>
      <name val="Calibri"/>
      <family val="2"/>
      <scheme val="minor"/>
    </font>
    <font>
      <sz val="11"/>
      <color rgb="FFFF0000"/>
      <name val="Calibri"/>
      <family val="2"/>
      <scheme val="minor"/>
    </font>
    <font>
      <b/>
      <sz val="11"/>
      <color theme="1"/>
      <name val="Calibri"/>
      <family val="2"/>
      <scheme val="minor"/>
    </font>
    <font>
      <b/>
      <sz val="10"/>
      <color theme="1"/>
      <name val="Calibri"/>
      <family val="2"/>
      <scheme val="minor"/>
    </font>
    <font>
      <sz val="12"/>
      <color theme="1"/>
      <name val="Calibri"/>
      <family val="2"/>
      <scheme val="minor"/>
    </font>
    <font>
      <strike/>
      <sz val="11"/>
      <color theme="1"/>
      <name val="Calibri"/>
      <family val="2"/>
      <scheme val="minor"/>
    </font>
    <font>
      <u/>
      <sz val="11"/>
      <color theme="10"/>
      <name val="Calibri"/>
      <family val="2"/>
      <scheme val="minor"/>
    </font>
    <font>
      <b/>
      <sz val="11"/>
      <color rgb="FF000000"/>
      <name val="Calibri"/>
      <family val="2"/>
      <scheme val="minor"/>
    </font>
    <font>
      <sz val="11"/>
      <color rgb="FF000000"/>
      <name val="Calibri"/>
      <family val="2"/>
      <scheme val="minor"/>
    </font>
    <font>
      <sz val="12"/>
      <color rgb="FF000000"/>
      <name val="Calibri"/>
      <family val="2"/>
      <scheme val="minor"/>
    </font>
    <font>
      <sz val="8"/>
      <color theme="1"/>
      <name val="Calibri"/>
      <family val="2"/>
      <scheme val="minor"/>
    </font>
    <font>
      <strike/>
      <sz val="11"/>
      <color rgb="FFFF0000"/>
      <name val="Calibri"/>
      <family val="2"/>
      <scheme val="minor"/>
    </font>
    <font>
      <sz val="8"/>
      <name val="Calibri"/>
      <family val="2"/>
      <scheme val="minor"/>
    </font>
    <font>
      <b/>
      <sz val="18"/>
      <color theme="1"/>
      <name val="Calibri"/>
      <family val="2"/>
      <scheme val="minor"/>
    </font>
    <font>
      <vertAlign val="subscript"/>
      <sz val="11"/>
      <color theme="1"/>
      <name val="Calibri"/>
      <family val="2"/>
      <scheme val="minor"/>
    </font>
    <font>
      <sz val="11"/>
      <name val="Calibri"/>
      <family val="2"/>
      <scheme val="minor"/>
    </font>
    <font>
      <sz val="11"/>
      <color theme="1"/>
      <name val="Calibri"/>
      <family val="2"/>
      <scheme val="minor"/>
    </font>
    <font>
      <sz val="10"/>
      <name val="Arial"/>
      <family val="2"/>
    </font>
    <font>
      <b/>
      <sz val="11"/>
      <color rgb="FFFF0000"/>
      <name val="Calibri"/>
      <family val="2"/>
      <scheme val="minor"/>
    </font>
    <font>
      <sz val="11"/>
      <color theme="1"/>
      <name val="Segoe UI"/>
      <family val="2"/>
    </font>
    <font>
      <b/>
      <sz val="11"/>
      <color rgb="FFDA846B"/>
      <name val="Segoe UI"/>
      <family val="2"/>
    </font>
    <font>
      <sz val="11"/>
      <color rgb="FFDA846B"/>
      <name val="Segoe UI"/>
      <family val="2"/>
    </font>
    <font>
      <b/>
      <sz val="16"/>
      <color theme="1"/>
      <name val="Calibri"/>
      <family val="2"/>
      <scheme val="minor"/>
    </font>
    <font>
      <i/>
      <sz val="11"/>
      <color theme="1"/>
      <name val="Calibri"/>
      <family val="2"/>
      <scheme val="minor"/>
    </font>
    <font>
      <sz val="12"/>
      <name val="Arial"/>
      <family val="2"/>
    </font>
    <font>
      <u/>
      <sz val="11"/>
      <name val="Calibri"/>
      <family val="2"/>
      <scheme val="minor"/>
    </font>
    <font>
      <sz val="11"/>
      <name val="Roboto"/>
    </font>
    <font>
      <sz val="11"/>
      <color rgb="FF00B0F0"/>
      <name val="Calibri"/>
      <family val="2"/>
      <scheme val="minor"/>
    </font>
    <font>
      <sz val="10"/>
      <name val="Courier New"/>
      <family val="3"/>
    </font>
    <font>
      <sz val="10"/>
      <name val="Arial"/>
      <family val="2"/>
    </font>
    <font>
      <b/>
      <sz val="11"/>
      <color theme="0"/>
      <name val="Calibri"/>
      <family val="2"/>
      <scheme val="minor"/>
    </font>
    <font>
      <sz val="10"/>
      <name val="Arial"/>
      <family val="2"/>
    </font>
    <font>
      <b/>
      <sz val="10"/>
      <name val="Arial"/>
      <family val="2"/>
    </font>
  </fonts>
  <fills count="9">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7" tint="0.79998168889431442"/>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top style="medium">
        <color auto="1"/>
      </top>
      <bottom style="dashed">
        <color theme="0" tint="-0.499984740745262"/>
      </bottom>
      <diagonal/>
    </border>
    <border>
      <left/>
      <right/>
      <top style="medium">
        <color auto="1"/>
      </top>
      <bottom style="dashed">
        <color theme="0" tint="-0.499984740745262"/>
      </bottom>
      <diagonal/>
    </border>
    <border>
      <left style="medium">
        <color auto="1"/>
      </left>
      <right/>
      <top style="dashed">
        <color theme="0" tint="-0.499984740745262"/>
      </top>
      <bottom style="dashed">
        <color theme="0" tint="-0.499984740745262"/>
      </bottom>
      <diagonal/>
    </border>
    <border>
      <left/>
      <right/>
      <top style="dashed">
        <color theme="0" tint="-0.499984740745262"/>
      </top>
      <bottom style="dashed">
        <color theme="0" tint="-0.499984740745262"/>
      </bottom>
      <diagonal/>
    </border>
    <border>
      <left style="medium">
        <color auto="1"/>
      </left>
      <right/>
      <top style="dashed">
        <color theme="0" tint="-0.499984740745262"/>
      </top>
      <bottom style="medium">
        <color auto="1"/>
      </bottom>
      <diagonal/>
    </border>
    <border>
      <left/>
      <right/>
      <top style="dashed">
        <color theme="0" tint="-0.499984740745262"/>
      </top>
      <bottom style="medium">
        <color auto="1"/>
      </bottom>
      <diagonal/>
    </border>
    <border>
      <left style="medium">
        <color auto="1"/>
      </left>
      <right/>
      <top/>
      <bottom/>
      <diagonal/>
    </border>
    <border>
      <left/>
      <right style="medium">
        <color auto="1"/>
      </right>
      <top style="medium">
        <color auto="1"/>
      </top>
      <bottom style="dashed">
        <color theme="0" tint="-0.499984740745262"/>
      </bottom>
      <diagonal/>
    </border>
    <border>
      <left/>
      <right style="medium">
        <color auto="1"/>
      </right>
      <top style="dashed">
        <color theme="0" tint="-0.499984740745262"/>
      </top>
      <bottom style="dashed">
        <color theme="0" tint="-0.499984740745262"/>
      </bottom>
      <diagonal/>
    </border>
    <border>
      <left/>
      <right style="medium">
        <color auto="1"/>
      </right>
      <top style="dashed">
        <color theme="0" tint="-0.499984740745262"/>
      </top>
      <bottom style="medium">
        <color auto="1"/>
      </bottom>
      <diagonal/>
    </border>
    <border>
      <left/>
      <right/>
      <top style="dotted">
        <color auto="1"/>
      </top>
      <bottom style="dotted">
        <color auto="1"/>
      </bottom>
      <diagonal/>
    </border>
    <border>
      <left/>
      <right/>
      <top/>
      <bottom style="thick">
        <color auto="1"/>
      </bottom>
      <diagonal/>
    </border>
    <border>
      <left style="medium">
        <color auto="1"/>
      </left>
      <right/>
      <top style="medium">
        <color auto="1"/>
      </top>
      <bottom/>
      <diagonal/>
    </border>
    <border>
      <left/>
      <right style="medium">
        <color auto="1"/>
      </right>
      <top/>
      <bottom/>
      <diagonal/>
    </border>
    <border>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right style="medium">
        <color auto="1"/>
      </right>
      <top style="hair">
        <color indexed="64"/>
      </top>
      <bottom style="hair">
        <color indexed="64"/>
      </bottom>
      <diagonal/>
    </border>
    <border>
      <left style="medium">
        <color auto="1"/>
      </left>
      <right/>
      <top/>
      <bottom style="dashed">
        <color theme="0" tint="-0.499984740745262"/>
      </bottom>
      <diagonal/>
    </border>
    <border>
      <left/>
      <right/>
      <top/>
      <bottom style="dashed">
        <color theme="0" tint="-0.499984740745262"/>
      </bottom>
      <diagonal/>
    </border>
    <border>
      <left/>
      <right/>
      <top style="dashed">
        <color theme="0" tint="-0.499984740745262"/>
      </top>
      <bottom/>
      <diagonal/>
    </border>
    <border>
      <left style="thin">
        <color rgb="FF999999"/>
      </left>
      <right style="thin">
        <color rgb="FF999999"/>
      </right>
      <top style="thin">
        <color rgb="FF999999"/>
      </top>
      <bottom style="thin">
        <color rgb="FF999999"/>
      </bottom>
      <diagonal/>
    </border>
    <border>
      <left/>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bottom/>
      <diagonal/>
    </border>
    <border>
      <left style="thin">
        <color rgb="FF999999"/>
      </left>
      <right/>
      <top/>
      <bottom/>
      <diagonal/>
    </border>
    <border>
      <left style="thin">
        <color rgb="FF999999"/>
      </left>
      <right style="thin">
        <color rgb="FF999999"/>
      </right>
      <top style="thin">
        <color rgb="FF999999"/>
      </top>
      <bottom/>
      <diagonal/>
    </border>
    <border>
      <left/>
      <right/>
      <top style="thin">
        <color rgb="FF999999"/>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rgb="FF999999"/>
      </top>
      <bottom/>
      <diagonal/>
    </border>
    <border>
      <left/>
      <right/>
      <top style="hair">
        <color indexed="64"/>
      </top>
      <bottom/>
      <diagonal/>
    </border>
    <border>
      <left/>
      <right style="medium">
        <color auto="1"/>
      </right>
      <top style="hair">
        <color indexed="64"/>
      </top>
      <bottom/>
      <diagonal/>
    </border>
    <border>
      <left/>
      <right/>
      <top/>
      <bottom style="hair">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8">
    <xf numFmtId="0" fontId="0" fillId="0" borderId="0"/>
    <xf numFmtId="0" fontId="6" fillId="0" borderId="0" applyNumberFormat="0" applyFill="0" applyBorder="0" applyAlignment="0" applyProtection="0"/>
    <xf numFmtId="9" fontId="16" fillId="0" borderId="0" applyFont="0" applyFill="0" applyBorder="0" applyAlignment="0" applyProtection="0"/>
    <xf numFmtId="0" fontId="17" fillId="0" borderId="0"/>
    <xf numFmtId="9" fontId="17" fillId="0" borderId="0" applyFont="0" applyFill="0" applyBorder="0" applyAlignment="0" applyProtection="0"/>
    <xf numFmtId="0" fontId="29" fillId="0" borderId="0"/>
    <xf numFmtId="9" fontId="29" fillId="0" borderId="0" applyFont="0" applyFill="0" applyBorder="0" applyAlignment="0" applyProtection="0"/>
    <xf numFmtId="0" fontId="31" fillId="0" borderId="0"/>
  </cellStyleXfs>
  <cellXfs count="326">
    <xf numFmtId="0" fontId="0" fillId="0" borderId="0" xfId="0"/>
    <xf numFmtId="0" fontId="3" fillId="0" borderId="1" xfId="0" applyFont="1" applyBorder="1"/>
    <xf numFmtId="14" fontId="0" fillId="0" borderId="0" xfId="0" applyNumberFormat="1"/>
    <xf numFmtId="0" fontId="2" fillId="0" borderId="5" xfId="0" applyFont="1" applyBorder="1"/>
    <xf numFmtId="0" fontId="4" fillId="0" borderId="1" xfId="0" applyFont="1" applyBorder="1"/>
    <xf numFmtId="0" fontId="0" fillId="0" borderId="1" xfId="0" applyBorder="1" applyAlignment="1">
      <alignment wrapText="1"/>
    </xf>
    <xf numFmtId="0" fontId="2" fillId="0" borderId="1" xfId="0" applyFont="1" applyBorder="1"/>
    <xf numFmtId="2" fontId="2" fillId="0" borderId="1" xfId="0" applyNumberFormat="1" applyFont="1" applyBorder="1"/>
    <xf numFmtId="0" fontId="0" fillId="4" borderId="1" xfId="0" applyFill="1" applyBorder="1"/>
    <xf numFmtId="2" fontId="0" fillId="0" borderId="1" xfId="0" applyNumberFormat="1" applyBorder="1"/>
    <xf numFmtId="49" fontId="5" fillId="0" borderId="1" xfId="0" applyNumberFormat="1" applyFont="1" applyBorder="1" applyAlignment="1">
      <alignment wrapText="1"/>
    </xf>
    <xf numFmtId="49" fontId="5" fillId="0" borderId="1" xfId="0" applyNumberFormat="1" applyFont="1" applyBorder="1"/>
    <xf numFmtId="0" fontId="0" fillId="0" borderId="5" xfId="0" applyBorder="1"/>
    <xf numFmtId="0" fontId="0" fillId="3" borderId="1" xfId="0" applyFill="1" applyBorder="1"/>
    <xf numFmtId="0" fontId="6" fillId="0" borderId="0" xfId="1"/>
    <xf numFmtId="0" fontId="7" fillId="0" borderId="0" xfId="0" applyFont="1"/>
    <xf numFmtId="0" fontId="8" fillId="0" borderId="0" xfId="0" applyFont="1"/>
    <xf numFmtId="0" fontId="9" fillId="0" borderId="0" xfId="0" applyFont="1"/>
    <xf numFmtId="0" fontId="2" fillId="0" borderId="0" xfId="0" applyFont="1" applyFill="1" applyBorder="1"/>
    <xf numFmtId="0" fontId="1" fillId="4" borderId="1" xfId="0" applyFont="1" applyFill="1" applyBorder="1"/>
    <xf numFmtId="0" fontId="1" fillId="0" borderId="1" xfId="0" applyFont="1" applyBorder="1"/>
    <xf numFmtId="49" fontId="11" fillId="0" borderId="1" xfId="0" applyNumberFormat="1" applyFont="1" applyBorder="1" applyAlignment="1">
      <alignment wrapText="1"/>
    </xf>
    <xf numFmtId="49" fontId="11" fillId="0" borderId="1" xfId="0" applyNumberFormat="1" applyFont="1" applyBorder="1"/>
    <xf numFmtId="0" fontId="0" fillId="0" borderId="0" xfId="0" applyAlignment="1">
      <alignment horizontal="center" vertical="top" wrapText="1"/>
    </xf>
    <xf numFmtId="49" fontId="11" fillId="0" borderId="1" xfId="0" applyNumberFormat="1" applyFont="1" applyBorder="1" applyAlignment="1">
      <alignment horizontal="right"/>
    </xf>
    <xf numFmtId="0" fontId="1" fillId="4" borderId="1" xfId="0" applyFont="1" applyFill="1" applyBorder="1" applyAlignment="1">
      <alignment horizontal="right"/>
    </xf>
    <xf numFmtId="0" fontId="0" fillId="0" borderId="0" xfId="0"/>
    <xf numFmtId="0" fontId="10" fillId="0" borderId="15" xfId="0" applyFont="1" applyFill="1" applyBorder="1"/>
    <xf numFmtId="2" fontId="1" fillId="0" borderId="0" xfId="0" applyNumberFormat="1" applyFont="1"/>
    <xf numFmtId="2" fontId="2" fillId="0" borderId="12" xfId="0" applyNumberFormat="1" applyFont="1" applyBorder="1"/>
    <xf numFmtId="2" fontId="18" fillId="0" borderId="12" xfId="0" applyNumberFormat="1" applyFont="1" applyBorder="1"/>
    <xf numFmtId="0" fontId="0" fillId="2" borderId="0" xfId="0" applyFill="1"/>
    <xf numFmtId="11" fontId="0" fillId="2" borderId="0" xfId="0" applyNumberFormat="1" applyFill="1"/>
    <xf numFmtId="166" fontId="0" fillId="2" borderId="0" xfId="0" applyNumberFormat="1" applyFill="1"/>
    <xf numFmtId="0" fontId="0" fillId="2" borderId="7" xfId="0" applyFill="1" applyBorder="1"/>
    <xf numFmtId="0" fontId="2" fillId="2" borderId="7" xfId="0" applyFont="1" applyFill="1" applyBorder="1" applyAlignment="1">
      <alignment horizontal="left" vertical="center" wrapText="1"/>
    </xf>
    <xf numFmtId="0" fontId="0" fillId="2" borderId="19" xfId="0" applyFill="1" applyBorder="1"/>
    <xf numFmtId="166" fontId="0" fillId="2" borderId="19" xfId="0" applyNumberFormat="1" applyFill="1" applyBorder="1"/>
    <xf numFmtId="11" fontId="0" fillId="2" borderId="19" xfId="0" applyNumberFormat="1" applyFill="1" applyBorder="1"/>
    <xf numFmtId="0" fontId="19" fillId="0" borderId="0" xfId="0" applyFont="1" applyAlignment="1">
      <alignment vertical="center"/>
    </xf>
    <xf numFmtId="0" fontId="20" fillId="0" borderId="0" xfId="0" applyFont="1" applyAlignment="1">
      <alignment vertical="center"/>
    </xf>
    <xf numFmtId="0" fontId="21" fillId="0" borderId="0" xfId="0" applyFont="1" applyAlignment="1">
      <alignment vertical="center"/>
    </xf>
    <xf numFmtId="0" fontId="0" fillId="0" borderId="22" xfId="0" applyBorder="1"/>
    <xf numFmtId="0" fontId="0" fillId="0" borderId="8" xfId="0" applyBorder="1"/>
    <xf numFmtId="0" fontId="2" fillId="0" borderId="0" xfId="0" applyFont="1"/>
    <xf numFmtId="0" fontId="0" fillId="0" borderId="0" xfId="0" applyFill="1" applyBorder="1" applyAlignment="1"/>
    <xf numFmtId="0" fontId="0" fillId="0" borderId="7" xfId="0" applyFill="1" applyBorder="1" applyAlignment="1"/>
    <xf numFmtId="0" fontId="23" fillId="0" borderId="23" xfId="0" applyFont="1" applyFill="1" applyBorder="1" applyAlignment="1">
      <alignment horizontal="center"/>
    </xf>
    <xf numFmtId="0" fontId="24" fillId="0" borderId="0" xfId="0" applyFont="1" applyAlignment="1">
      <alignment vertical="center"/>
    </xf>
    <xf numFmtId="0" fontId="15" fillId="0" borderId="0" xfId="0" applyFont="1" applyAlignment="1"/>
    <xf numFmtId="0" fontId="25" fillId="0" borderId="0" xfId="1" applyFont="1" applyAlignment="1">
      <alignment vertical="center"/>
    </xf>
    <xf numFmtId="0" fontId="0" fillId="0" borderId="0" xfId="0"/>
    <xf numFmtId="2" fontId="0" fillId="3" borderId="1" xfId="0" applyNumberFormat="1" applyFill="1" applyBorder="1"/>
    <xf numFmtId="0" fontId="15" fillId="0" borderId="1" xfId="0" applyFont="1" applyBorder="1"/>
    <xf numFmtId="0" fontId="0" fillId="0" borderId="0" xfId="0"/>
    <xf numFmtId="0" fontId="15" fillId="0" borderId="0" xfId="1" applyFont="1" applyBorder="1"/>
    <xf numFmtId="0" fontId="26" fillId="0" borderId="0" xfId="0" applyFont="1" applyAlignment="1">
      <alignment horizontal="left" vertical="center"/>
    </xf>
    <xf numFmtId="0" fontId="26" fillId="0" borderId="0" xfId="0" applyFont="1" applyAlignment="1"/>
    <xf numFmtId="0" fontId="0" fillId="0" borderId="31" xfId="0" applyFont="1" applyBorder="1"/>
    <xf numFmtId="0" fontId="0" fillId="0" borderId="32" xfId="0" applyFont="1" applyBorder="1"/>
    <xf numFmtId="2" fontId="0" fillId="0" borderId="32" xfId="0" applyNumberFormat="1" applyFont="1" applyBorder="1"/>
    <xf numFmtId="0" fontId="0" fillId="0" borderId="0" xfId="0" applyFont="1" applyFill="1" applyBorder="1"/>
    <xf numFmtId="0" fontId="0" fillId="0" borderId="33" xfId="0" applyBorder="1"/>
    <xf numFmtId="2" fontId="0" fillId="0" borderId="33" xfId="0" applyNumberFormat="1" applyBorder="1"/>
    <xf numFmtId="0" fontId="27" fillId="0" borderId="11" xfId="0" applyFont="1" applyBorder="1"/>
    <xf numFmtId="0" fontId="27" fillId="0" borderId="12" xfId="0" applyFont="1" applyBorder="1"/>
    <xf numFmtId="0" fontId="27" fillId="0" borderId="33" xfId="0" applyFont="1" applyBorder="1"/>
    <xf numFmtId="2" fontId="27" fillId="0" borderId="12" xfId="0" applyNumberFormat="1" applyFont="1" applyBorder="1"/>
    <xf numFmtId="2" fontId="27" fillId="0" borderId="33" xfId="0" applyNumberFormat="1" applyFont="1" applyBorder="1"/>
    <xf numFmtId="15" fontId="0" fillId="0" borderId="0" xfId="0" applyNumberFormat="1"/>
    <xf numFmtId="0" fontId="0" fillId="0" borderId="0" xfId="0"/>
    <xf numFmtId="0" fontId="28" fillId="0" borderId="0" xfId="0" applyFont="1"/>
    <xf numFmtId="0" fontId="17" fillId="0" borderId="36" xfId="3" applyBorder="1"/>
    <xf numFmtId="0" fontId="17" fillId="0" borderId="37" xfId="3" applyBorder="1"/>
    <xf numFmtId="0" fontId="17" fillId="0" borderId="34" xfId="3" applyBorder="1"/>
    <xf numFmtId="0" fontId="17" fillId="0" borderId="35" xfId="3" applyBorder="1"/>
    <xf numFmtId="0" fontId="0" fillId="0" borderId="0" xfId="0"/>
    <xf numFmtId="0" fontId="0" fillId="0" borderId="1" xfId="0" applyBorder="1"/>
    <xf numFmtId="0" fontId="0" fillId="2" borderId="2" xfId="0" applyFill="1" applyBorder="1"/>
    <xf numFmtId="0" fontId="0" fillId="2" borderId="3" xfId="0" applyFill="1" applyBorder="1"/>
    <xf numFmtId="1" fontId="0" fillId="3" borderId="3" xfId="0" applyNumberFormat="1" applyFill="1" applyBorder="1"/>
    <xf numFmtId="0" fontId="0" fillId="2" borderId="4" xfId="0" applyFill="1" applyBorder="1"/>
    <xf numFmtId="1" fontId="0" fillId="3" borderId="7" xfId="0" applyNumberFormat="1" applyFill="1" applyBorder="1"/>
    <xf numFmtId="0" fontId="0" fillId="2" borderId="8" xfId="0" applyFill="1" applyBorder="1"/>
    <xf numFmtId="2" fontId="0" fillId="0" borderId="0" xfId="0" applyNumberFormat="1"/>
    <xf numFmtId="0" fontId="1" fillId="0" borderId="0" xfId="0" applyFont="1"/>
    <xf numFmtId="0" fontId="0" fillId="0" borderId="0" xfId="0" applyAlignment="1">
      <alignment wrapText="1"/>
    </xf>
    <xf numFmtId="2" fontId="0" fillId="0" borderId="0" xfId="0" applyNumberFormat="1" applyAlignment="1">
      <alignment wrapText="1"/>
    </xf>
    <xf numFmtId="0" fontId="0" fillId="0" borderId="0" xfId="0" applyAlignment="1">
      <alignment horizontal="left"/>
    </xf>
    <xf numFmtId="11" fontId="0" fillId="0" borderId="0" xfId="0" applyNumberFormat="1"/>
    <xf numFmtId="0" fontId="2" fillId="0" borderId="0" xfId="0" applyFont="1" applyAlignment="1">
      <alignment horizontal="left" vertical="center" wrapText="1"/>
    </xf>
    <xf numFmtId="0" fontId="2" fillId="0" borderId="9" xfId="0" applyFont="1" applyBorder="1"/>
    <xf numFmtId="0" fontId="2" fillId="0" borderId="10" xfId="0" applyFont="1" applyBorder="1"/>
    <xf numFmtId="0" fontId="0" fillId="0" borderId="10" xfId="0" applyBorder="1"/>
    <xf numFmtId="0" fontId="10" fillId="0" borderId="11" xfId="0" applyFont="1" applyBorder="1"/>
    <xf numFmtId="0" fontId="0" fillId="0" borderId="12" xfId="0" applyBorder="1"/>
    <xf numFmtId="2" fontId="0" fillId="0" borderId="12" xfId="0" applyNumberFormat="1" applyBorder="1"/>
    <xf numFmtId="0" fontId="1" fillId="0" borderId="13" xfId="0" applyFont="1" applyBorder="1"/>
    <xf numFmtId="0" fontId="1" fillId="0" borderId="14" xfId="0" applyFont="1" applyBorder="1"/>
    <xf numFmtId="2" fontId="1" fillId="0" borderId="14" xfId="0" applyNumberFormat="1" applyFont="1" applyBorder="1"/>
    <xf numFmtId="2" fontId="1" fillId="0" borderId="12" xfId="0" applyNumberFormat="1" applyFont="1" applyBorder="1"/>
    <xf numFmtId="164" fontId="0" fillId="0" borderId="0" xfId="0" applyNumberFormat="1"/>
    <xf numFmtId="0" fontId="15" fillId="0" borderId="0" xfId="0" applyFont="1" applyAlignment="1">
      <alignment vertical="center"/>
    </xf>
    <xf numFmtId="165" fontId="0" fillId="0" borderId="0" xfId="0" applyNumberFormat="1"/>
    <xf numFmtId="0" fontId="0" fillId="0" borderId="11" xfId="0" applyBorder="1"/>
    <xf numFmtId="0" fontId="0" fillId="0" borderId="15" xfId="0" applyBorder="1"/>
    <xf numFmtId="2" fontId="0" fillId="0" borderId="0" xfId="0" applyNumberFormat="1" applyAlignment="1">
      <alignment horizontal="center"/>
    </xf>
    <xf numFmtId="0" fontId="17" fillId="0" borderId="0" xfId="3"/>
    <xf numFmtId="2" fontId="17" fillId="0" borderId="0" xfId="3" applyNumberFormat="1"/>
    <xf numFmtId="2" fontId="0" fillId="0" borderId="0" xfId="0" applyNumberFormat="1" applyAlignment="1">
      <alignment horizontal="left"/>
    </xf>
    <xf numFmtId="0" fontId="0" fillId="0" borderId="0" xfId="0" applyFill="1" applyBorder="1"/>
    <xf numFmtId="0" fontId="0" fillId="0" borderId="0" xfId="0" applyFill="1"/>
    <xf numFmtId="0" fontId="15" fillId="0" borderId="11" xfId="1" applyFont="1" applyBorder="1"/>
    <xf numFmtId="0" fontId="0" fillId="0" borderId="16" xfId="0" applyBorder="1"/>
    <xf numFmtId="2" fontId="0" fillId="0" borderId="17" xfId="0" applyNumberFormat="1" applyBorder="1"/>
    <xf numFmtId="0" fontId="0" fillId="0" borderId="0" xfId="0" applyBorder="1"/>
    <xf numFmtId="2" fontId="0" fillId="0" borderId="0" xfId="0" applyNumberFormat="1" applyBorder="1"/>
    <xf numFmtId="2" fontId="0" fillId="0" borderId="18" xfId="0" applyNumberFormat="1" applyBorder="1"/>
    <xf numFmtId="0" fontId="17" fillId="0" borderId="0" xfId="3" applyFill="1"/>
    <xf numFmtId="0" fontId="0" fillId="3" borderId="0" xfId="0" applyFill="1"/>
    <xf numFmtId="9" fontId="0" fillId="3" borderId="0" xfId="2" applyFont="1" applyFill="1"/>
    <xf numFmtId="0" fontId="0" fillId="0" borderId="6" xfId="0" applyBorder="1"/>
    <xf numFmtId="0" fontId="0" fillId="0" borderId="7" xfId="0" applyBorder="1"/>
    <xf numFmtId="0" fontId="3" fillId="0" borderId="24" xfId="0" applyFont="1" applyBorder="1"/>
    <xf numFmtId="0" fontId="2" fillId="0" borderId="25" xfId="0" applyFont="1" applyBorder="1"/>
    <xf numFmtId="0" fontId="0" fillId="0" borderId="24" xfId="0" applyBorder="1"/>
    <xf numFmtId="0" fontId="0" fillId="0" borderId="24" xfId="0" applyBorder="1" applyAlignment="1">
      <alignment wrapText="1"/>
    </xf>
    <xf numFmtId="0" fontId="0" fillId="0" borderId="21" xfId="0" applyBorder="1"/>
    <xf numFmtId="0" fontId="0" fillId="0" borderId="3" xfId="0" applyBorder="1"/>
    <xf numFmtId="0" fontId="0" fillId="5" borderId="3" xfId="0" applyFill="1" applyBorder="1"/>
    <xf numFmtId="0" fontId="0" fillId="0" borderId="28" xfId="0" applyBorder="1"/>
    <xf numFmtId="0" fontId="0" fillId="0" borderId="29" xfId="0" applyBorder="1"/>
    <xf numFmtId="2" fontId="0" fillId="0" borderId="29" xfId="0" applyNumberFormat="1" applyBorder="1"/>
    <xf numFmtId="0" fontId="0" fillId="5" borderId="29" xfId="0" applyFill="1" applyBorder="1" applyAlignment="1">
      <alignment horizontal="center"/>
    </xf>
    <xf numFmtId="0" fontId="0" fillId="5" borderId="30" xfId="0" applyFill="1" applyBorder="1" applyAlignment="1">
      <alignment horizontal="center"/>
    </xf>
    <xf numFmtId="2" fontId="1" fillId="0" borderId="7" xfId="0" applyNumberFormat="1" applyFont="1" applyBorder="1"/>
    <xf numFmtId="0" fontId="0" fillId="5" borderId="7" xfId="0" applyFill="1" applyBorder="1" applyAlignment="1">
      <alignment horizontal="center"/>
    </xf>
    <xf numFmtId="0" fontId="0" fillId="5" borderId="8" xfId="0" applyFill="1" applyBorder="1" applyAlignment="1">
      <alignment horizontal="center"/>
    </xf>
    <xf numFmtId="2" fontId="1" fillId="0" borderId="29" xfId="0" applyNumberFormat="1" applyFont="1" applyBorder="1"/>
    <xf numFmtId="0" fontId="17" fillId="0" borderId="38" xfId="3" applyBorder="1"/>
    <xf numFmtId="0" fontId="17" fillId="0" borderId="39" xfId="3" applyBorder="1"/>
    <xf numFmtId="0" fontId="17" fillId="0" borderId="40" xfId="3" applyBorder="1"/>
    <xf numFmtId="0" fontId="17" fillId="0" borderId="41" xfId="3" applyBorder="1"/>
    <xf numFmtId="0" fontId="17" fillId="0" borderId="41" xfId="3" pivotButton="1" applyBorder="1"/>
    <xf numFmtId="0" fontId="17" fillId="0" borderId="42" xfId="3" applyBorder="1"/>
    <xf numFmtId="0" fontId="17" fillId="0" borderId="43" xfId="3" applyBorder="1"/>
    <xf numFmtId="0" fontId="0" fillId="0" borderId="41" xfId="0" pivotButton="1" applyBorder="1"/>
    <xf numFmtId="0" fontId="0" fillId="0" borderId="43" xfId="0" applyBorder="1"/>
    <xf numFmtId="0" fontId="0" fillId="0" borderId="42" xfId="0" applyBorder="1"/>
    <xf numFmtId="0" fontId="0" fillId="0" borderId="41" xfId="0" applyBorder="1"/>
    <xf numFmtId="0" fontId="0" fillId="0" borderId="40" xfId="0" applyBorder="1"/>
    <xf numFmtId="0" fontId="0" fillId="0" borderId="39" xfId="0" applyBorder="1"/>
    <xf numFmtId="0" fontId="0" fillId="0" borderId="41" xfId="0" applyNumberFormat="1" applyBorder="1"/>
    <xf numFmtId="0" fontId="0" fillId="0" borderId="40" xfId="0" applyNumberFormat="1" applyBorder="1"/>
    <xf numFmtId="0" fontId="0" fillId="0" borderId="39" xfId="0" applyNumberFormat="1" applyBorder="1"/>
    <xf numFmtId="0" fontId="0" fillId="0" borderId="38" xfId="0" applyBorder="1"/>
    <xf numFmtId="0" fontId="0" fillId="0" borderId="38" xfId="0" applyNumberFormat="1" applyBorder="1"/>
    <xf numFmtId="0" fontId="0" fillId="0" borderId="0" xfId="0" applyNumberFormat="1"/>
    <xf numFmtId="0" fontId="0" fillId="0" borderId="37" xfId="0" applyNumberFormat="1" applyBorder="1"/>
    <xf numFmtId="0" fontId="0" fillId="0" borderId="36" xfId="0" applyBorder="1"/>
    <xf numFmtId="0" fontId="0" fillId="0" borderId="36" xfId="0" applyNumberFormat="1" applyBorder="1"/>
    <xf numFmtId="0" fontId="0" fillId="0" borderId="35" xfId="0" applyNumberFormat="1" applyBorder="1"/>
    <xf numFmtId="0" fontId="0" fillId="0" borderId="34" xfId="0" applyNumberFormat="1" applyBorder="1"/>
    <xf numFmtId="9" fontId="0" fillId="0" borderId="0" xfId="0" applyNumberFormat="1"/>
    <xf numFmtId="0" fontId="0" fillId="0" borderId="0" xfId="0"/>
    <xf numFmtId="0" fontId="0" fillId="0" borderId="0" xfId="0"/>
    <xf numFmtId="0" fontId="2" fillId="0" borderId="0" xfId="0" applyFont="1" applyAlignment="1">
      <alignment vertical="center"/>
    </xf>
    <xf numFmtId="167" fontId="0" fillId="0" borderId="0" xfId="0" applyNumberFormat="1"/>
    <xf numFmtId="0" fontId="0" fillId="0" borderId="15" xfId="0" applyFill="1" applyBorder="1"/>
    <xf numFmtId="1" fontId="0" fillId="0" borderId="0" xfId="0" applyNumberFormat="1"/>
    <xf numFmtId="9" fontId="0" fillId="3" borderId="7" xfId="0" applyNumberFormat="1" applyFill="1" applyBorder="1"/>
    <xf numFmtId="0" fontId="0" fillId="0" borderId="1" xfId="0" applyFill="1" applyBorder="1"/>
    <xf numFmtId="2" fontId="1" fillId="0" borderId="0" xfId="0" applyNumberFormat="1" applyFont="1" applyBorder="1"/>
    <xf numFmtId="9" fontId="0" fillId="2" borderId="8" xfId="0" applyNumberFormat="1" applyFill="1" applyBorder="1"/>
    <xf numFmtId="9" fontId="0" fillId="3" borderId="0" xfId="0" applyNumberFormat="1" applyFill="1"/>
    <xf numFmtId="0" fontId="0" fillId="0" borderId="0" xfId="0" applyAlignment="1">
      <alignment horizontal="center"/>
    </xf>
    <xf numFmtId="0" fontId="0" fillId="0" borderId="0" xfId="0" applyAlignment="1"/>
    <xf numFmtId="0" fontId="0" fillId="0" borderId="0" xfId="0" pivotButton="1"/>
    <xf numFmtId="0" fontId="0" fillId="0" borderId="0" xfId="0" applyAlignment="1">
      <alignment horizontal="left" indent="1"/>
    </xf>
    <xf numFmtId="0" fontId="0" fillId="0" borderId="0" xfId="0" applyAlignment="1">
      <alignment horizontal="center"/>
    </xf>
    <xf numFmtId="0" fontId="0" fillId="0" borderId="4" xfId="0" applyBorder="1"/>
    <xf numFmtId="2" fontId="0" fillId="0" borderId="22" xfId="0" applyNumberFormat="1" applyBorder="1"/>
    <xf numFmtId="2" fontId="1" fillId="0" borderId="8" xfId="0" applyNumberFormat="1" applyFont="1" applyBorder="1"/>
    <xf numFmtId="168" fontId="0" fillId="3" borderId="0" xfId="2" applyNumberFormat="1" applyFont="1" applyFill="1"/>
    <xf numFmtId="0" fontId="17" fillId="0" borderId="0" xfId="0" applyFont="1"/>
    <xf numFmtId="0" fontId="0" fillId="0" borderId="0" xfId="0" applyAlignment="1">
      <alignment horizontal="left" vertical="center" wrapText="1"/>
    </xf>
    <xf numFmtId="9" fontId="17" fillId="0" borderId="0" xfId="2" applyFont="1"/>
    <xf numFmtId="9" fontId="0" fillId="0" borderId="0" xfId="2" applyFont="1"/>
    <xf numFmtId="0" fontId="17" fillId="0" borderId="0" xfId="3" applyAlignment="1">
      <alignment horizontal="left" vertical="center" wrapText="1"/>
    </xf>
    <xf numFmtId="167" fontId="17" fillId="0" borderId="0" xfId="3" applyNumberFormat="1"/>
    <xf numFmtId="9" fontId="0" fillId="0" borderId="0" xfId="4" applyFont="1"/>
    <xf numFmtId="9" fontId="17" fillId="0" borderId="0" xfId="3" applyNumberFormat="1"/>
    <xf numFmtId="0" fontId="17" fillId="3" borderId="0" xfId="3" applyFill="1"/>
    <xf numFmtId="1" fontId="17" fillId="3" borderId="0" xfId="3" applyNumberFormat="1" applyFill="1"/>
    <xf numFmtId="1" fontId="0" fillId="3" borderId="0" xfId="0" applyNumberFormat="1" applyFill="1"/>
    <xf numFmtId="0" fontId="3" fillId="2" borderId="24" xfId="0" applyFont="1" applyFill="1" applyBorder="1"/>
    <xf numFmtId="0" fontId="0" fillId="2" borderId="1" xfId="0" applyFill="1" applyBorder="1"/>
    <xf numFmtId="0" fontId="2" fillId="2" borderId="1" xfId="0" applyFont="1" applyFill="1" applyBorder="1"/>
    <xf numFmtId="0" fontId="0" fillId="2" borderId="0" xfId="0" applyFill="1" applyAlignment="1">
      <alignment horizontal="left"/>
    </xf>
    <xf numFmtId="0" fontId="1" fillId="2" borderId="0" xfId="0" applyFont="1" applyFill="1"/>
    <xf numFmtId="0" fontId="0" fillId="2" borderId="0" xfId="0" applyFill="1" applyAlignment="1">
      <alignment wrapText="1"/>
    </xf>
    <xf numFmtId="2" fontId="0" fillId="2" borderId="0" xfId="0" applyNumberFormat="1" applyFill="1" applyAlignment="1">
      <alignment wrapText="1"/>
    </xf>
    <xf numFmtId="0" fontId="0" fillId="2" borderId="1" xfId="0" applyFill="1" applyBorder="1" applyAlignment="1">
      <alignment wrapText="1"/>
    </xf>
    <xf numFmtId="2" fontId="0" fillId="2" borderId="0" xfId="0" applyNumberFormat="1" applyFill="1"/>
    <xf numFmtId="11" fontId="0" fillId="2" borderId="1" xfId="0" applyNumberFormat="1" applyFill="1" applyBorder="1"/>
    <xf numFmtId="0" fontId="0" fillId="2" borderId="15" xfId="0" applyFill="1" applyBorder="1"/>
    <xf numFmtId="0" fontId="0" fillId="2" borderId="21" xfId="0" applyFill="1" applyBorder="1"/>
    <xf numFmtId="0" fontId="0" fillId="2" borderId="28" xfId="0" applyFill="1" applyBorder="1"/>
    <xf numFmtId="0" fontId="0" fillId="2" borderId="29" xfId="0" applyFill="1" applyBorder="1"/>
    <xf numFmtId="2" fontId="0" fillId="2" borderId="29" xfId="0" applyNumberFormat="1" applyFill="1" applyBorder="1"/>
    <xf numFmtId="0" fontId="0" fillId="2" borderId="29" xfId="0" applyFill="1" applyBorder="1" applyAlignment="1">
      <alignment horizontal="center"/>
    </xf>
    <xf numFmtId="0" fontId="0" fillId="2" borderId="30" xfId="0" applyFill="1" applyBorder="1" applyAlignment="1">
      <alignment horizontal="center"/>
    </xf>
    <xf numFmtId="0" fontId="0" fillId="2" borderId="44" xfId="0" applyFill="1" applyBorder="1" applyAlignment="1">
      <alignment horizontal="center"/>
    </xf>
    <xf numFmtId="2" fontId="0" fillId="2" borderId="44" xfId="0" applyNumberFormat="1" applyFill="1" applyBorder="1"/>
    <xf numFmtId="0" fontId="0" fillId="2" borderId="45" xfId="0" applyFill="1" applyBorder="1" applyAlignment="1">
      <alignment horizontal="center"/>
    </xf>
    <xf numFmtId="0" fontId="0" fillId="2" borderId="28" xfId="0" applyFill="1" applyBorder="1" applyAlignment="1">
      <alignment wrapText="1"/>
    </xf>
    <xf numFmtId="2" fontId="15" fillId="2" borderId="29" xfId="0" applyNumberFormat="1" applyFont="1" applyFill="1" applyBorder="1"/>
    <xf numFmtId="11" fontId="0" fillId="2" borderId="29" xfId="0" applyNumberFormat="1" applyFill="1" applyBorder="1"/>
    <xf numFmtId="0" fontId="0" fillId="2" borderId="6" xfId="0" applyFill="1" applyBorder="1"/>
    <xf numFmtId="2" fontId="15" fillId="2" borderId="7" xfId="0" applyNumberFormat="1" applyFont="1" applyFill="1" applyBorder="1"/>
    <xf numFmtId="0" fontId="0" fillId="2" borderId="7" xfId="0" applyFill="1" applyBorder="1" applyAlignment="1">
      <alignment horizontal="center"/>
    </xf>
    <xf numFmtId="2" fontId="0" fillId="2" borderId="7" xfId="0" applyNumberFormat="1" applyFill="1" applyBorder="1"/>
    <xf numFmtId="0" fontId="0" fillId="2" borderId="8" xfId="0" applyFill="1" applyBorder="1" applyAlignment="1">
      <alignment horizontal="center"/>
    </xf>
    <xf numFmtId="2" fontId="1" fillId="2" borderId="0" xfId="0" applyNumberFormat="1" applyFont="1" applyFill="1"/>
    <xf numFmtId="2" fontId="1" fillId="2" borderId="46" xfId="0" applyNumberFormat="1" applyFont="1" applyFill="1" applyBorder="1"/>
    <xf numFmtId="0" fontId="29" fillId="0" borderId="0" xfId="5"/>
    <xf numFmtId="167" fontId="29" fillId="0" borderId="0" xfId="5" applyNumberFormat="1"/>
    <xf numFmtId="9" fontId="0" fillId="0" borderId="0" xfId="6" applyFont="1"/>
    <xf numFmtId="0" fontId="29" fillId="3" borderId="0" xfId="5" applyFill="1"/>
    <xf numFmtId="9" fontId="0" fillId="3" borderId="0" xfId="6" applyFont="1" applyFill="1"/>
    <xf numFmtId="0" fontId="30" fillId="7" borderId="47" xfId="0" applyFont="1" applyFill="1" applyBorder="1" applyAlignment="1">
      <alignment horizontal="left" vertical="center" wrapText="1"/>
    </xf>
    <xf numFmtId="0" fontId="30" fillId="7" borderId="48" xfId="0" applyFont="1" applyFill="1" applyBorder="1" applyAlignment="1">
      <alignment horizontal="left" vertical="center" wrapText="1"/>
    </xf>
    <xf numFmtId="0" fontId="30" fillId="7" borderId="49" xfId="0" applyFont="1" applyFill="1" applyBorder="1" applyAlignment="1">
      <alignment horizontal="left" vertical="center" wrapText="1"/>
    </xf>
    <xf numFmtId="0" fontId="0" fillId="6" borderId="47" xfId="0" applyFill="1" applyBorder="1"/>
    <xf numFmtId="0" fontId="0" fillId="6" borderId="48" xfId="0" applyFill="1" applyBorder="1"/>
    <xf numFmtId="167" fontId="0" fillId="6" borderId="49" xfId="0" applyNumberFormat="1" applyFill="1" applyBorder="1"/>
    <xf numFmtId="0" fontId="0" fillId="0" borderId="47" xfId="0" applyBorder="1"/>
    <xf numFmtId="0" fontId="0" fillId="0" borderId="48" xfId="0" applyBorder="1"/>
    <xf numFmtId="167" fontId="0" fillId="0" borderId="49" xfId="0" applyNumberFormat="1" applyBorder="1"/>
    <xf numFmtId="0" fontId="17" fillId="0" borderId="0" xfId="5" applyFont="1"/>
    <xf numFmtId="2" fontId="29" fillId="0" borderId="0" xfId="5" applyNumberFormat="1"/>
    <xf numFmtId="2" fontId="29" fillId="3" borderId="0" xfId="5" applyNumberFormat="1" applyFill="1"/>
    <xf numFmtId="169" fontId="0" fillId="6" borderId="48" xfId="0" applyNumberFormat="1" applyFill="1" applyBorder="1"/>
    <xf numFmtId="169" fontId="0" fillId="0" borderId="48" xfId="0" applyNumberFormat="1" applyBorder="1"/>
    <xf numFmtId="0" fontId="30" fillId="7" borderId="0" xfId="0" applyFont="1" applyFill="1" applyBorder="1" applyAlignment="1">
      <alignment horizontal="left" vertical="center" wrapText="1"/>
    </xf>
    <xf numFmtId="2" fontId="0" fillId="3" borderId="0" xfId="0" applyNumberFormat="1" applyFill="1"/>
    <xf numFmtId="0" fontId="31" fillId="0" borderId="0" xfId="7"/>
    <xf numFmtId="0" fontId="17" fillId="0" borderId="0" xfId="3" quotePrefix="1"/>
    <xf numFmtId="0" fontId="30" fillId="7" borderId="47" xfId="3" applyFont="1" applyFill="1" applyBorder="1" applyAlignment="1">
      <alignment horizontal="left" vertical="center"/>
    </xf>
    <xf numFmtId="0" fontId="30" fillId="7" borderId="48" xfId="3" applyFont="1" applyFill="1" applyBorder="1" applyAlignment="1">
      <alignment horizontal="left" vertical="center"/>
    </xf>
    <xf numFmtId="0" fontId="30" fillId="7" borderId="49" xfId="3" applyFont="1" applyFill="1" applyBorder="1" applyAlignment="1">
      <alignment horizontal="left" vertical="center"/>
    </xf>
    <xf numFmtId="0" fontId="30" fillId="7" borderId="0" xfId="3" applyFont="1" applyFill="1" applyAlignment="1">
      <alignment horizontal="left" vertical="center"/>
    </xf>
    <xf numFmtId="0" fontId="17" fillId="0" borderId="47" xfId="3" applyBorder="1"/>
    <xf numFmtId="11" fontId="17" fillId="0" borderId="48" xfId="3" applyNumberFormat="1" applyBorder="1"/>
    <xf numFmtId="167" fontId="17" fillId="0" borderId="48" xfId="3" applyNumberFormat="1" applyBorder="1"/>
    <xf numFmtId="167" fontId="17" fillId="0" borderId="49" xfId="3" applyNumberFormat="1" applyBorder="1"/>
    <xf numFmtId="0" fontId="17" fillId="6" borderId="47" xfId="3" applyFill="1" applyBorder="1"/>
    <xf numFmtId="11" fontId="17" fillId="6" borderId="48" xfId="3" applyNumberFormat="1" applyFill="1" applyBorder="1"/>
    <xf numFmtId="167" fontId="17" fillId="6" borderId="48" xfId="3" applyNumberFormat="1" applyFill="1" applyBorder="1"/>
    <xf numFmtId="167" fontId="17" fillId="6" borderId="49" xfId="3" applyNumberFormat="1" applyFill="1" applyBorder="1"/>
    <xf numFmtId="11" fontId="17" fillId="0" borderId="0" xfId="3" quotePrefix="1" applyNumberFormat="1"/>
    <xf numFmtId="0" fontId="32" fillId="0" borderId="0" xfId="3" applyFont="1"/>
    <xf numFmtId="0" fontId="30" fillId="7" borderId="47" xfId="3" applyFont="1" applyFill="1" applyBorder="1" applyAlignment="1">
      <alignment horizontal="left" vertical="center" wrapText="1"/>
    </xf>
    <xf numFmtId="0" fontId="30" fillId="7" borderId="48" xfId="3" applyFont="1" applyFill="1" applyBorder="1" applyAlignment="1">
      <alignment horizontal="left" vertical="center" wrapText="1"/>
    </xf>
    <xf numFmtId="0" fontId="30" fillId="7" borderId="49" xfId="3" applyFont="1" applyFill="1" applyBorder="1" applyAlignment="1">
      <alignment horizontal="left" vertical="center" wrapText="1"/>
    </xf>
    <xf numFmtId="0" fontId="17" fillId="0" borderId="0" xfId="3" applyAlignment="1">
      <alignment horizontal="center"/>
    </xf>
    <xf numFmtId="0" fontId="0" fillId="0" borderId="0" xfId="4" applyNumberFormat="1" applyFont="1"/>
    <xf numFmtId="0" fontId="17" fillId="6" borderId="48" xfId="3" applyFill="1" applyBorder="1"/>
    <xf numFmtId="2" fontId="32" fillId="0" borderId="3" xfId="3" applyNumberFormat="1" applyFont="1" applyBorder="1"/>
    <xf numFmtId="0" fontId="17" fillId="0" borderId="48" xfId="3" applyBorder="1"/>
    <xf numFmtId="2" fontId="17" fillId="0" borderId="21" xfId="3" applyNumberFormat="1" applyBorder="1"/>
    <xf numFmtId="2" fontId="17" fillId="0" borderId="3" xfId="3" applyNumberFormat="1" applyBorder="1"/>
    <xf numFmtId="2" fontId="17" fillId="0" borderId="4" xfId="3" applyNumberFormat="1" applyBorder="1"/>
    <xf numFmtId="2" fontId="17" fillId="0" borderId="15" xfId="3" applyNumberFormat="1" applyBorder="1"/>
    <xf numFmtId="2" fontId="17" fillId="0" borderId="22" xfId="3" applyNumberFormat="1" applyBorder="1"/>
    <xf numFmtId="2" fontId="17" fillId="0" borderId="0" xfId="3" quotePrefix="1" applyNumberFormat="1"/>
    <xf numFmtId="2" fontId="0" fillId="0" borderId="0" xfId="4" applyNumberFormat="1" applyFont="1" applyBorder="1"/>
    <xf numFmtId="170" fontId="17" fillId="0" borderId="0" xfId="3" applyNumberFormat="1"/>
    <xf numFmtId="2" fontId="30" fillId="7" borderId="48" xfId="3" applyNumberFormat="1" applyFont="1" applyFill="1" applyBorder="1" applyAlignment="1">
      <alignment horizontal="left" vertical="center" wrapText="1"/>
    </xf>
    <xf numFmtId="2" fontId="17" fillId="3" borderId="0" xfId="3" applyNumberFormat="1" applyFill="1"/>
    <xf numFmtId="11" fontId="17" fillId="3" borderId="0" xfId="3" applyNumberFormat="1" applyFill="1"/>
    <xf numFmtId="2" fontId="17" fillId="3" borderId="22" xfId="3" applyNumberFormat="1" applyFill="1" applyBorder="1"/>
    <xf numFmtId="0" fontId="17" fillId="0" borderId="15" xfId="3" applyBorder="1"/>
    <xf numFmtId="2" fontId="17" fillId="8" borderId="0" xfId="3" applyNumberFormat="1" applyFill="1"/>
    <xf numFmtId="11" fontId="17" fillId="8" borderId="0" xfId="3" applyNumberFormat="1" applyFill="1"/>
    <xf numFmtId="2" fontId="17" fillId="8" borderId="22" xfId="3" applyNumberFormat="1" applyFill="1" applyBorder="1"/>
    <xf numFmtId="2" fontId="17" fillId="0" borderId="6" xfId="3" applyNumberFormat="1" applyBorder="1"/>
    <xf numFmtId="2" fontId="17" fillId="0" borderId="7" xfId="3" applyNumberFormat="1" applyBorder="1"/>
    <xf numFmtId="2" fontId="17" fillId="0" borderId="8" xfId="3" applyNumberFormat="1" applyBorder="1"/>
    <xf numFmtId="0" fontId="17" fillId="0" borderId="21" xfId="3" applyBorder="1"/>
    <xf numFmtId="0" fontId="17" fillId="0" borderId="3" xfId="3" applyBorder="1"/>
    <xf numFmtId="0" fontId="17" fillId="0" borderId="22" xfId="3" applyBorder="1"/>
    <xf numFmtId="166" fontId="17" fillId="3" borderId="0" xfId="3" applyNumberFormat="1" applyFill="1"/>
    <xf numFmtId="11" fontId="0" fillId="3" borderId="0" xfId="4" applyNumberFormat="1" applyFont="1" applyFill="1" applyBorder="1"/>
    <xf numFmtId="0" fontId="17" fillId="3" borderId="22" xfId="3" applyFill="1" applyBorder="1"/>
    <xf numFmtId="0" fontId="17" fillId="0" borderId="6" xfId="3" applyBorder="1"/>
    <xf numFmtId="0" fontId="17" fillId="0" borderId="7" xfId="3" applyBorder="1"/>
    <xf numFmtId="0" fontId="17" fillId="0" borderId="8" xfId="3" applyBorder="1"/>
    <xf numFmtId="1" fontId="17" fillId="0" borderId="0" xfId="3" applyNumberFormat="1" applyFill="1"/>
    <xf numFmtId="0" fontId="17" fillId="0" borderId="0" xfId="7" applyFont="1"/>
    <xf numFmtId="0" fontId="0" fillId="0" borderId="0" xfId="0" applyAlignment="1">
      <alignment horizontal="center"/>
    </xf>
    <xf numFmtId="0" fontId="0" fillId="0" borderId="0" xfId="0" applyAlignment="1"/>
    <xf numFmtId="0" fontId="1" fillId="0" borderId="0" xfId="0" applyFont="1" applyAlignment="1">
      <alignment wrapText="1"/>
    </xf>
    <xf numFmtId="0" fontId="0" fillId="0" borderId="0" xfId="0" applyAlignment="1">
      <alignment horizontal="left" wrapText="1"/>
    </xf>
    <xf numFmtId="0" fontId="21" fillId="0" borderId="0" xfId="0" applyFont="1" applyAlignment="1">
      <alignment vertical="center" wrapText="1"/>
    </xf>
    <xf numFmtId="0" fontId="19" fillId="0" borderId="0" xfId="0" applyFont="1" applyAlignment="1">
      <alignment vertical="center" wrapText="1"/>
    </xf>
    <xf numFmtId="0" fontId="0" fillId="2" borderId="6" xfId="0" applyFill="1" applyBorder="1" applyAlignment="1">
      <alignment horizontal="right"/>
    </xf>
    <xf numFmtId="0" fontId="0" fillId="2" borderId="7" xfId="0" applyFill="1" applyBorder="1" applyAlignment="1">
      <alignment horizontal="right"/>
    </xf>
    <xf numFmtId="14" fontId="0" fillId="0" borderId="0" xfId="0" applyNumberFormat="1" applyAlignment="1">
      <alignment horizontal="center"/>
    </xf>
    <xf numFmtId="0" fontId="0" fillId="0" borderId="0" xfId="0" applyAlignment="1">
      <alignment horizontal="left" vertical="top" wrapText="1"/>
    </xf>
    <xf numFmtId="0" fontId="13" fillId="2" borderId="20" xfId="0" applyFont="1" applyFill="1" applyBorder="1" applyAlignment="1">
      <alignment horizontal="center"/>
    </xf>
    <xf numFmtId="0" fontId="13" fillId="0" borderId="0" xfId="0" applyFont="1" applyAlignment="1">
      <alignment horizontal="center"/>
    </xf>
    <xf numFmtId="0" fontId="10" fillId="0" borderId="0" xfId="0" applyFont="1" applyAlignment="1">
      <alignment horizontal="center" vertical="top" wrapText="1"/>
    </xf>
    <xf numFmtId="0" fontId="22" fillId="0" borderId="21" xfId="0" applyFont="1" applyBorder="1" applyAlignment="1">
      <alignment horizontal="center"/>
    </xf>
    <xf numFmtId="0" fontId="22" fillId="0" borderId="3" xfId="0" applyFont="1" applyBorder="1" applyAlignment="1">
      <alignment horizontal="center"/>
    </xf>
    <xf numFmtId="0" fontId="22" fillId="0" borderId="4" xfId="0" applyFont="1" applyBorder="1" applyAlignment="1">
      <alignment horizontal="center"/>
    </xf>
    <xf numFmtId="0" fontId="22" fillId="0" borderId="0" xfId="0" applyFont="1" applyAlignment="1">
      <alignment horizontal="center"/>
    </xf>
    <xf numFmtId="0" fontId="0" fillId="0" borderId="0" xfId="0" applyFill="1" applyAlignment="1">
      <alignment horizontal="center" vertical="top" wrapText="1"/>
    </xf>
    <xf numFmtId="0" fontId="0" fillId="0" borderId="26" xfId="0" applyBorder="1" applyAlignment="1">
      <alignment horizontal="center"/>
    </xf>
    <xf numFmtId="0" fontId="0" fillId="0" borderId="27" xfId="0" applyBorder="1" applyAlignment="1">
      <alignment horizontal="center"/>
    </xf>
    <xf numFmtId="14" fontId="0" fillId="2" borderId="0" xfId="0" applyNumberFormat="1" applyFill="1" applyAlignment="1">
      <alignment horizontal="center"/>
    </xf>
    <xf numFmtId="0" fontId="0" fillId="2" borderId="0" xfId="0" applyFill="1" applyAlignment="1">
      <alignment horizontal="center"/>
    </xf>
    <xf numFmtId="0" fontId="0" fillId="2" borderId="26" xfId="0" applyFill="1" applyBorder="1" applyAlignment="1">
      <alignment horizontal="center"/>
    </xf>
    <xf numFmtId="0" fontId="0" fillId="2" borderId="27" xfId="0" applyFill="1" applyBorder="1" applyAlignment="1">
      <alignment horizontal="center"/>
    </xf>
    <xf numFmtId="0" fontId="29" fillId="0" borderId="0" xfId="5" applyAlignment="1">
      <alignment horizontal="center"/>
    </xf>
    <xf numFmtId="0" fontId="17" fillId="0" borderId="0" xfId="3" applyAlignment="1">
      <alignment horizontal="right"/>
    </xf>
  </cellXfs>
  <cellStyles count="8">
    <cellStyle name="Hyperlink" xfId="1" builtinId="8"/>
    <cellStyle name="Normal" xfId="0" builtinId="0"/>
    <cellStyle name="Normal 2" xfId="3" xr:uid="{1A85616E-F16A-4465-8664-53A8620ABAAF}"/>
    <cellStyle name="Normal 3" xfId="5" xr:uid="{5791D93A-E43E-4DD1-91EE-65ACFD86D99E}"/>
    <cellStyle name="Normal 4" xfId="7" xr:uid="{633C40CF-BC81-4698-ABFE-637556D6E077}"/>
    <cellStyle name="Percent" xfId="2" builtinId="5"/>
    <cellStyle name="Percent 2" xfId="4" xr:uid="{599212BB-861E-4AE0-8570-12CB6D09CB21}"/>
    <cellStyle name="Percent 3" xfId="6" xr:uid="{EE03759D-9E81-4275-997D-F812738F386E}"/>
  </cellStyles>
  <dxfs count="5">
    <dxf>
      <numFmt numFmtId="15" formatCode="0.00E+00"/>
    </dxf>
    <dxf>
      <font>
        <b/>
        <i val="0"/>
        <strike val="0"/>
        <condense val="0"/>
        <extend val="0"/>
        <outline val="0"/>
        <shadow val="0"/>
        <u val="none"/>
        <vertAlign val="baseline"/>
        <sz val="11"/>
        <color theme="1"/>
        <name val="Calibri"/>
        <family val="2"/>
        <scheme val="minor"/>
      </font>
      <alignment horizontal="left" vertical="center" textRotation="0" wrapText="1" indent="0" justifyLastLine="0" shrinkToFit="0" readingOrder="0"/>
    </dxf>
    <dxf>
      <numFmt numFmtId="20" formatCode="d\-mmm\-yy"/>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4.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3.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2.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IC</a:t>
            </a:r>
            <a:r>
              <a:rPr lang="en-US" baseline="0"/>
              <a:t> Amplification</a:t>
            </a:r>
            <a:r>
              <a:rPr lang="en-US"/>
              <a:t> in Presence of Leg pneumo</a:t>
            </a:r>
            <a:r>
              <a:rPr lang="en-US" baseline="0"/>
              <a:t> Standard Concentration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48381452318461"/>
          <c:y val="0.10491320692714812"/>
          <c:w val="0.84130314960629926"/>
          <c:h val="0.68951594241858505"/>
        </c:manualLayout>
      </c:layout>
      <c:scatterChart>
        <c:scatterStyle val="lineMarker"/>
        <c:varyColors val="0"/>
        <c:ser>
          <c:idx val="0"/>
          <c:order val="0"/>
          <c:tx>
            <c:strRef>
              <c:f>'210416_plate1'!$R$14</c:f>
              <c:strCache>
                <c:ptCount val="1"/>
                <c:pt idx="0">
                  <c:v>Lpneumo "std_6"</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4588193211565488"/>
                  <c:y val="-0.1172371063526246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cust"/>
            <c:noEndCap val="0"/>
            <c:plus>
              <c:numRef>
                <c:f>'210416_plate1'!$T$15:$T$17</c:f>
                <c:numCache>
                  <c:formatCode>General</c:formatCode>
                  <c:ptCount val="3"/>
                  <c:pt idx="0">
                    <c:v>0.17473789896108474</c:v>
                  </c:pt>
                  <c:pt idx="1">
                    <c:v>0.82857307060592622</c:v>
                  </c:pt>
                  <c:pt idx="2">
                    <c:v>0.97125348562222702</c:v>
                  </c:pt>
                </c:numCache>
              </c:numRef>
            </c:plus>
            <c:minus>
              <c:numRef>
                <c:f>'210416_plate1'!$T$15:$T$17</c:f>
                <c:numCache>
                  <c:formatCode>General</c:formatCode>
                  <c:ptCount val="3"/>
                  <c:pt idx="0">
                    <c:v>0.17473789896108474</c:v>
                  </c:pt>
                  <c:pt idx="1">
                    <c:v>0.82857307060592622</c:v>
                  </c:pt>
                  <c:pt idx="2">
                    <c:v>0.97125348562222702</c:v>
                  </c:pt>
                </c:numCache>
              </c:numRef>
            </c:minus>
            <c:spPr>
              <a:noFill/>
              <a:ln w="9525" cap="flat" cmpd="sng" algn="ctr">
                <a:solidFill>
                  <a:schemeClr val="tx1">
                    <a:lumMod val="65000"/>
                    <a:lumOff val="35000"/>
                  </a:schemeClr>
                </a:solidFill>
                <a:round/>
              </a:ln>
              <a:effectLst/>
            </c:spPr>
          </c:errBars>
          <c:xVal>
            <c:numRef>
              <c:f>'210416_plate1'!$Q$15:$Q$17</c:f>
              <c:numCache>
                <c:formatCode>General</c:formatCode>
                <c:ptCount val="3"/>
                <c:pt idx="0">
                  <c:v>10.779740751176741</c:v>
                </c:pt>
                <c:pt idx="1">
                  <c:v>10.080770746840722</c:v>
                </c:pt>
                <c:pt idx="2">
                  <c:v>9.0807707468407219</c:v>
                </c:pt>
              </c:numCache>
            </c:numRef>
          </c:xVal>
          <c:yVal>
            <c:numRef>
              <c:f>'210416_plate1'!$R$15:$R$17</c:f>
              <c:numCache>
                <c:formatCode>General</c:formatCode>
                <c:ptCount val="3"/>
                <c:pt idx="0">
                  <c:v>32.786666666666669</c:v>
                </c:pt>
                <c:pt idx="1">
                  <c:v>37.223333333333336</c:v>
                </c:pt>
                <c:pt idx="2">
                  <c:v>42.436666666666667</c:v>
                </c:pt>
              </c:numCache>
            </c:numRef>
          </c:yVal>
          <c:smooth val="0"/>
          <c:extLst>
            <c:ext xmlns:c16="http://schemas.microsoft.com/office/drawing/2014/chart" uri="{C3380CC4-5D6E-409C-BE32-E72D297353CC}">
              <c16:uniqueId val="{00000000-D99F-4025-8DCA-1D8028267927}"/>
            </c:ext>
          </c:extLst>
        </c:ser>
        <c:ser>
          <c:idx val="1"/>
          <c:order val="1"/>
          <c:tx>
            <c:strRef>
              <c:f>'210416_plate1'!$U$14</c:f>
              <c:strCache>
                <c:ptCount val="1"/>
                <c:pt idx="0">
                  <c:v>Lpneumo "std_9"</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34760530522091132"/>
                  <c:y val="-9.212342093748475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cust"/>
            <c:noEndCap val="0"/>
            <c:plus>
              <c:numRef>
                <c:f>'210416_plate1'!$W$15:$W$17</c:f>
                <c:numCache>
                  <c:formatCode>General</c:formatCode>
                  <c:ptCount val="3"/>
                  <c:pt idx="0">
                    <c:v>1.0104124570359003</c:v>
                  </c:pt>
                  <c:pt idx="1">
                    <c:v>0.4158525379666857</c:v>
                  </c:pt>
                  <c:pt idx="2">
                    <c:v>0.65431898439013847</c:v>
                  </c:pt>
                </c:numCache>
              </c:numRef>
            </c:plus>
            <c:minus>
              <c:numRef>
                <c:f>'210416_plate1'!$W$15:$W$17</c:f>
                <c:numCache>
                  <c:formatCode>General</c:formatCode>
                  <c:ptCount val="3"/>
                  <c:pt idx="0">
                    <c:v>1.0104124570359003</c:v>
                  </c:pt>
                  <c:pt idx="1">
                    <c:v>0.4158525379666857</c:v>
                  </c:pt>
                  <c:pt idx="2">
                    <c:v>0.65431898439013847</c:v>
                  </c:pt>
                </c:numCache>
              </c:numRef>
            </c:minus>
            <c:spPr>
              <a:noFill/>
              <a:ln w="9525" cap="flat" cmpd="sng" algn="ctr">
                <a:solidFill>
                  <a:schemeClr val="tx1">
                    <a:lumMod val="65000"/>
                    <a:lumOff val="35000"/>
                  </a:schemeClr>
                </a:solidFill>
                <a:round/>
              </a:ln>
              <a:effectLst/>
            </c:spPr>
          </c:errBars>
          <c:xVal>
            <c:numRef>
              <c:f>'210416_plate1'!$Q$15:$Q$17</c:f>
              <c:numCache>
                <c:formatCode>General</c:formatCode>
                <c:ptCount val="3"/>
                <c:pt idx="0">
                  <c:v>10.779740751176741</c:v>
                </c:pt>
                <c:pt idx="1">
                  <c:v>10.080770746840722</c:v>
                </c:pt>
                <c:pt idx="2">
                  <c:v>9.0807707468407219</c:v>
                </c:pt>
              </c:numCache>
            </c:numRef>
          </c:xVal>
          <c:yVal>
            <c:numRef>
              <c:f>'210416_plate1'!$U$15:$U$17</c:f>
              <c:numCache>
                <c:formatCode>General</c:formatCode>
                <c:ptCount val="3"/>
                <c:pt idx="0">
                  <c:v>31.933333333333326</c:v>
                </c:pt>
                <c:pt idx="1">
                  <c:v>36.396666666666668</c:v>
                </c:pt>
                <c:pt idx="2">
                  <c:v>41.283333333333331</c:v>
                </c:pt>
              </c:numCache>
            </c:numRef>
          </c:yVal>
          <c:smooth val="0"/>
          <c:extLst>
            <c:ext xmlns:c16="http://schemas.microsoft.com/office/drawing/2014/chart" uri="{C3380CC4-5D6E-409C-BE32-E72D297353CC}">
              <c16:uniqueId val="{00000002-D99F-4025-8DCA-1D8028267927}"/>
            </c:ext>
          </c:extLst>
        </c:ser>
        <c:ser>
          <c:idx val="2"/>
          <c:order val="2"/>
          <c:tx>
            <c:strRef>
              <c:f>'210416_plate1'!$X$14</c:f>
              <c:strCache>
                <c:ptCount val="1"/>
                <c:pt idx="0">
                  <c:v>Lpneumo "std_12"</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0.33802335075568551"/>
                  <c:y val="-2.705420584367539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cust"/>
            <c:noEndCap val="0"/>
            <c:plus>
              <c:numRef>
                <c:f>'210416_plate1'!$Z$15:$Z$17</c:f>
                <c:numCache>
                  <c:formatCode>General</c:formatCode>
                  <c:ptCount val="3"/>
                  <c:pt idx="0">
                    <c:v>0.27006172134039103</c:v>
                  </c:pt>
                  <c:pt idx="1">
                    <c:v>0.23692474191889351</c:v>
                  </c:pt>
                  <c:pt idx="2">
                    <c:v>0.61199128534100466</c:v>
                  </c:pt>
                </c:numCache>
              </c:numRef>
            </c:plus>
            <c:minus>
              <c:numRef>
                <c:f>'210416_plate1'!$Z$15:$Z$17</c:f>
                <c:numCache>
                  <c:formatCode>General</c:formatCode>
                  <c:ptCount val="3"/>
                  <c:pt idx="0">
                    <c:v>0.27006172134039103</c:v>
                  </c:pt>
                  <c:pt idx="1">
                    <c:v>0.23692474191889351</c:v>
                  </c:pt>
                  <c:pt idx="2">
                    <c:v>0.61199128534100466</c:v>
                  </c:pt>
                </c:numCache>
              </c:numRef>
            </c:minus>
            <c:spPr>
              <a:noFill/>
              <a:ln w="9525" cap="flat" cmpd="sng" algn="ctr">
                <a:solidFill>
                  <a:schemeClr val="tx1">
                    <a:lumMod val="65000"/>
                    <a:lumOff val="35000"/>
                  </a:schemeClr>
                </a:solidFill>
                <a:round/>
              </a:ln>
              <a:effectLst/>
            </c:spPr>
          </c:errBars>
          <c:xVal>
            <c:numRef>
              <c:f>'210416_plate1'!$Q$15:$Q$17</c:f>
              <c:numCache>
                <c:formatCode>General</c:formatCode>
                <c:ptCount val="3"/>
                <c:pt idx="0">
                  <c:v>10.779740751176741</c:v>
                </c:pt>
                <c:pt idx="1">
                  <c:v>10.080770746840722</c:v>
                </c:pt>
                <c:pt idx="2">
                  <c:v>9.0807707468407219</c:v>
                </c:pt>
              </c:numCache>
            </c:numRef>
          </c:xVal>
          <c:yVal>
            <c:numRef>
              <c:f>'210416_plate1'!$X$15:$X$17</c:f>
              <c:numCache>
                <c:formatCode>General</c:formatCode>
                <c:ptCount val="3"/>
                <c:pt idx="0">
                  <c:v>32.256666666666668</c:v>
                </c:pt>
                <c:pt idx="1">
                  <c:v>36.393333333333338</c:v>
                </c:pt>
                <c:pt idx="2">
                  <c:v>41.223333333333329</c:v>
                </c:pt>
              </c:numCache>
            </c:numRef>
          </c:yVal>
          <c:smooth val="0"/>
          <c:extLst>
            <c:ext xmlns:c16="http://schemas.microsoft.com/office/drawing/2014/chart" uri="{C3380CC4-5D6E-409C-BE32-E72D297353CC}">
              <c16:uniqueId val="{00000003-D99F-4025-8DCA-1D8028267927}"/>
            </c:ext>
          </c:extLst>
        </c:ser>
        <c:ser>
          <c:idx val="3"/>
          <c:order val="3"/>
          <c:tx>
            <c:strRef>
              <c:f>'210416_plate1'!$AA$14</c:f>
              <c:strCache>
                <c:ptCount val="1"/>
                <c:pt idx="0">
                  <c:v>Lpneumo "H2O"</c:v>
                </c:pt>
              </c:strCache>
            </c:strRef>
          </c:tx>
          <c:spPr>
            <a:ln w="25400" cap="rnd">
              <a:no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linear"/>
            <c:dispRSqr val="1"/>
            <c:dispEq val="1"/>
            <c:trendlineLbl>
              <c:layout>
                <c:manualLayout>
                  <c:x val="-0.33629997765042913"/>
                  <c:y val="5.921148587324748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cust"/>
            <c:noEndCap val="0"/>
            <c:plus>
              <c:numRef>
                <c:f>'210416_plate1'!$AC$15:$AC$17</c:f>
                <c:numCache>
                  <c:formatCode>General</c:formatCode>
                  <c:ptCount val="3"/>
                  <c:pt idx="0">
                    <c:v>0.63571482075953922</c:v>
                  </c:pt>
                  <c:pt idx="1">
                    <c:v>1.0491901638883194</c:v>
                  </c:pt>
                  <c:pt idx="2">
                    <c:v>0.33005050118630769</c:v>
                  </c:pt>
                </c:numCache>
              </c:numRef>
            </c:plus>
            <c:minus>
              <c:numRef>
                <c:f>'210416_plate1'!$AC$15:$AC$17</c:f>
                <c:numCache>
                  <c:formatCode>General</c:formatCode>
                  <c:ptCount val="3"/>
                  <c:pt idx="0">
                    <c:v>0.63571482075953922</c:v>
                  </c:pt>
                  <c:pt idx="1">
                    <c:v>1.0491901638883194</c:v>
                  </c:pt>
                  <c:pt idx="2">
                    <c:v>0.33005050118630769</c:v>
                  </c:pt>
                </c:numCache>
              </c:numRef>
            </c:minus>
            <c:spPr>
              <a:noFill/>
              <a:ln w="9525" cap="flat" cmpd="sng" algn="ctr">
                <a:solidFill>
                  <a:schemeClr val="tx1">
                    <a:lumMod val="65000"/>
                    <a:lumOff val="35000"/>
                  </a:schemeClr>
                </a:solidFill>
                <a:round/>
              </a:ln>
              <a:effectLst/>
            </c:spPr>
          </c:errBars>
          <c:xVal>
            <c:numRef>
              <c:f>'210416_plate1'!$Q$15:$Q$17</c:f>
              <c:numCache>
                <c:formatCode>General</c:formatCode>
                <c:ptCount val="3"/>
                <c:pt idx="0">
                  <c:v>10.779740751176741</c:v>
                </c:pt>
                <c:pt idx="1">
                  <c:v>10.080770746840722</c:v>
                </c:pt>
                <c:pt idx="2">
                  <c:v>9.0807707468407219</c:v>
                </c:pt>
              </c:numCache>
            </c:numRef>
          </c:xVal>
          <c:yVal>
            <c:numRef>
              <c:f>'210416_plate1'!$AA$15:$AA$17</c:f>
              <c:numCache>
                <c:formatCode>General</c:formatCode>
                <c:ptCount val="3"/>
                <c:pt idx="0">
                  <c:v>32.81666666666667</c:v>
                </c:pt>
                <c:pt idx="1">
                  <c:v>36.860000000000007</c:v>
                </c:pt>
                <c:pt idx="2">
                  <c:v>41.383333333333333</c:v>
                </c:pt>
              </c:numCache>
            </c:numRef>
          </c:yVal>
          <c:smooth val="0"/>
          <c:extLst>
            <c:ext xmlns:c16="http://schemas.microsoft.com/office/drawing/2014/chart" uri="{C3380CC4-5D6E-409C-BE32-E72D297353CC}">
              <c16:uniqueId val="{00000004-D99F-4025-8DCA-1D8028267927}"/>
            </c:ext>
          </c:extLst>
        </c:ser>
        <c:dLbls>
          <c:showLegendKey val="0"/>
          <c:showVal val="0"/>
          <c:showCatName val="0"/>
          <c:showSerName val="0"/>
          <c:showPercent val="0"/>
          <c:showBubbleSize val="0"/>
        </c:dLbls>
        <c:axId val="908291136"/>
        <c:axId val="908290304"/>
      </c:scatterChart>
      <c:valAx>
        <c:axId val="9082911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a:t>
                </a:r>
                <a:r>
                  <a:rPr lang="en-US" baseline="0"/>
                  <a:t> (Copy#/ul)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290304"/>
        <c:crosses val="autoZero"/>
        <c:crossBetween val="midCat"/>
      </c:valAx>
      <c:valAx>
        <c:axId val="908290304"/>
        <c:scaling>
          <c:orientation val="minMax"/>
          <c:max val="45"/>
          <c:min val="3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291136"/>
        <c:crosses val="autoZero"/>
        <c:crossBetween val="midCat"/>
      </c:valAx>
      <c:spPr>
        <a:noFill/>
        <a:ln>
          <a:noFill/>
        </a:ln>
        <a:effectLst/>
      </c:spPr>
    </c:plotArea>
    <c:legend>
      <c:legendPos val="r"/>
      <c:layout>
        <c:manualLayout>
          <c:xMode val="edge"/>
          <c:yMode val="edge"/>
          <c:x val="0.14252838375149554"/>
          <c:y val="0.38619557122931036"/>
          <c:w val="0.23440506785679824"/>
          <c:h val="0.3796552280783026"/>
        </c:manualLayout>
      </c:layout>
      <c:overlay val="0"/>
      <c:spPr>
        <a:solidFill>
          <a:schemeClr val="bg1"/>
        </a:solidFill>
        <a:ln>
          <a:solidFill>
            <a:schemeClr val="accen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Periodicity in Increasing [Fwd] </a:t>
            </a:r>
          </a:p>
          <a:p>
            <a:pPr>
              <a:defRPr/>
            </a:pPr>
            <a:r>
              <a:rPr lang="en-US" sz="1800" b="0" i="0" baseline="0">
                <a:effectLst/>
              </a:rPr>
              <a:t>([Rev] Held Constant)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matrix_data!$Q$1</c:f>
              <c:strCache>
                <c:ptCount val="1"/>
                <c:pt idx="0">
                  <c:v>Ct_mean</c:v>
                </c:pt>
              </c:strCache>
            </c:strRef>
          </c:tx>
          <c:spPr>
            <a:solidFill>
              <a:schemeClr val="accent1"/>
            </a:solidFill>
            <a:ln>
              <a:noFill/>
            </a:ln>
            <a:effectLst/>
          </c:spPr>
          <c:invertIfNegative val="0"/>
          <c:cat>
            <c:strRef>
              <c:f>matrix_data!$P$2:$P$37</c:f>
              <c:strCache>
                <c:ptCount val="36"/>
                <c:pt idx="0">
                  <c:v>50_50</c:v>
                </c:pt>
                <c:pt idx="1">
                  <c:v>100_50</c:v>
                </c:pt>
                <c:pt idx="2">
                  <c:v>200_50</c:v>
                </c:pt>
                <c:pt idx="3">
                  <c:v>400_50</c:v>
                </c:pt>
                <c:pt idx="4">
                  <c:v>600_50</c:v>
                </c:pt>
                <c:pt idx="5">
                  <c:v>800_50</c:v>
                </c:pt>
                <c:pt idx="6">
                  <c:v>50_100</c:v>
                </c:pt>
                <c:pt idx="7">
                  <c:v>100_100</c:v>
                </c:pt>
                <c:pt idx="8">
                  <c:v>200_100</c:v>
                </c:pt>
                <c:pt idx="9">
                  <c:v>400_100</c:v>
                </c:pt>
                <c:pt idx="10">
                  <c:v>600_100</c:v>
                </c:pt>
                <c:pt idx="11">
                  <c:v>800_100</c:v>
                </c:pt>
                <c:pt idx="12">
                  <c:v>50_200</c:v>
                </c:pt>
                <c:pt idx="13">
                  <c:v>100_200</c:v>
                </c:pt>
                <c:pt idx="14">
                  <c:v>200_200</c:v>
                </c:pt>
                <c:pt idx="15">
                  <c:v>400_200</c:v>
                </c:pt>
                <c:pt idx="16">
                  <c:v>600_200</c:v>
                </c:pt>
                <c:pt idx="17">
                  <c:v>800_200</c:v>
                </c:pt>
                <c:pt idx="18">
                  <c:v>50_400</c:v>
                </c:pt>
                <c:pt idx="19">
                  <c:v>100_400</c:v>
                </c:pt>
                <c:pt idx="20">
                  <c:v>200_400</c:v>
                </c:pt>
                <c:pt idx="21">
                  <c:v>400_400</c:v>
                </c:pt>
                <c:pt idx="22">
                  <c:v>600_400</c:v>
                </c:pt>
                <c:pt idx="23">
                  <c:v>800_400</c:v>
                </c:pt>
                <c:pt idx="24">
                  <c:v>50_600</c:v>
                </c:pt>
                <c:pt idx="25">
                  <c:v>100_600</c:v>
                </c:pt>
                <c:pt idx="26">
                  <c:v>200_600</c:v>
                </c:pt>
                <c:pt idx="27">
                  <c:v>400_600</c:v>
                </c:pt>
                <c:pt idx="28">
                  <c:v>600_600</c:v>
                </c:pt>
                <c:pt idx="29">
                  <c:v>800_600</c:v>
                </c:pt>
                <c:pt idx="30">
                  <c:v>50_800</c:v>
                </c:pt>
                <c:pt idx="31">
                  <c:v>100_800</c:v>
                </c:pt>
                <c:pt idx="32">
                  <c:v>200_800</c:v>
                </c:pt>
                <c:pt idx="33">
                  <c:v>400_800</c:v>
                </c:pt>
                <c:pt idx="34">
                  <c:v>600_800</c:v>
                </c:pt>
                <c:pt idx="35">
                  <c:v>800_800</c:v>
                </c:pt>
              </c:strCache>
            </c:strRef>
          </c:cat>
          <c:val>
            <c:numRef>
              <c:f>matrix_data!$Q$2:$Q$37</c:f>
              <c:numCache>
                <c:formatCode>General</c:formatCode>
                <c:ptCount val="36"/>
                <c:pt idx="0">
                  <c:v>27.574999999999999</c:v>
                </c:pt>
                <c:pt idx="1">
                  <c:v>30.659999999999997</c:v>
                </c:pt>
                <c:pt idx="2">
                  <c:v>34.57</c:v>
                </c:pt>
                <c:pt idx="3">
                  <c:v>39.204999999999998</c:v>
                </c:pt>
                <c:pt idx="4">
                  <c:v>0</c:v>
                </c:pt>
                <c:pt idx="5">
                  <c:v>0</c:v>
                </c:pt>
                <c:pt idx="6">
                  <c:v>27.204999999999998</c:v>
                </c:pt>
                <c:pt idx="7">
                  <c:v>29.08</c:v>
                </c:pt>
                <c:pt idx="8">
                  <c:v>34.314999999999998</c:v>
                </c:pt>
                <c:pt idx="9">
                  <c:v>38.260000000000005</c:v>
                </c:pt>
                <c:pt idx="10">
                  <c:v>41.58</c:v>
                </c:pt>
                <c:pt idx="11">
                  <c:v>42.58</c:v>
                </c:pt>
                <c:pt idx="12">
                  <c:v>27.225000000000001</c:v>
                </c:pt>
                <c:pt idx="13">
                  <c:v>29.409999999999997</c:v>
                </c:pt>
                <c:pt idx="14">
                  <c:v>34.115000000000002</c:v>
                </c:pt>
                <c:pt idx="15">
                  <c:v>37.825000000000003</c:v>
                </c:pt>
                <c:pt idx="16">
                  <c:v>41.1</c:v>
                </c:pt>
                <c:pt idx="17">
                  <c:v>41.04</c:v>
                </c:pt>
                <c:pt idx="18">
                  <c:v>27.189999999999998</c:v>
                </c:pt>
                <c:pt idx="19">
                  <c:v>29.53</c:v>
                </c:pt>
                <c:pt idx="20">
                  <c:v>33.745000000000005</c:v>
                </c:pt>
                <c:pt idx="21">
                  <c:v>37.33</c:v>
                </c:pt>
                <c:pt idx="22">
                  <c:v>40.75</c:v>
                </c:pt>
                <c:pt idx="23">
                  <c:v>40.82</c:v>
                </c:pt>
                <c:pt idx="24">
                  <c:v>27.115000000000002</c:v>
                </c:pt>
                <c:pt idx="25">
                  <c:v>29.405000000000001</c:v>
                </c:pt>
                <c:pt idx="26">
                  <c:v>33.524999999999999</c:v>
                </c:pt>
                <c:pt idx="27">
                  <c:v>37.290000000000006</c:v>
                </c:pt>
                <c:pt idx="28">
                  <c:v>40.58</c:v>
                </c:pt>
                <c:pt idx="29">
                  <c:v>40.599999999999994</c:v>
                </c:pt>
                <c:pt idx="30">
                  <c:v>26.344999999999999</c:v>
                </c:pt>
                <c:pt idx="31">
                  <c:v>27.965</c:v>
                </c:pt>
                <c:pt idx="32">
                  <c:v>33.92</c:v>
                </c:pt>
                <c:pt idx="33">
                  <c:v>38.234999999999999</c:v>
                </c:pt>
                <c:pt idx="34">
                  <c:v>40.614999999999995</c:v>
                </c:pt>
                <c:pt idx="35">
                  <c:v>40.380000000000003</c:v>
                </c:pt>
              </c:numCache>
            </c:numRef>
          </c:val>
          <c:extLst>
            <c:ext xmlns:c16="http://schemas.microsoft.com/office/drawing/2014/chart" uri="{C3380CC4-5D6E-409C-BE32-E72D297353CC}">
              <c16:uniqueId val="{00000000-3DA9-481E-AE3E-9ACBD09A3136}"/>
            </c:ext>
          </c:extLst>
        </c:ser>
        <c:dLbls>
          <c:showLegendKey val="0"/>
          <c:showVal val="0"/>
          <c:showCatName val="0"/>
          <c:showSerName val="0"/>
          <c:showPercent val="0"/>
          <c:showBubbleSize val="0"/>
        </c:dLbls>
        <c:gapWidth val="219"/>
        <c:overlap val="-27"/>
        <c:axId val="1135481488"/>
        <c:axId val="1135491056"/>
      </c:barChart>
      <c:catAx>
        <c:axId val="113548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491056"/>
        <c:crosses val="autoZero"/>
        <c:auto val="1"/>
        <c:lblAlgn val="ctr"/>
        <c:lblOffset val="100"/>
        <c:noMultiLvlLbl val="0"/>
      </c:catAx>
      <c:valAx>
        <c:axId val="113549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481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Periodicity in Increasing [Rev] </a:t>
            </a:r>
            <a:endParaRPr lang="en-US">
              <a:effectLst/>
            </a:endParaRPr>
          </a:p>
          <a:p>
            <a:pPr>
              <a:defRPr/>
            </a:pPr>
            <a:r>
              <a:rPr lang="en-US" sz="1800" b="0" i="0" baseline="0">
                <a:effectLst/>
              </a:rPr>
              <a:t>([Fwd] Held Constant)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matrix_data!$X$1</c:f>
              <c:strCache>
                <c:ptCount val="1"/>
                <c:pt idx="0">
                  <c:v>Ct_mean</c:v>
                </c:pt>
              </c:strCache>
            </c:strRef>
          </c:tx>
          <c:spPr>
            <a:solidFill>
              <a:schemeClr val="accent1"/>
            </a:solidFill>
            <a:ln>
              <a:noFill/>
            </a:ln>
            <a:effectLst/>
          </c:spPr>
          <c:invertIfNegative val="0"/>
          <c:cat>
            <c:strRef>
              <c:f>matrix_data!$W$2:$W$37</c:f>
              <c:strCache>
                <c:ptCount val="36"/>
                <c:pt idx="0">
                  <c:v>50_50</c:v>
                </c:pt>
                <c:pt idx="1">
                  <c:v>50_100</c:v>
                </c:pt>
                <c:pt idx="2">
                  <c:v>50_200</c:v>
                </c:pt>
                <c:pt idx="3">
                  <c:v>50_400</c:v>
                </c:pt>
                <c:pt idx="4">
                  <c:v>50_600</c:v>
                </c:pt>
                <c:pt idx="5">
                  <c:v>50_800</c:v>
                </c:pt>
                <c:pt idx="6">
                  <c:v>100_50</c:v>
                </c:pt>
                <c:pt idx="7">
                  <c:v>100_100</c:v>
                </c:pt>
                <c:pt idx="8">
                  <c:v>100_200</c:v>
                </c:pt>
                <c:pt idx="9">
                  <c:v>100_400</c:v>
                </c:pt>
                <c:pt idx="10">
                  <c:v>100_600</c:v>
                </c:pt>
                <c:pt idx="11">
                  <c:v>100_800</c:v>
                </c:pt>
                <c:pt idx="12">
                  <c:v>200_50</c:v>
                </c:pt>
                <c:pt idx="13">
                  <c:v>200_100</c:v>
                </c:pt>
                <c:pt idx="14">
                  <c:v>200_200</c:v>
                </c:pt>
                <c:pt idx="15">
                  <c:v>200_400</c:v>
                </c:pt>
                <c:pt idx="16">
                  <c:v>200_600</c:v>
                </c:pt>
                <c:pt idx="17">
                  <c:v>200_800</c:v>
                </c:pt>
                <c:pt idx="18">
                  <c:v>400_50</c:v>
                </c:pt>
                <c:pt idx="19">
                  <c:v>400_100</c:v>
                </c:pt>
                <c:pt idx="20">
                  <c:v>400_200</c:v>
                </c:pt>
                <c:pt idx="21">
                  <c:v>400_400</c:v>
                </c:pt>
                <c:pt idx="22">
                  <c:v>400_600</c:v>
                </c:pt>
                <c:pt idx="23">
                  <c:v>400_800</c:v>
                </c:pt>
                <c:pt idx="24">
                  <c:v>600_50</c:v>
                </c:pt>
                <c:pt idx="25">
                  <c:v>600_100</c:v>
                </c:pt>
                <c:pt idx="26">
                  <c:v>600_200</c:v>
                </c:pt>
                <c:pt idx="27">
                  <c:v>600_400</c:v>
                </c:pt>
                <c:pt idx="28">
                  <c:v>600_600</c:v>
                </c:pt>
                <c:pt idx="29">
                  <c:v>600_800</c:v>
                </c:pt>
                <c:pt idx="30">
                  <c:v>800_50</c:v>
                </c:pt>
                <c:pt idx="31">
                  <c:v>800_100</c:v>
                </c:pt>
                <c:pt idx="32">
                  <c:v>800_200</c:v>
                </c:pt>
                <c:pt idx="33">
                  <c:v>800_400</c:v>
                </c:pt>
                <c:pt idx="34">
                  <c:v>800_600</c:v>
                </c:pt>
                <c:pt idx="35">
                  <c:v>800_800</c:v>
                </c:pt>
              </c:strCache>
            </c:strRef>
          </c:cat>
          <c:val>
            <c:numRef>
              <c:f>matrix_data!$X$2:$X$37</c:f>
              <c:numCache>
                <c:formatCode>General</c:formatCode>
                <c:ptCount val="36"/>
                <c:pt idx="0">
                  <c:v>27.574999999999999</c:v>
                </c:pt>
                <c:pt idx="1">
                  <c:v>27.204999999999998</c:v>
                </c:pt>
                <c:pt idx="2">
                  <c:v>27.225000000000001</c:v>
                </c:pt>
                <c:pt idx="3">
                  <c:v>27.189999999999998</c:v>
                </c:pt>
                <c:pt idx="4">
                  <c:v>27.115000000000002</c:v>
                </c:pt>
                <c:pt idx="5">
                  <c:v>26.344999999999999</c:v>
                </c:pt>
                <c:pt idx="6">
                  <c:v>30.659999999999997</c:v>
                </c:pt>
                <c:pt idx="7">
                  <c:v>29.08</c:v>
                </c:pt>
                <c:pt idx="8">
                  <c:v>29.409999999999997</c:v>
                </c:pt>
                <c:pt idx="9">
                  <c:v>29.53</c:v>
                </c:pt>
                <c:pt idx="10">
                  <c:v>29.405000000000001</c:v>
                </c:pt>
                <c:pt idx="11">
                  <c:v>27.965</c:v>
                </c:pt>
                <c:pt idx="12">
                  <c:v>34.57</c:v>
                </c:pt>
                <c:pt idx="13">
                  <c:v>34.314999999999998</c:v>
                </c:pt>
                <c:pt idx="14">
                  <c:v>34.115000000000002</c:v>
                </c:pt>
                <c:pt idx="15">
                  <c:v>33.745000000000005</c:v>
                </c:pt>
                <c:pt idx="16">
                  <c:v>33.524999999999999</c:v>
                </c:pt>
                <c:pt idx="17">
                  <c:v>33.92</c:v>
                </c:pt>
                <c:pt idx="18">
                  <c:v>39.204999999999998</c:v>
                </c:pt>
                <c:pt idx="19">
                  <c:v>38.260000000000005</c:v>
                </c:pt>
                <c:pt idx="20">
                  <c:v>37.825000000000003</c:v>
                </c:pt>
                <c:pt idx="21">
                  <c:v>37.33</c:v>
                </c:pt>
                <c:pt idx="22">
                  <c:v>37.290000000000006</c:v>
                </c:pt>
                <c:pt idx="23">
                  <c:v>38.234999999999999</c:v>
                </c:pt>
                <c:pt idx="24">
                  <c:v>0</c:v>
                </c:pt>
                <c:pt idx="25">
                  <c:v>41.58</c:v>
                </c:pt>
                <c:pt idx="26">
                  <c:v>41.1</c:v>
                </c:pt>
                <c:pt idx="27">
                  <c:v>40.75</c:v>
                </c:pt>
                <c:pt idx="28">
                  <c:v>40.58</c:v>
                </c:pt>
                <c:pt idx="29">
                  <c:v>40.614999999999995</c:v>
                </c:pt>
                <c:pt idx="30">
                  <c:v>0</c:v>
                </c:pt>
                <c:pt idx="31">
                  <c:v>42.58</c:v>
                </c:pt>
                <c:pt idx="32">
                  <c:v>41.04</c:v>
                </c:pt>
                <c:pt idx="33">
                  <c:v>40.82</c:v>
                </c:pt>
                <c:pt idx="34">
                  <c:v>40.599999999999994</c:v>
                </c:pt>
                <c:pt idx="35">
                  <c:v>40.380000000000003</c:v>
                </c:pt>
              </c:numCache>
            </c:numRef>
          </c:val>
          <c:extLst>
            <c:ext xmlns:c16="http://schemas.microsoft.com/office/drawing/2014/chart" uri="{C3380CC4-5D6E-409C-BE32-E72D297353CC}">
              <c16:uniqueId val="{00000000-82CE-4E51-BEA5-9E600CC95A19}"/>
            </c:ext>
          </c:extLst>
        </c:ser>
        <c:dLbls>
          <c:showLegendKey val="0"/>
          <c:showVal val="0"/>
          <c:showCatName val="0"/>
          <c:showSerName val="0"/>
          <c:showPercent val="0"/>
          <c:showBubbleSize val="0"/>
        </c:dLbls>
        <c:gapWidth val="219"/>
        <c:overlap val="-27"/>
        <c:axId val="1222818416"/>
        <c:axId val="1222824656"/>
      </c:barChart>
      <c:catAx>
        <c:axId val="122281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824656"/>
        <c:crosses val="autoZero"/>
        <c:auto val="1"/>
        <c:lblAlgn val="ctr"/>
        <c:lblOffset val="100"/>
        <c:noMultiLvlLbl val="0"/>
      </c:catAx>
      <c:valAx>
        <c:axId val="122282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818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IAC</a:t>
            </a:r>
            <a:r>
              <a:rPr lang="en-US" baseline="0"/>
              <a:t> Standard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matrix_data!$Y$60</c:f>
              <c:strCache>
                <c:ptCount val="1"/>
                <c:pt idx="0">
                  <c:v>Cq_mean</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1825514871015864"/>
                  <c:y val="0.3035064887722367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matrix_data!$X$62:$X$67</c:f>
              <c:numCache>
                <c:formatCode>General</c:formatCode>
                <c:ptCount val="6"/>
                <c:pt idx="0">
                  <c:v>11.080770746840722</c:v>
                </c:pt>
                <c:pt idx="1">
                  <c:v>10.080770746840722</c:v>
                </c:pt>
                <c:pt idx="2">
                  <c:v>9.7797407511767407</c:v>
                </c:pt>
                <c:pt idx="3">
                  <c:v>9.4787107555127594</c:v>
                </c:pt>
                <c:pt idx="4">
                  <c:v>9.1776807598487782</c:v>
                </c:pt>
                <c:pt idx="5">
                  <c:v>9.0807707468407219</c:v>
                </c:pt>
              </c:numCache>
            </c:numRef>
          </c:xVal>
          <c:yVal>
            <c:numRef>
              <c:f>matrix_data!$Y$62:$Y$67</c:f>
              <c:numCache>
                <c:formatCode>General</c:formatCode>
                <c:ptCount val="6"/>
                <c:pt idx="0">
                  <c:v>33.226666666666667</c:v>
                </c:pt>
                <c:pt idx="1">
                  <c:v>38.25</c:v>
                </c:pt>
                <c:pt idx="2">
                  <c:v>39.47</c:v>
                </c:pt>
                <c:pt idx="3">
                  <c:v>40.526666666666664</c:v>
                </c:pt>
                <c:pt idx="4">
                  <c:v>41.023333333333341</c:v>
                </c:pt>
                <c:pt idx="5">
                  <c:v>43.52</c:v>
                </c:pt>
              </c:numCache>
            </c:numRef>
          </c:yVal>
          <c:smooth val="0"/>
          <c:extLst>
            <c:ext xmlns:c16="http://schemas.microsoft.com/office/drawing/2014/chart" uri="{C3380CC4-5D6E-409C-BE32-E72D297353CC}">
              <c16:uniqueId val="{00000000-19D3-48CB-95E0-88C9BB8B96EB}"/>
            </c:ext>
          </c:extLst>
        </c:ser>
        <c:dLbls>
          <c:showLegendKey val="0"/>
          <c:showVal val="0"/>
          <c:showCatName val="0"/>
          <c:showSerName val="0"/>
          <c:showPercent val="0"/>
          <c:showBubbleSize val="0"/>
        </c:dLbls>
        <c:axId val="657442480"/>
        <c:axId val="657441648"/>
      </c:scatterChart>
      <c:valAx>
        <c:axId val="657442480"/>
        <c:scaling>
          <c:orientation val="minMax"/>
          <c:min val="9"/>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 (Copy#)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441648"/>
        <c:crosses val="autoZero"/>
        <c:crossBetween val="midCat"/>
      </c:valAx>
      <c:valAx>
        <c:axId val="65744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442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Probe Held Constant, F-R Varied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probe_data!$S$1</c:f>
              <c:strCache>
                <c:ptCount val="1"/>
                <c:pt idx="0">
                  <c:v>Ct_mean</c:v>
                </c:pt>
              </c:strCache>
            </c:strRef>
          </c:tx>
          <c:spPr>
            <a:solidFill>
              <a:schemeClr val="accent1"/>
            </a:solidFill>
            <a:ln>
              <a:noFill/>
            </a:ln>
            <a:effectLst/>
          </c:spPr>
          <c:invertIfNegative val="0"/>
          <c:cat>
            <c:strRef>
              <c:f>probe_data!$R$2:$R$19</c:f>
              <c:strCache>
                <c:ptCount val="18"/>
                <c:pt idx="0">
                  <c:v>200_200_50</c:v>
                </c:pt>
                <c:pt idx="1">
                  <c:v>100_100_50</c:v>
                </c:pt>
                <c:pt idx="2">
                  <c:v>50_50_50</c:v>
                </c:pt>
                <c:pt idx="3">
                  <c:v>200_200_100</c:v>
                </c:pt>
                <c:pt idx="4">
                  <c:v>100_100_100</c:v>
                </c:pt>
                <c:pt idx="5">
                  <c:v>50_50_100</c:v>
                </c:pt>
                <c:pt idx="6">
                  <c:v>200_200_200</c:v>
                </c:pt>
                <c:pt idx="7">
                  <c:v>100_100_200</c:v>
                </c:pt>
                <c:pt idx="8">
                  <c:v>50_50_200</c:v>
                </c:pt>
                <c:pt idx="9">
                  <c:v>200_200_400</c:v>
                </c:pt>
                <c:pt idx="10">
                  <c:v>100_100_400</c:v>
                </c:pt>
                <c:pt idx="11">
                  <c:v>50_50_400</c:v>
                </c:pt>
                <c:pt idx="12">
                  <c:v>200_200_600</c:v>
                </c:pt>
                <c:pt idx="13">
                  <c:v>100_100_600</c:v>
                </c:pt>
                <c:pt idx="14">
                  <c:v>50_50_600</c:v>
                </c:pt>
                <c:pt idx="15">
                  <c:v>200_200_800</c:v>
                </c:pt>
                <c:pt idx="16">
                  <c:v>100_100_800</c:v>
                </c:pt>
                <c:pt idx="17">
                  <c:v>50_50_800</c:v>
                </c:pt>
              </c:strCache>
            </c:strRef>
          </c:cat>
          <c:val>
            <c:numRef>
              <c:f>probe_data!$S$2:$S$19</c:f>
              <c:numCache>
                <c:formatCode>General</c:formatCode>
                <c:ptCount val="18"/>
                <c:pt idx="0">
                  <c:v>35.594999999999999</c:v>
                </c:pt>
                <c:pt idx="1">
                  <c:v>33.607499999999995</c:v>
                </c:pt>
                <c:pt idx="2">
                  <c:v>30.14</c:v>
                </c:pt>
                <c:pt idx="3">
                  <c:v>34.770000000000003</c:v>
                </c:pt>
                <c:pt idx="4">
                  <c:v>32.842500000000001</c:v>
                </c:pt>
                <c:pt idx="5">
                  <c:v>29.572499999999998</c:v>
                </c:pt>
                <c:pt idx="6">
                  <c:v>34.152500000000003</c:v>
                </c:pt>
                <c:pt idx="7">
                  <c:v>32.15</c:v>
                </c:pt>
                <c:pt idx="8">
                  <c:v>28.842499999999998</c:v>
                </c:pt>
                <c:pt idx="9">
                  <c:v>34.082500000000003</c:v>
                </c:pt>
                <c:pt idx="10">
                  <c:v>32.46</c:v>
                </c:pt>
                <c:pt idx="11">
                  <c:v>28.587499999999999</c:v>
                </c:pt>
                <c:pt idx="12">
                  <c:v>34.155000000000001</c:v>
                </c:pt>
                <c:pt idx="13">
                  <c:v>32.527500000000003</c:v>
                </c:pt>
                <c:pt idx="14">
                  <c:v>29.145</c:v>
                </c:pt>
                <c:pt idx="15">
                  <c:v>33.9375</c:v>
                </c:pt>
                <c:pt idx="16">
                  <c:v>32.76</c:v>
                </c:pt>
                <c:pt idx="17">
                  <c:v>30.212500000000002</c:v>
                </c:pt>
              </c:numCache>
            </c:numRef>
          </c:val>
          <c:extLst>
            <c:ext xmlns:c16="http://schemas.microsoft.com/office/drawing/2014/chart" uri="{C3380CC4-5D6E-409C-BE32-E72D297353CC}">
              <c16:uniqueId val="{00000000-7006-463C-B8D9-C7BD102C5867}"/>
            </c:ext>
          </c:extLst>
        </c:ser>
        <c:dLbls>
          <c:showLegendKey val="0"/>
          <c:showVal val="0"/>
          <c:showCatName val="0"/>
          <c:showSerName val="0"/>
          <c:showPercent val="0"/>
          <c:showBubbleSize val="0"/>
        </c:dLbls>
        <c:gapWidth val="219"/>
        <c:overlap val="-27"/>
        <c:axId val="1842993792"/>
        <c:axId val="1842972160"/>
      </c:barChart>
      <c:catAx>
        <c:axId val="184299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972160"/>
        <c:crosses val="autoZero"/>
        <c:auto val="1"/>
        <c:lblAlgn val="ctr"/>
        <c:lblOffset val="100"/>
        <c:noMultiLvlLbl val="0"/>
      </c:catAx>
      <c:valAx>
        <c:axId val="184297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99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F-R Held Constant, Probe Varied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probe_data!$Z$1</c:f>
              <c:strCache>
                <c:ptCount val="1"/>
                <c:pt idx="0">
                  <c:v>Ct_mean</c:v>
                </c:pt>
              </c:strCache>
            </c:strRef>
          </c:tx>
          <c:spPr>
            <a:solidFill>
              <a:schemeClr val="accent1"/>
            </a:solidFill>
            <a:ln>
              <a:noFill/>
            </a:ln>
            <a:effectLst/>
          </c:spPr>
          <c:invertIfNegative val="0"/>
          <c:cat>
            <c:strRef>
              <c:f>probe_data!$Y$2:$Y$19</c:f>
              <c:strCache>
                <c:ptCount val="18"/>
                <c:pt idx="0">
                  <c:v>50_50_50</c:v>
                </c:pt>
                <c:pt idx="1">
                  <c:v>50_50_100</c:v>
                </c:pt>
                <c:pt idx="2">
                  <c:v>50_50_200</c:v>
                </c:pt>
                <c:pt idx="3">
                  <c:v>50_50_400</c:v>
                </c:pt>
                <c:pt idx="4">
                  <c:v>50_50_600</c:v>
                </c:pt>
                <c:pt idx="5">
                  <c:v>50_50_800</c:v>
                </c:pt>
                <c:pt idx="6">
                  <c:v>100_100_50</c:v>
                </c:pt>
                <c:pt idx="7">
                  <c:v>100_100_100</c:v>
                </c:pt>
                <c:pt idx="8">
                  <c:v>100_100_200</c:v>
                </c:pt>
                <c:pt idx="9">
                  <c:v>100_100_400</c:v>
                </c:pt>
                <c:pt idx="10">
                  <c:v>100_100_600</c:v>
                </c:pt>
                <c:pt idx="11">
                  <c:v>100_100_800</c:v>
                </c:pt>
                <c:pt idx="12">
                  <c:v>200_200_50</c:v>
                </c:pt>
                <c:pt idx="13">
                  <c:v>200_200_100</c:v>
                </c:pt>
                <c:pt idx="14">
                  <c:v>200_200_200</c:v>
                </c:pt>
                <c:pt idx="15">
                  <c:v>200_200_400</c:v>
                </c:pt>
                <c:pt idx="16">
                  <c:v>200_200_600</c:v>
                </c:pt>
                <c:pt idx="17">
                  <c:v>200_200_800</c:v>
                </c:pt>
              </c:strCache>
            </c:strRef>
          </c:cat>
          <c:val>
            <c:numRef>
              <c:f>probe_data!$Z$2:$Z$19</c:f>
              <c:numCache>
                <c:formatCode>General</c:formatCode>
                <c:ptCount val="18"/>
                <c:pt idx="0">
                  <c:v>30.14</c:v>
                </c:pt>
                <c:pt idx="1">
                  <c:v>29.572499999999998</c:v>
                </c:pt>
                <c:pt idx="2">
                  <c:v>28.842499999999998</c:v>
                </c:pt>
                <c:pt idx="3">
                  <c:v>28.587499999999999</c:v>
                </c:pt>
                <c:pt idx="4">
                  <c:v>29.145</c:v>
                </c:pt>
                <c:pt idx="5">
                  <c:v>30.212500000000002</c:v>
                </c:pt>
                <c:pt idx="6">
                  <c:v>33.607499999999995</c:v>
                </c:pt>
                <c:pt idx="7">
                  <c:v>32.842500000000001</c:v>
                </c:pt>
                <c:pt idx="8">
                  <c:v>32.15</c:v>
                </c:pt>
                <c:pt idx="9">
                  <c:v>32.46</c:v>
                </c:pt>
                <c:pt idx="10">
                  <c:v>32.527500000000003</c:v>
                </c:pt>
                <c:pt idx="11">
                  <c:v>32.76</c:v>
                </c:pt>
                <c:pt idx="12">
                  <c:v>35.594999999999999</c:v>
                </c:pt>
                <c:pt idx="13">
                  <c:v>34.770000000000003</c:v>
                </c:pt>
                <c:pt idx="14">
                  <c:v>34.152500000000003</c:v>
                </c:pt>
                <c:pt idx="15">
                  <c:v>34.082500000000003</c:v>
                </c:pt>
                <c:pt idx="16">
                  <c:v>34.155000000000001</c:v>
                </c:pt>
                <c:pt idx="17">
                  <c:v>33.9375</c:v>
                </c:pt>
              </c:numCache>
            </c:numRef>
          </c:val>
          <c:extLst>
            <c:ext xmlns:c16="http://schemas.microsoft.com/office/drawing/2014/chart" uri="{C3380CC4-5D6E-409C-BE32-E72D297353CC}">
              <c16:uniqueId val="{00000000-EFA7-4214-B9DE-538FB9A45E16}"/>
            </c:ext>
          </c:extLst>
        </c:ser>
        <c:dLbls>
          <c:showLegendKey val="0"/>
          <c:showVal val="0"/>
          <c:showCatName val="0"/>
          <c:showSerName val="0"/>
          <c:showPercent val="0"/>
          <c:showBubbleSize val="0"/>
        </c:dLbls>
        <c:gapWidth val="219"/>
        <c:overlap val="-27"/>
        <c:axId val="1842984224"/>
        <c:axId val="1842983392"/>
      </c:barChart>
      <c:catAx>
        <c:axId val="184298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983392"/>
        <c:crosses val="autoZero"/>
        <c:auto val="1"/>
        <c:lblAlgn val="ctr"/>
        <c:lblOffset val="100"/>
        <c:noMultiLvlLbl val="0"/>
      </c:catAx>
      <c:valAx>
        <c:axId val="184298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98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IAC</a:t>
            </a:r>
            <a:r>
              <a:rPr lang="en-US" baseline="0"/>
              <a:t> Standard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probe_data!$Z$74</c:f>
              <c:strCache>
                <c:ptCount val="1"/>
                <c:pt idx="0">
                  <c:v>Cq_mean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194536307961505"/>
                  <c:y val="0.2889006487167087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probe_data!$Y$76:$Y$81</c:f>
              <c:numCache>
                <c:formatCode>General</c:formatCode>
                <c:ptCount val="6"/>
                <c:pt idx="0">
                  <c:v>11.080770746840722</c:v>
                </c:pt>
                <c:pt idx="1">
                  <c:v>10.080770746840722</c:v>
                </c:pt>
                <c:pt idx="2">
                  <c:v>9.7797407511767407</c:v>
                </c:pt>
                <c:pt idx="3">
                  <c:v>9.4787107555127594</c:v>
                </c:pt>
                <c:pt idx="4">
                  <c:v>9.1776807598487782</c:v>
                </c:pt>
                <c:pt idx="5">
                  <c:v>9.0807707468407219</c:v>
                </c:pt>
              </c:numCache>
            </c:numRef>
          </c:xVal>
          <c:yVal>
            <c:numRef>
              <c:f>probe_data!$Z$76:$Z$81</c:f>
              <c:numCache>
                <c:formatCode>General</c:formatCode>
                <c:ptCount val="6"/>
                <c:pt idx="0">
                  <c:v>30.180000000000003</c:v>
                </c:pt>
                <c:pt idx="1">
                  <c:v>34.713333333333331</c:v>
                </c:pt>
                <c:pt idx="2">
                  <c:v>39.160000000000004</c:v>
                </c:pt>
                <c:pt idx="3">
                  <c:v>40.580000000000005</c:v>
                </c:pt>
                <c:pt idx="4">
                  <c:v>41.513333333333328</c:v>
                </c:pt>
                <c:pt idx="5">
                  <c:v>42.5</c:v>
                </c:pt>
              </c:numCache>
            </c:numRef>
          </c:yVal>
          <c:smooth val="0"/>
          <c:extLst>
            <c:ext xmlns:c16="http://schemas.microsoft.com/office/drawing/2014/chart" uri="{C3380CC4-5D6E-409C-BE32-E72D297353CC}">
              <c16:uniqueId val="{00000001-3F63-47A5-B7BD-9CFC3F38F60B}"/>
            </c:ext>
          </c:extLst>
        </c:ser>
        <c:dLbls>
          <c:showLegendKey val="0"/>
          <c:showVal val="0"/>
          <c:showCatName val="0"/>
          <c:showSerName val="0"/>
          <c:showPercent val="0"/>
          <c:showBubbleSize val="0"/>
        </c:dLbls>
        <c:axId val="657442480"/>
        <c:axId val="657441648"/>
      </c:scatterChart>
      <c:valAx>
        <c:axId val="657442480"/>
        <c:scaling>
          <c:orientation val="minMax"/>
          <c:min val="9"/>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 (Copy#)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441648"/>
        <c:crosses val="autoZero"/>
        <c:crossBetween val="midCat"/>
      </c:valAx>
      <c:valAx>
        <c:axId val="65744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442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200"/>
              <a:t>Avg Cq from 11</a:t>
            </a:r>
            <a:r>
              <a:rPr lang="en-US" sz="1200" baseline="0"/>
              <a:t> Samples Created Using Standard and Optimal IAC F, R Primer, Probe Concentrations </a:t>
            </a:r>
          </a:p>
          <a:p>
            <a:pPr algn="ctr">
              <a:defRPr/>
            </a:pPr>
            <a:r>
              <a:rPr lang="en-US" sz="1200" baseline="0"/>
              <a:t>(STD:250, 250, 500nM vs OPT:50, 50, 400nM) </a:t>
            </a:r>
            <a:r>
              <a:rPr lang="en-US" sz="1400" b="0" i="0" u="none" strike="noStrike" baseline="0">
                <a:effectLst/>
              </a:rPr>
              <a:t>) and Leg pneumo Ctrl = ~1e6 copies/rxn </a:t>
            </a:r>
            <a:r>
              <a:rPr lang="en-US" sz="1200" baseline="0"/>
              <a:t> </a:t>
            </a:r>
            <a:endParaRPr lang="en-US" sz="1200"/>
          </a:p>
        </c:rich>
      </c:tx>
      <c:layout>
        <c:manualLayout>
          <c:xMode val="edge"/>
          <c:yMode val="edge"/>
          <c:x val="0.14090266841644794"/>
          <c:y val="9.2592592592592587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48381452318461"/>
          <c:y val="0.23125000000000004"/>
          <c:w val="0.74435914260717395"/>
          <c:h val="0.61410505978419361"/>
        </c:manualLayout>
      </c:layout>
      <c:scatterChart>
        <c:scatterStyle val="lineMarker"/>
        <c:varyColors val="0"/>
        <c:ser>
          <c:idx val="0"/>
          <c:order val="0"/>
          <c:tx>
            <c:v>STD</c:v>
          </c:tx>
          <c:spPr>
            <a:ln w="19050" cap="rnd">
              <a:noFill/>
              <a:round/>
            </a:ln>
            <a:effectLst/>
          </c:spPr>
          <c:marker>
            <c:symbol val="circle"/>
            <c:size val="5"/>
            <c:spPr>
              <a:solidFill>
                <a:schemeClr val="accent1"/>
              </a:solidFill>
              <a:ln w="9525">
                <a:solidFill>
                  <a:schemeClr val="accent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7-8826-4B43-B9D7-1D07CE8834E4}"/>
                </c:ext>
              </c:extLst>
            </c:dLbl>
            <c:dLbl>
              <c:idx val="1"/>
              <c:delete val="1"/>
              <c:extLst>
                <c:ext xmlns:c15="http://schemas.microsoft.com/office/drawing/2012/chart" uri="{CE6537A1-D6FC-4f65-9D91-7224C49458BB}"/>
                <c:ext xmlns:c16="http://schemas.microsoft.com/office/drawing/2014/chart" uri="{C3380CC4-5D6E-409C-BE32-E72D297353CC}">
                  <c16:uniqueId val="{00000008-8826-4B43-B9D7-1D07CE8834E4}"/>
                </c:ext>
              </c:extLst>
            </c:dLbl>
            <c:dLbl>
              <c:idx val="2"/>
              <c:delete val="1"/>
              <c:extLst>
                <c:ext xmlns:c15="http://schemas.microsoft.com/office/drawing/2012/chart" uri="{CE6537A1-D6FC-4f65-9D91-7224C49458BB}"/>
                <c:ext xmlns:c16="http://schemas.microsoft.com/office/drawing/2014/chart" uri="{C3380CC4-5D6E-409C-BE32-E72D297353CC}">
                  <c16:uniqueId val="{00000009-8826-4B43-B9D7-1D07CE8834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cust"/>
            <c:noEndCap val="0"/>
            <c:plus>
              <c:numRef>
                <c:f>HI_std_vs_opt!$AC$2:$AC$4</c:f>
                <c:numCache>
                  <c:formatCode>General</c:formatCode>
                  <c:ptCount val="3"/>
                  <c:pt idx="0">
                    <c:v>0.23054086602832791</c:v>
                  </c:pt>
                  <c:pt idx="1">
                    <c:v>0.6097212477845938</c:v>
                  </c:pt>
                  <c:pt idx="2">
                    <c:v>1.1155467020454355</c:v>
                  </c:pt>
                </c:numCache>
              </c:numRef>
            </c:plus>
            <c:minus>
              <c:numRef>
                <c:f>HI_std_vs_opt!$AC$2:$AC$4</c:f>
                <c:numCache>
                  <c:formatCode>General</c:formatCode>
                  <c:ptCount val="3"/>
                  <c:pt idx="0">
                    <c:v>0.23054086602832791</c:v>
                  </c:pt>
                  <c:pt idx="1">
                    <c:v>0.6097212477845938</c:v>
                  </c:pt>
                  <c:pt idx="2">
                    <c:v>1.1155467020454355</c:v>
                  </c:pt>
                </c:numCache>
              </c:numRef>
            </c:minus>
            <c:spPr>
              <a:noFill/>
              <a:ln w="9525" cap="flat" cmpd="sng" algn="ctr">
                <a:solidFill>
                  <a:schemeClr val="tx1">
                    <a:lumMod val="65000"/>
                    <a:lumOff val="35000"/>
                  </a:schemeClr>
                </a:solidFill>
                <a:round/>
              </a:ln>
              <a:effectLst/>
            </c:spPr>
          </c:errBars>
          <c:xVal>
            <c:numRef>
              <c:f>HI_std_vs_opt!$Z$2:$Z$5</c:f>
              <c:numCache>
                <c:formatCode>General</c:formatCode>
                <c:ptCount val="4"/>
                <c:pt idx="0">
                  <c:v>11.080770746840722</c:v>
                </c:pt>
                <c:pt idx="1">
                  <c:v>10.080770746840722</c:v>
                </c:pt>
                <c:pt idx="2">
                  <c:v>9.7797407511767407</c:v>
                </c:pt>
                <c:pt idx="3">
                  <c:v>9.4787107555127594</c:v>
                </c:pt>
              </c:numCache>
            </c:numRef>
          </c:xVal>
          <c:yVal>
            <c:numRef>
              <c:f>HI_std_vs_opt!$AA$2:$AA$5</c:f>
              <c:numCache>
                <c:formatCode>0.00</c:formatCode>
                <c:ptCount val="4"/>
                <c:pt idx="0">
                  <c:v>33.06454545454546</c:v>
                </c:pt>
                <c:pt idx="1">
                  <c:v>37.22</c:v>
                </c:pt>
                <c:pt idx="2">
                  <c:v>39.158888888888889</c:v>
                </c:pt>
              </c:numCache>
            </c:numRef>
          </c:yVal>
          <c:smooth val="0"/>
          <c:extLst>
            <c:ext xmlns:c16="http://schemas.microsoft.com/office/drawing/2014/chart" uri="{C3380CC4-5D6E-409C-BE32-E72D297353CC}">
              <c16:uniqueId val="{00000000-8826-4B43-B9D7-1D07CE8834E4}"/>
            </c:ext>
          </c:extLst>
        </c:ser>
        <c:ser>
          <c:idx val="1"/>
          <c:order val="1"/>
          <c:tx>
            <c:v>OPT</c:v>
          </c:tx>
          <c:spPr>
            <a:ln w="25400" cap="rnd">
              <a:noFill/>
              <a:round/>
            </a:ln>
            <a:effectLst/>
          </c:spPr>
          <c:marker>
            <c:symbol val="circle"/>
            <c:size val="5"/>
            <c:spPr>
              <a:solidFill>
                <a:schemeClr val="accent2"/>
              </a:solidFill>
              <a:ln w="9525">
                <a:solidFill>
                  <a:schemeClr val="accent2"/>
                </a:solidFill>
              </a:ln>
              <a:effectLst/>
            </c:spPr>
          </c:marker>
          <c:dLbls>
            <c:dLbl>
              <c:idx val="0"/>
              <c:tx>
                <c:rich>
                  <a:bodyPr/>
                  <a:lstStyle/>
                  <a:p>
                    <a:fld id="{EBD9F4B9-8FBA-417A-911D-F8E0CBE70875}"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826-4B43-B9D7-1D07CE8834E4}"/>
                </c:ext>
              </c:extLst>
            </c:dLbl>
            <c:dLbl>
              <c:idx val="1"/>
              <c:tx>
                <c:rich>
                  <a:bodyPr/>
                  <a:lstStyle/>
                  <a:p>
                    <a:fld id="{EF8EFE0F-2C1F-4C23-BCFB-78D6CC335EFC}"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826-4B43-B9D7-1D07CE8834E4}"/>
                </c:ext>
              </c:extLst>
            </c:dLbl>
            <c:dLbl>
              <c:idx val="2"/>
              <c:tx>
                <c:rich>
                  <a:bodyPr/>
                  <a:lstStyle/>
                  <a:p>
                    <a:fld id="{58456771-C6D5-470A-A1B4-CDDB52A2E81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826-4B43-B9D7-1D07CE8834E4}"/>
                </c:ext>
              </c:extLst>
            </c:dLbl>
            <c:dLbl>
              <c:idx val="3"/>
              <c:tx>
                <c:rich>
                  <a:bodyPr/>
                  <a:lstStyle/>
                  <a:p>
                    <a:fld id="{24926908-365E-4796-A9B1-8FECA80DC52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826-4B43-B9D7-1D07CE8834E4}"/>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errBars>
            <c:errDir val="y"/>
            <c:errBarType val="both"/>
            <c:errValType val="cust"/>
            <c:noEndCap val="0"/>
            <c:plus>
              <c:numRef>
                <c:f>HI_std_vs_opt!$AF$2:$AF$5</c:f>
                <c:numCache>
                  <c:formatCode>General</c:formatCode>
                  <c:ptCount val="4"/>
                  <c:pt idx="0">
                    <c:v>0.18052448839171584</c:v>
                  </c:pt>
                  <c:pt idx="1">
                    <c:v>0.78481034188348564</c:v>
                  </c:pt>
                  <c:pt idx="2">
                    <c:v>0.48598540943306034</c:v>
                  </c:pt>
                  <c:pt idx="3">
                    <c:v>1.8804486892035301</c:v>
                  </c:pt>
                </c:numCache>
              </c:numRef>
            </c:plus>
            <c:minus>
              <c:numRef>
                <c:f>HI_std_vs_opt!$AF$2:$AF$5</c:f>
                <c:numCache>
                  <c:formatCode>General</c:formatCode>
                  <c:ptCount val="4"/>
                  <c:pt idx="0">
                    <c:v>0.18052448839171584</c:v>
                  </c:pt>
                  <c:pt idx="1">
                    <c:v>0.78481034188348564</c:v>
                  </c:pt>
                  <c:pt idx="2">
                    <c:v>0.48598540943306034</c:v>
                  </c:pt>
                  <c:pt idx="3">
                    <c:v>1.8804486892035301</c:v>
                  </c:pt>
                </c:numCache>
              </c:numRef>
            </c:minus>
            <c:spPr>
              <a:noFill/>
              <a:ln w="9525" cap="flat" cmpd="sng" algn="ctr">
                <a:solidFill>
                  <a:schemeClr val="tx1">
                    <a:lumMod val="65000"/>
                    <a:lumOff val="35000"/>
                  </a:schemeClr>
                </a:solidFill>
                <a:round/>
              </a:ln>
              <a:effectLst/>
            </c:spPr>
          </c:errBars>
          <c:xVal>
            <c:numRef>
              <c:f>HI_std_vs_opt!$Z$2:$Z$5</c:f>
              <c:numCache>
                <c:formatCode>General</c:formatCode>
                <c:ptCount val="4"/>
                <c:pt idx="0">
                  <c:v>11.080770746840722</c:v>
                </c:pt>
                <c:pt idx="1">
                  <c:v>10.080770746840722</c:v>
                </c:pt>
                <c:pt idx="2">
                  <c:v>9.7797407511767407</c:v>
                </c:pt>
                <c:pt idx="3">
                  <c:v>9.4787107555127594</c:v>
                </c:pt>
              </c:numCache>
            </c:numRef>
          </c:xVal>
          <c:yVal>
            <c:numRef>
              <c:f>HI_std_vs_opt!$AD$2:$AD$5</c:f>
              <c:numCache>
                <c:formatCode>0.00</c:formatCode>
                <c:ptCount val="4"/>
                <c:pt idx="0">
                  <c:v>24.914545454545454</c:v>
                </c:pt>
                <c:pt idx="1">
                  <c:v>29.482727272727274</c:v>
                </c:pt>
                <c:pt idx="2">
                  <c:v>31.443636363636358</c:v>
                </c:pt>
                <c:pt idx="3">
                  <c:v>35.337272727272726</c:v>
                </c:pt>
              </c:numCache>
            </c:numRef>
          </c:yVal>
          <c:smooth val="0"/>
          <c:extLst>
            <c:ext xmlns:c15="http://schemas.microsoft.com/office/drawing/2012/chart" uri="{02D57815-91ED-43cb-92C2-25804820EDAC}">
              <c15:datalabelsRange>
                <c15:f>HI_std_vs_opt!$Y$2:$Y$5</c15:f>
                <c15:dlblRangeCache>
                  <c:ptCount val="4"/>
                  <c:pt idx="0">
                    <c:v>1.20E+11</c:v>
                  </c:pt>
                  <c:pt idx="1">
                    <c:v>1.20E+10</c:v>
                  </c:pt>
                  <c:pt idx="2">
                    <c:v>6.02E+09</c:v>
                  </c:pt>
                  <c:pt idx="3">
                    <c:v>3.01E+09</c:v>
                  </c:pt>
                </c15:dlblRangeCache>
              </c15:datalabelsRange>
            </c:ext>
            <c:ext xmlns:c16="http://schemas.microsoft.com/office/drawing/2014/chart" uri="{C3380CC4-5D6E-409C-BE32-E72D297353CC}">
              <c16:uniqueId val="{00000002-8826-4B43-B9D7-1D07CE8834E4}"/>
            </c:ext>
          </c:extLst>
        </c:ser>
        <c:dLbls>
          <c:dLblPos val="b"/>
          <c:showLegendKey val="0"/>
          <c:showVal val="1"/>
          <c:showCatName val="0"/>
          <c:showSerName val="0"/>
          <c:showPercent val="0"/>
          <c:showBubbleSize val="0"/>
        </c:dLbls>
        <c:axId val="1290476335"/>
        <c:axId val="1290475503"/>
      </c:scatterChart>
      <c:valAx>
        <c:axId val="12904763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Log(Copy Number/ul)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75503"/>
        <c:crosses val="autoZero"/>
        <c:crossBetween val="midCat"/>
      </c:valAx>
      <c:valAx>
        <c:axId val="1290475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76335"/>
        <c:crosses val="autoZero"/>
        <c:crossBetween val="midCat"/>
      </c:valAx>
      <c:spPr>
        <a:noFill/>
        <a:ln>
          <a:noFill/>
        </a:ln>
        <a:effectLst/>
      </c:spPr>
    </c:plotArea>
    <c:legend>
      <c:legendPos val="r"/>
      <c:layout>
        <c:manualLayout>
          <c:xMode val="edge"/>
          <c:yMode val="edge"/>
          <c:x val="0.8892178477690289"/>
          <c:y val="0.23425853018372703"/>
          <c:w val="6.1667530943359319E-2"/>
          <c:h val="0.11016780344222339"/>
        </c:manualLayout>
      </c:layout>
      <c:overlay val="0"/>
      <c:spPr>
        <a:noFill/>
        <a:ln>
          <a:solidFill>
            <a:schemeClr val="accen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horizontalDpi="300" verticalDpi="30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Cq Values for </a:t>
            </a:r>
            <a:r>
              <a:rPr lang="en-US" i="1" baseline="0"/>
              <a:t>Legionella pneumophila (</a:t>
            </a:r>
            <a:r>
              <a:rPr lang="en-US" sz="1400" b="0" i="0" u="none" strike="noStrike" baseline="0">
                <a:effectLst/>
              </a:rPr>
              <a:t>1.2x10</a:t>
            </a:r>
            <a:r>
              <a:rPr lang="en-US" sz="1400" b="0" i="0" u="none" strike="noStrike" baseline="30000">
                <a:effectLst/>
              </a:rPr>
              <a:t>6</a:t>
            </a:r>
            <a:r>
              <a:rPr lang="en-US" sz="1400" b="0" i="0" u="none" strike="noStrike" baseline="0">
                <a:effectLst/>
              </a:rPr>
              <a:t> copies/ul)</a:t>
            </a:r>
            <a:r>
              <a:rPr lang="en-US" baseline="0"/>
              <a:t> in STD or OPT Mixes when IAC Held Constant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STD</c:v>
          </c:tx>
          <c:spPr>
            <a:solidFill>
              <a:schemeClr val="accent1"/>
            </a:solidFill>
            <a:ln>
              <a:noFill/>
            </a:ln>
            <a:effectLst/>
          </c:spPr>
          <c:invertIfNegative val="0"/>
          <c:errBars>
            <c:errBarType val="both"/>
            <c:errValType val="cust"/>
            <c:noEndCap val="0"/>
            <c:plus>
              <c:numRef>
                <c:f>HI_std_vs_opt!$X$34:$X$39</c:f>
                <c:numCache>
                  <c:formatCode>General</c:formatCode>
                  <c:ptCount val="6"/>
                  <c:pt idx="0">
                    <c:v>1.919215748921703</c:v>
                  </c:pt>
                  <c:pt idx="1">
                    <c:v>3.1029381970231782</c:v>
                  </c:pt>
                  <c:pt idx="2">
                    <c:v>2.2605389542399763</c:v>
                  </c:pt>
                  <c:pt idx="3">
                    <c:v>1.7474573736510066</c:v>
                  </c:pt>
                  <c:pt idx="4">
                    <c:v>1.702141966090746</c:v>
                  </c:pt>
                  <c:pt idx="5">
                    <c:v>2.1582821451751433</c:v>
                  </c:pt>
                </c:numCache>
              </c:numRef>
            </c:plus>
            <c:minus>
              <c:numRef>
                <c:f>HI_std_vs_opt!$X$34:$X$39</c:f>
                <c:numCache>
                  <c:formatCode>General</c:formatCode>
                  <c:ptCount val="6"/>
                  <c:pt idx="0">
                    <c:v>1.919215748921703</c:v>
                  </c:pt>
                  <c:pt idx="1">
                    <c:v>3.1029381970231782</c:v>
                  </c:pt>
                  <c:pt idx="2">
                    <c:v>2.2605389542399763</c:v>
                  </c:pt>
                  <c:pt idx="3">
                    <c:v>1.7474573736510066</c:v>
                  </c:pt>
                  <c:pt idx="4">
                    <c:v>1.702141966090746</c:v>
                  </c:pt>
                  <c:pt idx="5">
                    <c:v>2.1582821451751433</c:v>
                  </c:pt>
                </c:numCache>
              </c:numRef>
            </c:minus>
            <c:spPr>
              <a:noFill/>
              <a:ln w="9525" cap="flat" cmpd="sng" algn="ctr">
                <a:solidFill>
                  <a:schemeClr val="tx1">
                    <a:lumMod val="65000"/>
                    <a:lumOff val="35000"/>
                  </a:schemeClr>
                </a:solidFill>
                <a:round/>
              </a:ln>
              <a:effectLst/>
            </c:spPr>
          </c:errBars>
          <c:cat>
            <c:numRef>
              <c:f>HI_std_vs_opt!$T$34:$T$39</c:f>
              <c:numCache>
                <c:formatCode>0.00E+00</c:formatCode>
                <c:ptCount val="6"/>
                <c:pt idx="0">
                  <c:v>120440000000.00002</c:v>
                </c:pt>
                <c:pt idx="1">
                  <c:v>12044000000.000002</c:v>
                </c:pt>
                <c:pt idx="2">
                  <c:v>6022000000.000001</c:v>
                </c:pt>
                <c:pt idx="3">
                  <c:v>3011000000.0000005</c:v>
                </c:pt>
                <c:pt idx="4">
                  <c:v>1204400000.0000002</c:v>
                </c:pt>
                <c:pt idx="5">
                  <c:v>602200000.00000012</c:v>
                </c:pt>
              </c:numCache>
            </c:numRef>
          </c:cat>
          <c:val>
            <c:numRef>
              <c:f>HI_std_vs_opt!$V$34:$V$39</c:f>
              <c:numCache>
                <c:formatCode>General</c:formatCode>
                <c:ptCount val="6"/>
                <c:pt idx="0">
                  <c:v>31.544545454545457</c:v>
                </c:pt>
                <c:pt idx="1">
                  <c:v>34.018181818181823</c:v>
                </c:pt>
                <c:pt idx="2">
                  <c:v>34.040909090909089</c:v>
                </c:pt>
                <c:pt idx="3">
                  <c:v>33.417272727272724</c:v>
                </c:pt>
                <c:pt idx="4">
                  <c:v>33.227272727272734</c:v>
                </c:pt>
                <c:pt idx="5">
                  <c:v>33.116363636363637</c:v>
                </c:pt>
              </c:numCache>
            </c:numRef>
          </c:val>
          <c:extLst>
            <c:ext xmlns:c16="http://schemas.microsoft.com/office/drawing/2014/chart" uri="{C3380CC4-5D6E-409C-BE32-E72D297353CC}">
              <c16:uniqueId val="{00000000-37E7-470B-B54F-AF53922DB6F5}"/>
            </c:ext>
          </c:extLst>
        </c:ser>
        <c:ser>
          <c:idx val="1"/>
          <c:order val="1"/>
          <c:tx>
            <c:v>OPT</c:v>
          </c:tx>
          <c:spPr>
            <a:solidFill>
              <a:schemeClr val="accent2"/>
            </a:solidFill>
            <a:ln>
              <a:noFill/>
            </a:ln>
            <a:effectLst/>
          </c:spPr>
          <c:invertIfNegative val="0"/>
          <c:errBars>
            <c:errBarType val="both"/>
            <c:errValType val="cust"/>
            <c:noEndCap val="0"/>
            <c:plus>
              <c:numRef>
                <c:f>HI_std_vs_opt!$AA$34:$AA$39</c:f>
                <c:numCache>
                  <c:formatCode>General</c:formatCode>
                  <c:ptCount val="6"/>
                  <c:pt idx="0">
                    <c:v>0.38319233243420225</c:v>
                  </c:pt>
                  <c:pt idx="1">
                    <c:v>0.73611263960199735</c:v>
                  </c:pt>
                  <c:pt idx="2">
                    <c:v>0.30894542030474087</c:v>
                  </c:pt>
                  <c:pt idx="3">
                    <c:v>0.43710618639161158</c:v>
                  </c:pt>
                  <c:pt idx="4">
                    <c:v>0.27309671946367015</c:v>
                  </c:pt>
                  <c:pt idx="5">
                    <c:v>0.30349479552224801</c:v>
                  </c:pt>
                </c:numCache>
              </c:numRef>
            </c:plus>
            <c:minus>
              <c:numRef>
                <c:f>HI_std_vs_opt!$AA$34:$AA$39</c:f>
                <c:numCache>
                  <c:formatCode>General</c:formatCode>
                  <c:ptCount val="6"/>
                  <c:pt idx="0">
                    <c:v>0.38319233243420225</c:v>
                  </c:pt>
                  <c:pt idx="1">
                    <c:v>0.73611263960199735</c:v>
                  </c:pt>
                  <c:pt idx="2">
                    <c:v>0.30894542030474087</c:v>
                  </c:pt>
                  <c:pt idx="3">
                    <c:v>0.43710618639161158</c:v>
                  </c:pt>
                  <c:pt idx="4">
                    <c:v>0.27309671946367015</c:v>
                  </c:pt>
                  <c:pt idx="5">
                    <c:v>0.30349479552224801</c:v>
                  </c:pt>
                </c:numCache>
              </c:numRef>
            </c:minus>
            <c:spPr>
              <a:noFill/>
              <a:ln w="9525" cap="flat" cmpd="sng" algn="ctr">
                <a:solidFill>
                  <a:schemeClr val="tx1">
                    <a:lumMod val="65000"/>
                    <a:lumOff val="35000"/>
                  </a:schemeClr>
                </a:solidFill>
                <a:round/>
              </a:ln>
              <a:effectLst/>
            </c:spPr>
          </c:errBars>
          <c:cat>
            <c:numRef>
              <c:f>HI_std_vs_opt!$T$34:$T$39</c:f>
              <c:numCache>
                <c:formatCode>0.00E+00</c:formatCode>
                <c:ptCount val="6"/>
                <c:pt idx="0">
                  <c:v>120440000000.00002</c:v>
                </c:pt>
                <c:pt idx="1">
                  <c:v>12044000000.000002</c:v>
                </c:pt>
                <c:pt idx="2">
                  <c:v>6022000000.000001</c:v>
                </c:pt>
                <c:pt idx="3">
                  <c:v>3011000000.0000005</c:v>
                </c:pt>
                <c:pt idx="4">
                  <c:v>1204400000.0000002</c:v>
                </c:pt>
                <c:pt idx="5">
                  <c:v>602200000.00000012</c:v>
                </c:pt>
              </c:numCache>
            </c:numRef>
          </c:cat>
          <c:val>
            <c:numRef>
              <c:f>HI_std_vs_opt!$Y$34:$Y$39</c:f>
              <c:numCache>
                <c:formatCode>General</c:formatCode>
                <c:ptCount val="6"/>
                <c:pt idx="0">
                  <c:v>28.630909090909096</c:v>
                </c:pt>
                <c:pt idx="1">
                  <c:v>28.786363636363635</c:v>
                </c:pt>
                <c:pt idx="2">
                  <c:v>28.632727272727276</c:v>
                </c:pt>
                <c:pt idx="3">
                  <c:v>28.566363636363633</c:v>
                </c:pt>
                <c:pt idx="4">
                  <c:v>28.446363636363639</c:v>
                </c:pt>
                <c:pt idx="5">
                  <c:v>28.345454545454547</c:v>
                </c:pt>
              </c:numCache>
            </c:numRef>
          </c:val>
          <c:extLst>
            <c:ext xmlns:c16="http://schemas.microsoft.com/office/drawing/2014/chart" uri="{C3380CC4-5D6E-409C-BE32-E72D297353CC}">
              <c16:uniqueId val="{00000002-37E7-470B-B54F-AF53922DB6F5}"/>
            </c:ext>
          </c:extLst>
        </c:ser>
        <c:dLbls>
          <c:showLegendKey val="0"/>
          <c:showVal val="0"/>
          <c:showCatName val="0"/>
          <c:showSerName val="0"/>
          <c:showPercent val="0"/>
          <c:showBubbleSize val="0"/>
        </c:dLbls>
        <c:gapWidth val="219"/>
        <c:overlap val="-27"/>
        <c:axId val="745670447"/>
        <c:axId val="745667535"/>
      </c:barChart>
      <c:catAx>
        <c:axId val="7456704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IAC (copies/ul)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667535"/>
        <c:crosses val="autoZero"/>
        <c:auto val="1"/>
        <c:lblAlgn val="ctr"/>
        <c:lblOffset val="100"/>
        <c:noMultiLvlLbl val="0"/>
      </c:catAx>
      <c:valAx>
        <c:axId val="7456675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670447"/>
        <c:crosses val="autoZero"/>
        <c:crossBetween val="between"/>
      </c:valAx>
      <c:spPr>
        <a:noFill/>
        <a:ln>
          <a:noFill/>
        </a:ln>
        <a:effectLst/>
      </c:spPr>
    </c:plotArea>
    <c:legend>
      <c:legendPos val="r"/>
      <c:overlay val="0"/>
      <c:spPr>
        <a:noFill/>
        <a:ln>
          <a:solidFill>
            <a:schemeClr val="lt1">
              <a:shade val="50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Avg Cq from 11</a:t>
            </a:r>
            <a:r>
              <a:rPr lang="en-US" sz="1200" baseline="0"/>
              <a:t> Samples Created Using Standard and Optimal IAC F, R Primer, Probe Concentrations </a:t>
            </a:r>
          </a:p>
          <a:p>
            <a:pPr>
              <a:defRPr/>
            </a:pPr>
            <a:r>
              <a:rPr lang="en-US" sz="1200" baseline="0"/>
              <a:t>(STD:250, 250, 500nM vs OPT:50, 50, 400nM) and Leg pneumo Ctrl = ~10 copies/rxn </a:t>
            </a:r>
            <a:endParaRPr lang="en-US" sz="1200"/>
          </a:p>
        </c:rich>
      </c:tx>
      <c:layout>
        <c:manualLayout>
          <c:xMode val="edge"/>
          <c:yMode val="edge"/>
          <c:x val="0.1409026684164479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48381452318461"/>
          <c:y val="0.23125000000000004"/>
          <c:w val="0.74435914260717395"/>
          <c:h val="0.61410505978419361"/>
        </c:manualLayout>
      </c:layout>
      <c:scatterChart>
        <c:scatterStyle val="lineMarker"/>
        <c:varyColors val="0"/>
        <c:ser>
          <c:idx val="0"/>
          <c:order val="0"/>
          <c:tx>
            <c:v>STD</c:v>
          </c:tx>
          <c:spPr>
            <a:ln w="25400" cap="rnd">
              <a:no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LO_std_vs_opt!$AB$2:$AB$3</c:f>
                <c:numCache>
                  <c:formatCode>General</c:formatCode>
                  <c:ptCount val="2"/>
                  <c:pt idx="0">
                    <c:v>0.50469792945879888</c:v>
                  </c:pt>
                  <c:pt idx="1">
                    <c:v>0.75944477326291659</c:v>
                  </c:pt>
                </c:numCache>
              </c:numRef>
            </c:plus>
            <c:minus>
              <c:numRef>
                <c:f>LO_std_vs_opt!$AB$2:$AB$3</c:f>
                <c:numCache>
                  <c:formatCode>General</c:formatCode>
                  <c:ptCount val="2"/>
                  <c:pt idx="0">
                    <c:v>0.50469792945879888</c:v>
                  </c:pt>
                  <c:pt idx="1">
                    <c:v>0.75944477326291659</c:v>
                  </c:pt>
                </c:numCache>
              </c:numRef>
            </c:minus>
            <c:spPr>
              <a:noFill/>
              <a:ln w="9525" cap="flat" cmpd="sng" algn="ctr">
                <a:solidFill>
                  <a:schemeClr val="tx1">
                    <a:lumMod val="65000"/>
                    <a:lumOff val="35000"/>
                  </a:schemeClr>
                </a:solidFill>
                <a:round/>
              </a:ln>
              <a:effectLst/>
            </c:spPr>
          </c:errBars>
          <c:xVal>
            <c:numRef>
              <c:f>LO_std_vs_opt!$Y$2:$Y$3</c:f>
              <c:numCache>
                <c:formatCode>General</c:formatCode>
                <c:ptCount val="2"/>
                <c:pt idx="0">
                  <c:v>11.080770746840722</c:v>
                </c:pt>
                <c:pt idx="1">
                  <c:v>10.080770746840722</c:v>
                </c:pt>
              </c:numCache>
            </c:numRef>
          </c:xVal>
          <c:yVal>
            <c:numRef>
              <c:f>LO_std_vs_opt!$Z$2:$Z$3</c:f>
              <c:numCache>
                <c:formatCode>General</c:formatCode>
                <c:ptCount val="2"/>
                <c:pt idx="0">
                  <c:v>33.370000000000005</c:v>
                </c:pt>
                <c:pt idx="1">
                  <c:v>37.830909090909095</c:v>
                </c:pt>
              </c:numCache>
            </c:numRef>
          </c:yVal>
          <c:smooth val="0"/>
          <c:extLst>
            <c:ext xmlns:c16="http://schemas.microsoft.com/office/drawing/2014/chart" uri="{C3380CC4-5D6E-409C-BE32-E72D297353CC}">
              <c16:uniqueId val="{00000003-F6B3-4A3E-A4E4-3AA17BB49EB3}"/>
            </c:ext>
          </c:extLst>
        </c:ser>
        <c:ser>
          <c:idx val="1"/>
          <c:order val="1"/>
          <c:tx>
            <c:v>OPT</c:v>
          </c:tx>
          <c:spPr>
            <a:ln w="25400" cap="rnd">
              <a:no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LO_std_vs_opt!$AE$2:$AE$6</c:f>
                <c:numCache>
                  <c:formatCode>General</c:formatCode>
                  <c:ptCount val="5"/>
                  <c:pt idx="0">
                    <c:v>0.18156892004765848</c:v>
                  </c:pt>
                  <c:pt idx="1">
                    <c:v>0.45720892379742573</c:v>
                  </c:pt>
                  <c:pt idx="2">
                    <c:v>0.61944843501001789</c:v>
                  </c:pt>
                  <c:pt idx="3">
                    <c:v>0.32756956235556778</c:v>
                  </c:pt>
                  <c:pt idx="4">
                    <c:v>1.7596900553532413</c:v>
                  </c:pt>
                </c:numCache>
              </c:numRef>
            </c:plus>
            <c:minus>
              <c:numRef>
                <c:f>LO_std_vs_opt!$AE$2:$AE$6</c:f>
                <c:numCache>
                  <c:formatCode>General</c:formatCode>
                  <c:ptCount val="5"/>
                  <c:pt idx="0">
                    <c:v>0.18156892004765848</c:v>
                  </c:pt>
                  <c:pt idx="1">
                    <c:v>0.45720892379742573</c:v>
                  </c:pt>
                  <c:pt idx="2">
                    <c:v>0.61944843501001789</c:v>
                  </c:pt>
                  <c:pt idx="3">
                    <c:v>0.32756956235556778</c:v>
                  </c:pt>
                  <c:pt idx="4">
                    <c:v>1.7596900553532413</c:v>
                  </c:pt>
                </c:numCache>
              </c:numRef>
            </c:minus>
            <c:spPr>
              <a:noFill/>
              <a:ln w="9525" cap="flat" cmpd="sng" algn="ctr">
                <a:solidFill>
                  <a:schemeClr val="tx1">
                    <a:lumMod val="65000"/>
                    <a:lumOff val="35000"/>
                  </a:schemeClr>
                </a:solidFill>
                <a:round/>
              </a:ln>
              <a:effectLst/>
            </c:spPr>
          </c:errBars>
          <c:xVal>
            <c:numRef>
              <c:f>LO_std_vs_opt!$Y$2:$Y$6</c:f>
              <c:numCache>
                <c:formatCode>General</c:formatCode>
                <c:ptCount val="5"/>
                <c:pt idx="0">
                  <c:v>11.080770746840722</c:v>
                </c:pt>
                <c:pt idx="1">
                  <c:v>10.080770746840722</c:v>
                </c:pt>
                <c:pt idx="2">
                  <c:v>9.7797407511767407</c:v>
                </c:pt>
                <c:pt idx="3">
                  <c:v>9.4787107555127594</c:v>
                </c:pt>
                <c:pt idx="4">
                  <c:v>9.1776807598487782</c:v>
                </c:pt>
              </c:numCache>
            </c:numRef>
          </c:xVal>
          <c:yVal>
            <c:numRef>
              <c:f>LO_std_vs_opt!$AC$2:$AC$6</c:f>
              <c:numCache>
                <c:formatCode>General</c:formatCode>
                <c:ptCount val="5"/>
                <c:pt idx="0">
                  <c:v>26.542727272727269</c:v>
                </c:pt>
                <c:pt idx="1">
                  <c:v>30.929999999999996</c:v>
                </c:pt>
                <c:pt idx="2">
                  <c:v>32.980909090909094</c:v>
                </c:pt>
                <c:pt idx="3">
                  <c:v>34.853636363636362</c:v>
                </c:pt>
                <c:pt idx="4">
                  <c:v>37.284545454545452</c:v>
                </c:pt>
              </c:numCache>
            </c:numRef>
          </c:yVal>
          <c:smooth val="0"/>
          <c:extLst>
            <c:ext xmlns:c16="http://schemas.microsoft.com/office/drawing/2014/chart" uri="{C3380CC4-5D6E-409C-BE32-E72D297353CC}">
              <c16:uniqueId val="{00000008-F6B3-4A3E-A4E4-3AA17BB49EB3}"/>
            </c:ext>
          </c:extLst>
        </c:ser>
        <c:dLbls>
          <c:showLegendKey val="0"/>
          <c:showVal val="0"/>
          <c:showCatName val="0"/>
          <c:showSerName val="0"/>
          <c:showPercent val="0"/>
          <c:showBubbleSize val="0"/>
        </c:dLbls>
        <c:axId val="1290476335"/>
        <c:axId val="1290475503"/>
      </c:scatterChart>
      <c:valAx>
        <c:axId val="1290476335"/>
        <c:scaling>
          <c:orientation val="minMax"/>
          <c:min val="9"/>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Log(Copy Number/ul)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75503"/>
        <c:crosses val="autoZero"/>
        <c:crossBetween val="midCat"/>
      </c:valAx>
      <c:valAx>
        <c:axId val="1290475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76335"/>
        <c:crosses val="autoZero"/>
        <c:crossBetween val="midCat"/>
      </c:valAx>
      <c:spPr>
        <a:noFill/>
        <a:ln>
          <a:noFill/>
        </a:ln>
        <a:effectLst/>
      </c:spPr>
    </c:plotArea>
    <c:legend>
      <c:legendPos val="r"/>
      <c:layout>
        <c:manualLayout>
          <c:xMode val="edge"/>
          <c:yMode val="edge"/>
          <c:x val="0.8892178477690289"/>
          <c:y val="0.23425853018372703"/>
          <c:w val="8.5908497098532488E-2"/>
          <c:h val="0.15625109361329836"/>
        </c:manualLayout>
      </c:layout>
      <c:overlay val="0"/>
      <c:spPr>
        <a:noFill/>
        <a:ln>
          <a:solidFill>
            <a:schemeClr val="accen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horizontalDpi="300"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Comparing</a:t>
            </a:r>
            <a:r>
              <a:rPr lang="en-US" baseline="0"/>
              <a:t> Cq Values for </a:t>
            </a:r>
            <a:r>
              <a:rPr lang="en-US" i="1" baseline="0"/>
              <a:t>Legionella pneumophila </a:t>
            </a:r>
            <a:r>
              <a:rPr lang="en-US" i="0" baseline="0"/>
              <a:t>(HI ~1.2e6 vs LO ~10 ) in </a:t>
            </a:r>
            <a:r>
              <a:rPr lang="en-US" baseline="0"/>
              <a:t>OPT Mixes when IAC Held Constant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HI "std_5"</c:v>
          </c:tx>
          <c:spPr>
            <a:solidFill>
              <a:schemeClr val="accent2"/>
            </a:solidFill>
            <a:ln>
              <a:noFill/>
            </a:ln>
            <a:effectLst/>
          </c:spPr>
          <c:invertIfNegative val="0"/>
          <c:errBars>
            <c:errBarType val="both"/>
            <c:errValType val="cust"/>
            <c:noEndCap val="0"/>
            <c:plus>
              <c:numRef>
                <c:f>LO_std_vs_opt!$U$38:$U$43</c:f>
                <c:numCache>
                  <c:formatCode>General</c:formatCode>
                  <c:ptCount val="6"/>
                  <c:pt idx="0">
                    <c:v>0.38319233243420225</c:v>
                  </c:pt>
                  <c:pt idx="1">
                    <c:v>0.73611263960199735</c:v>
                  </c:pt>
                  <c:pt idx="2">
                    <c:v>0.30894542030474087</c:v>
                  </c:pt>
                  <c:pt idx="3">
                    <c:v>0.43710618639161158</c:v>
                  </c:pt>
                  <c:pt idx="4">
                    <c:v>0.27309671946367015</c:v>
                  </c:pt>
                  <c:pt idx="5">
                    <c:v>0.30349479552224801</c:v>
                  </c:pt>
                </c:numCache>
              </c:numRef>
            </c:plus>
            <c:minus>
              <c:numRef>
                <c:f>LO_std_vs_opt!$U$38:$U$43</c:f>
                <c:numCache>
                  <c:formatCode>General</c:formatCode>
                  <c:ptCount val="6"/>
                  <c:pt idx="0">
                    <c:v>0.38319233243420225</c:v>
                  </c:pt>
                  <c:pt idx="1">
                    <c:v>0.73611263960199735</c:v>
                  </c:pt>
                  <c:pt idx="2">
                    <c:v>0.30894542030474087</c:v>
                  </c:pt>
                  <c:pt idx="3">
                    <c:v>0.43710618639161158</c:v>
                  </c:pt>
                  <c:pt idx="4">
                    <c:v>0.27309671946367015</c:v>
                  </c:pt>
                  <c:pt idx="5">
                    <c:v>0.30349479552224801</c:v>
                  </c:pt>
                </c:numCache>
              </c:numRef>
            </c:minus>
            <c:spPr>
              <a:noFill/>
              <a:ln w="9525" cap="flat" cmpd="sng" algn="ctr">
                <a:solidFill>
                  <a:schemeClr val="tx1">
                    <a:lumMod val="65000"/>
                    <a:lumOff val="35000"/>
                  </a:schemeClr>
                </a:solidFill>
                <a:round/>
              </a:ln>
              <a:effectLst/>
            </c:spPr>
          </c:errBars>
          <c:cat>
            <c:numRef>
              <c:f>HI_std_vs_opt!$T$34:$T$39</c:f>
              <c:numCache>
                <c:formatCode>0.00E+00</c:formatCode>
                <c:ptCount val="6"/>
                <c:pt idx="0">
                  <c:v>120440000000.00002</c:v>
                </c:pt>
                <c:pt idx="1">
                  <c:v>12044000000.000002</c:v>
                </c:pt>
                <c:pt idx="2">
                  <c:v>6022000000.000001</c:v>
                </c:pt>
                <c:pt idx="3">
                  <c:v>3011000000.0000005</c:v>
                </c:pt>
                <c:pt idx="4">
                  <c:v>1204400000.0000002</c:v>
                </c:pt>
                <c:pt idx="5">
                  <c:v>602200000.00000012</c:v>
                </c:pt>
              </c:numCache>
            </c:numRef>
          </c:cat>
          <c:val>
            <c:numRef>
              <c:f>LO_std_vs_opt!$S$38:$S$43</c:f>
              <c:numCache>
                <c:formatCode>General</c:formatCode>
                <c:ptCount val="6"/>
                <c:pt idx="0">
                  <c:v>28.630909090909096</c:v>
                </c:pt>
                <c:pt idx="1">
                  <c:v>28.786363636363635</c:v>
                </c:pt>
                <c:pt idx="2">
                  <c:v>28.632727272727276</c:v>
                </c:pt>
                <c:pt idx="3">
                  <c:v>28.566363636363633</c:v>
                </c:pt>
                <c:pt idx="4">
                  <c:v>28.446363636363639</c:v>
                </c:pt>
                <c:pt idx="5">
                  <c:v>28.345454545454547</c:v>
                </c:pt>
              </c:numCache>
            </c:numRef>
          </c:val>
          <c:extLst>
            <c:ext xmlns:c16="http://schemas.microsoft.com/office/drawing/2014/chart" uri="{C3380CC4-5D6E-409C-BE32-E72D297353CC}">
              <c16:uniqueId val="{00000000-5908-43FE-91E7-64712FE8F0B6}"/>
            </c:ext>
          </c:extLst>
        </c:ser>
        <c:ser>
          <c:idx val="1"/>
          <c:order val="1"/>
          <c:tx>
            <c:v>LO "std_12"</c:v>
          </c:tx>
          <c:spPr>
            <a:solidFill>
              <a:schemeClr val="accent2">
                <a:lumMod val="40000"/>
                <a:lumOff val="60000"/>
              </a:schemeClr>
            </a:solidFill>
            <a:ln>
              <a:noFill/>
            </a:ln>
            <a:effectLst/>
          </c:spPr>
          <c:invertIfNegative val="0"/>
          <c:errBars>
            <c:errBarType val="both"/>
            <c:errValType val="cust"/>
            <c:noEndCap val="0"/>
            <c:plus>
              <c:numRef>
                <c:f>LO_std_vs_opt!$X$38:$X$43</c:f>
                <c:numCache>
                  <c:formatCode>General</c:formatCode>
                  <c:ptCount val="6"/>
                  <c:pt idx="0">
                    <c:v>2.1623994609163737</c:v>
                  </c:pt>
                  <c:pt idx="1">
                    <c:v>1.6959502565603968</c:v>
                  </c:pt>
                  <c:pt idx="2">
                    <c:v>0.97958432742947443</c:v>
                  </c:pt>
                  <c:pt idx="3">
                    <c:v>1.7115087561044549</c:v>
                  </c:pt>
                  <c:pt idx="4">
                    <c:v>1.6412877427634223</c:v>
                  </c:pt>
                  <c:pt idx="5">
                    <c:v>1.9914439205985421</c:v>
                  </c:pt>
                </c:numCache>
              </c:numRef>
            </c:plus>
            <c:minus>
              <c:numRef>
                <c:f>LO_std_vs_opt!$X$38:$X$43</c:f>
                <c:numCache>
                  <c:formatCode>General</c:formatCode>
                  <c:ptCount val="6"/>
                  <c:pt idx="0">
                    <c:v>2.1623994609163737</c:v>
                  </c:pt>
                  <c:pt idx="1">
                    <c:v>1.6959502565603968</c:v>
                  </c:pt>
                  <c:pt idx="2">
                    <c:v>0.97958432742947443</c:v>
                  </c:pt>
                  <c:pt idx="3">
                    <c:v>1.7115087561044549</c:v>
                  </c:pt>
                  <c:pt idx="4">
                    <c:v>1.6412877427634223</c:v>
                  </c:pt>
                  <c:pt idx="5">
                    <c:v>1.9914439205985421</c:v>
                  </c:pt>
                </c:numCache>
              </c:numRef>
            </c:minus>
            <c:spPr>
              <a:noFill/>
              <a:ln w="9525" cap="flat" cmpd="sng" algn="ctr">
                <a:solidFill>
                  <a:schemeClr val="tx1">
                    <a:lumMod val="65000"/>
                    <a:lumOff val="35000"/>
                  </a:schemeClr>
                </a:solidFill>
                <a:round/>
              </a:ln>
              <a:effectLst/>
            </c:spPr>
          </c:errBars>
          <c:cat>
            <c:numRef>
              <c:f>HI_std_vs_opt!$T$34:$T$39</c:f>
              <c:numCache>
                <c:formatCode>0.00E+00</c:formatCode>
                <c:ptCount val="6"/>
                <c:pt idx="0">
                  <c:v>120440000000.00002</c:v>
                </c:pt>
                <c:pt idx="1">
                  <c:v>12044000000.000002</c:v>
                </c:pt>
                <c:pt idx="2">
                  <c:v>6022000000.000001</c:v>
                </c:pt>
                <c:pt idx="3">
                  <c:v>3011000000.0000005</c:v>
                </c:pt>
                <c:pt idx="4">
                  <c:v>1204400000.0000002</c:v>
                </c:pt>
                <c:pt idx="5">
                  <c:v>602200000.00000012</c:v>
                </c:pt>
              </c:numCache>
            </c:numRef>
          </c:cat>
          <c:val>
            <c:numRef>
              <c:f>LO_std_vs_opt!$V$38:$V$43</c:f>
              <c:numCache>
                <c:formatCode>General</c:formatCode>
                <c:ptCount val="6"/>
                <c:pt idx="0">
                  <c:v>37.597500000000004</c:v>
                </c:pt>
                <c:pt idx="1">
                  <c:v>35.637272727272723</c:v>
                </c:pt>
                <c:pt idx="2">
                  <c:v>35.421818181818175</c:v>
                </c:pt>
                <c:pt idx="3">
                  <c:v>36.444000000000003</c:v>
                </c:pt>
                <c:pt idx="4">
                  <c:v>35.851818181818182</c:v>
                </c:pt>
                <c:pt idx="5">
                  <c:v>37.262</c:v>
                </c:pt>
              </c:numCache>
            </c:numRef>
          </c:val>
          <c:extLst>
            <c:ext xmlns:c16="http://schemas.microsoft.com/office/drawing/2014/chart" uri="{C3380CC4-5D6E-409C-BE32-E72D297353CC}">
              <c16:uniqueId val="{00000001-5908-43FE-91E7-64712FE8F0B6}"/>
            </c:ext>
          </c:extLst>
        </c:ser>
        <c:dLbls>
          <c:showLegendKey val="0"/>
          <c:showVal val="0"/>
          <c:showCatName val="0"/>
          <c:showSerName val="0"/>
          <c:showPercent val="0"/>
          <c:showBubbleSize val="0"/>
        </c:dLbls>
        <c:gapWidth val="219"/>
        <c:overlap val="-27"/>
        <c:axId val="745670447"/>
        <c:axId val="745667535"/>
      </c:barChart>
      <c:catAx>
        <c:axId val="7456704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IAC (copies/ul)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667535"/>
        <c:crosses val="autoZero"/>
        <c:auto val="1"/>
        <c:lblAlgn val="ctr"/>
        <c:lblOffset val="100"/>
        <c:noMultiLvlLbl val="0"/>
      </c:catAx>
      <c:valAx>
        <c:axId val="7456675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670447"/>
        <c:crosses val="autoZero"/>
        <c:crossBetween val="between"/>
      </c:valAx>
      <c:spPr>
        <a:noFill/>
        <a:ln>
          <a:noFill/>
        </a:ln>
        <a:effectLst/>
      </c:spPr>
    </c:plotArea>
    <c:legend>
      <c:legendPos val="r"/>
      <c:overlay val="0"/>
      <c:spPr>
        <a:noFill/>
        <a:ln>
          <a:solidFill>
            <a:schemeClr val="lt1">
              <a:shade val="50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Avg Cq from 11</a:t>
            </a:r>
            <a:r>
              <a:rPr lang="en-US" sz="1200" baseline="0"/>
              <a:t> Samples Created Using Standard and Optimal IAC F, R Primer, Probe Concentrations </a:t>
            </a:r>
          </a:p>
          <a:p>
            <a:pPr>
              <a:defRPr/>
            </a:pPr>
            <a:r>
              <a:rPr lang="en-US" sz="1200" baseline="0"/>
              <a:t>(STD:250, 250, 500nM vs OPT:50, 50, 400nM) and Leg pneumo Ctrl = ~10 copies/rxn </a:t>
            </a:r>
            <a:endParaRPr lang="en-US" sz="1200"/>
          </a:p>
        </c:rich>
      </c:tx>
      <c:layout>
        <c:manualLayout>
          <c:xMode val="edge"/>
          <c:yMode val="edge"/>
          <c:x val="0.1409026684164479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48381452318461"/>
          <c:y val="0.23125000000000004"/>
          <c:w val="0.74435914260717395"/>
          <c:h val="0.61410505978419361"/>
        </c:manualLayout>
      </c:layout>
      <c:scatterChart>
        <c:scatterStyle val="lineMarker"/>
        <c:varyColors val="0"/>
        <c:ser>
          <c:idx val="0"/>
          <c:order val="0"/>
          <c:tx>
            <c:v>STD mix with 'std_12'</c:v>
          </c:tx>
          <c:spPr>
            <a:ln w="25400" cap="rnd">
              <a:noFill/>
              <a:round/>
            </a:ln>
            <a:effectLst/>
          </c:spPr>
          <c:marker>
            <c:symbol val="circle"/>
            <c:size val="5"/>
            <c:spPr>
              <a:solidFill>
                <a:schemeClr val="accent1">
                  <a:lumMod val="40000"/>
                  <a:lumOff val="60000"/>
                </a:schemeClr>
              </a:solidFill>
              <a:ln w="9525">
                <a:solidFill>
                  <a:schemeClr val="accent1">
                    <a:lumMod val="40000"/>
                    <a:lumOff val="60000"/>
                  </a:schemeClr>
                </a:solidFill>
              </a:ln>
              <a:effectLst/>
            </c:spPr>
          </c:marker>
          <c:errBars>
            <c:errDir val="y"/>
            <c:errBarType val="both"/>
            <c:errValType val="cust"/>
            <c:noEndCap val="0"/>
            <c:plus>
              <c:numRef>
                <c:f>LO_std_vs_opt!$AB$2:$AB$3</c:f>
                <c:numCache>
                  <c:formatCode>General</c:formatCode>
                  <c:ptCount val="2"/>
                  <c:pt idx="0">
                    <c:v>0.50469792945879888</c:v>
                  </c:pt>
                  <c:pt idx="1">
                    <c:v>0.75944477326291659</c:v>
                  </c:pt>
                </c:numCache>
              </c:numRef>
            </c:plus>
            <c:minus>
              <c:numRef>
                <c:f>LO_std_vs_opt!$AB$2:$AB$3</c:f>
                <c:numCache>
                  <c:formatCode>General</c:formatCode>
                  <c:ptCount val="2"/>
                  <c:pt idx="0">
                    <c:v>0.50469792945879888</c:v>
                  </c:pt>
                  <c:pt idx="1">
                    <c:v>0.75944477326291659</c:v>
                  </c:pt>
                </c:numCache>
              </c:numRef>
            </c:minus>
            <c:spPr>
              <a:noFill/>
              <a:ln w="9525" cap="flat" cmpd="sng" algn="ctr">
                <a:solidFill>
                  <a:schemeClr val="tx1">
                    <a:lumMod val="65000"/>
                    <a:lumOff val="35000"/>
                  </a:schemeClr>
                </a:solidFill>
                <a:round/>
              </a:ln>
              <a:effectLst/>
            </c:spPr>
          </c:errBars>
          <c:xVal>
            <c:numRef>
              <c:f>LO_std_vs_opt!$Y$2:$Y$3</c:f>
              <c:numCache>
                <c:formatCode>General</c:formatCode>
                <c:ptCount val="2"/>
                <c:pt idx="0">
                  <c:v>11.080770746840722</c:v>
                </c:pt>
                <c:pt idx="1">
                  <c:v>10.080770746840722</c:v>
                </c:pt>
              </c:numCache>
            </c:numRef>
          </c:xVal>
          <c:yVal>
            <c:numRef>
              <c:f>LO_std_vs_opt!$Z$2:$Z$3</c:f>
              <c:numCache>
                <c:formatCode>General</c:formatCode>
                <c:ptCount val="2"/>
                <c:pt idx="0">
                  <c:v>33.370000000000005</c:v>
                </c:pt>
                <c:pt idx="1">
                  <c:v>37.830909090909095</c:v>
                </c:pt>
              </c:numCache>
            </c:numRef>
          </c:yVal>
          <c:smooth val="0"/>
          <c:extLst>
            <c:ext xmlns:c16="http://schemas.microsoft.com/office/drawing/2014/chart" uri="{C3380CC4-5D6E-409C-BE32-E72D297353CC}">
              <c16:uniqueId val="{00000000-3D6E-4B0B-A4CD-F0CBE91CBAED}"/>
            </c:ext>
          </c:extLst>
        </c:ser>
        <c:ser>
          <c:idx val="1"/>
          <c:order val="1"/>
          <c:tx>
            <c:v>OPT mix with 'std_12'</c:v>
          </c:tx>
          <c:spPr>
            <a:ln w="25400" cap="rnd">
              <a:noFill/>
              <a:round/>
            </a:ln>
            <a:effectLst/>
          </c:spPr>
          <c:marker>
            <c:symbol val="circle"/>
            <c:size val="5"/>
            <c:spPr>
              <a:solidFill>
                <a:schemeClr val="accent2">
                  <a:lumMod val="40000"/>
                  <a:lumOff val="60000"/>
                </a:schemeClr>
              </a:solidFill>
              <a:ln w="9525">
                <a:solidFill>
                  <a:schemeClr val="accent2">
                    <a:lumMod val="40000"/>
                    <a:lumOff val="60000"/>
                  </a:schemeClr>
                </a:solidFill>
              </a:ln>
              <a:effectLst/>
            </c:spPr>
          </c:marker>
          <c:errBars>
            <c:errDir val="y"/>
            <c:errBarType val="both"/>
            <c:errValType val="cust"/>
            <c:noEndCap val="0"/>
            <c:plus>
              <c:numRef>
                <c:f>LO_std_vs_opt!$AE$2:$AE$6</c:f>
                <c:numCache>
                  <c:formatCode>General</c:formatCode>
                  <c:ptCount val="5"/>
                  <c:pt idx="0">
                    <c:v>0.18156892004765848</c:v>
                  </c:pt>
                  <c:pt idx="1">
                    <c:v>0.45720892379742573</c:v>
                  </c:pt>
                  <c:pt idx="2">
                    <c:v>0.61944843501001789</c:v>
                  </c:pt>
                  <c:pt idx="3">
                    <c:v>0.32756956235556778</c:v>
                  </c:pt>
                  <c:pt idx="4">
                    <c:v>1.7596900553532413</c:v>
                  </c:pt>
                </c:numCache>
              </c:numRef>
            </c:plus>
            <c:minus>
              <c:numRef>
                <c:f>LO_std_vs_opt!$AE$2:$AE$6</c:f>
                <c:numCache>
                  <c:formatCode>General</c:formatCode>
                  <c:ptCount val="5"/>
                  <c:pt idx="0">
                    <c:v>0.18156892004765848</c:v>
                  </c:pt>
                  <c:pt idx="1">
                    <c:v>0.45720892379742573</c:v>
                  </c:pt>
                  <c:pt idx="2">
                    <c:v>0.61944843501001789</c:v>
                  </c:pt>
                  <c:pt idx="3">
                    <c:v>0.32756956235556778</c:v>
                  </c:pt>
                  <c:pt idx="4">
                    <c:v>1.7596900553532413</c:v>
                  </c:pt>
                </c:numCache>
              </c:numRef>
            </c:minus>
            <c:spPr>
              <a:noFill/>
              <a:ln w="9525" cap="flat" cmpd="sng" algn="ctr">
                <a:solidFill>
                  <a:schemeClr val="tx1">
                    <a:lumMod val="65000"/>
                    <a:lumOff val="35000"/>
                  </a:schemeClr>
                </a:solidFill>
                <a:round/>
              </a:ln>
              <a:effectLst/>
            </c:spPr>
          </c:errBars>
          <c:xVal>
            <c:numRef>
              <c:f>LO_std_vs_opt!$Y$2:$Y$6</c:f>
              <c:numCache>
                <c:formatCode>General</c:formatCode>
                <c:ptCount val="5"/>
                <c:pt idx="0">
                  <c:v>11.080770746840722</c:v>
                </c:pt>
                <c:pt idx="1">
                  <c:v>10.080770746840722</c:v>
                </c:pt>
                <c:pt idx="2">
                  <c:v>9.7797407511767407</c:v>
                </c:pt>
                <c:pt idx="3">
                  <c:v>9.4787107555127594</c:v>
                </c:pt>
                <c:pt idx="4">
                  <c:v>9.1776807598487782</c:v>
                </c:pt>
              </c:numCache>
            </c:numRef>
          </c:xVal>
          <c:yVal>
            <c:numRef>
              <c:f>LO_std_vs_opt!$AC$2:$AC$6</c:f>
              <c:numCache>
                <c:formatCode>General</c:formatCode>
                <c:ptCount val="5"/>
                <c:pt idx="0">
                  <c:v>26.542727272727269</c:v>
                </c:pt>
                <c:pt idx="1">
                  <c:v>30.929999999999996</c:v>
                </c:pt>
                <c:pt idx="2">
                  <c:v>32.980909090909094</c:v>
                </c:pt>
                <c:pt idx="3">
                  <c:v>34.853636363636362</c:v>
                </c:pt>
                <c:pt idx="4">
                  <c:v>37.284545454545452</c:v>
                </c:pt>
              </c:numCache>
            </c:numRef>
          </c:yVal>
          <c:smooth val="0"/>
          <c:extLst>
            <c:ext xmlns:c16="http://schemas.microsoft.com/office/drawing/2014/chart" uri="{C3380CC4-5D6E-409C-BE32-E72D297353CC}">
              <c16:uniqueId val="{00000001-3D6E-4B0B-A4CD-F0CBE91CBAED}"/>
            </c:ext>
          </c:extLst>
        </c:ser>
        <c:ser>
          <c:idx val="2"/>
          <c:order val="2"/>
          <c:tx>
            <c:v>STD mix with 'std_5'</c:v>
          </c:tx>
          <c:spPr>
            <a:ln w="25400" cap="rnd">
              <a:no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HI_std_vs_opt!$AC$2:$AC$4</c:f>
                <c:numCache>
                  <c:formatCode>General</c:formatCode>
                  <c:ptCount val="3"/>
                  <c:pt idx="0">
                    <c:v>0.23054086602832791</c:v>
                  </c:pt>
                  <c:pt idx="1">
                    <c:v>0.6097212477845938</c:v>
                  </c:pt>
                  <c:pt idx="2">
                    <c:v>1.1155467020454355</c:v>
                  </c:pt>
                </c:numCache>
              </c:numRef>
            </c:plus>
            <c:minus>
              <c:numRef>
                <c:f>HI_std_vs_opt!$AC$2:$AC$4</c:f>
                <c:numCache>
                  <c:formatCode>General</c:formatCode>
                  <c:ptCount val="3"/>
                  <c:pt idx="0">
                    <c:v>0.23054086602832791</c:v>
                  </c:pt>
                  <c:pt idx="1">
                    <c:v>0.6097212477845938</c:v>
                  </c:pt>
                  <c:pt idx="2">
                    <c:v>1.1155467020454355</c:v>
                  </c:pt>
                </c:numCache>
              </c:numRef>
            </c:minus>
            <c:spPr>
              <a:noFill/>
              <a:ln w="9525" cap="flat" cmpd="sng" algn="ctr">
                <a:solidFill>
                  <a:schemeClr val="tx1">
                    <a:lumMod val="65000"/>
                    <a:lumOff val="35000"/>
                  </a:schemeClr>
                </a:solidFill>
                <a:round/>
              </a:ln>
              <a:effectLst/>
            </c:spPr>
          </c:errBars>
          <c:xVal>
            <c:numRef>
              <c:f>HI_std_vs_opt!$Z$2:$Z$4</c:f>
              <c:numCache>
                <c:formatCode>General</c:formatCode>
                <c:ptCount val="3"/>
                <c:pt idx="0">
                  <c:v>11.080770746840722</c:v>
                </c:pt>
                <c:pt idx="1">
                  <c:v>10.080770746840722</c:v>
                </c:pt>
                <c:pt idx="2">
                  <c:v>9.7797407511767407</c:v>
                </c:pt>
              </c:numCache>
            </c:numRef>
          </c:xVal>
          <c:yVal>
            <c:numRef>
              <c:f>HI_std_vs_opt!$AA$2:$AA$4</c:f>
              <c:numCache>
                <c:formatCode>0.00</c:formatCode>
                <c:ptCount val="3"/>
                <c:pt idx="0">
                  <c:v>33.06454545454546</c:v>
                </c:pt>
                <c:pt idx="1">
                  <c:v>37.22</c:v>
                </c:pt>
                <c:pt idx="2">
                  <c:v>39.158888888888889</c:v>
                </c:pt>
              </c:numCache>
            </c:numRef>
          </c:yVal>
          <c:smooth val="0"/>
          <c:extLst>
            <c:ext xmlns:c16="http://schemas.microsoft.com/office/drawing/2014/chart" uri="{C3380CC4-5D6E-409C-BE32-E72D297353CC}">
              <c16:uniqueId val="{00000004-3D6E-4B0B-A4CD-F0CBE91CBAED}"/>
            </c:ext>
          </c:extLst>
        </c:ser>
        <c:ser>
          <c:idx val="3"/>
          <c:order val="3"/>
          <c:tx>
            <c:v>OPT mix with std_5</c:v>
          </c:tx>
          <c:spPr>
            <a:ln w="25400" cap="rnd">
              <a:no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HI_std_vs_opt!$AF$2:$AF$5</c:f>
                <c:numCache>
                  <c:formatCode>General</c:formatCode>
                  <c:ptCount val="4"/>
                  <c:pt idx="0">
                    <c:v>0.18052448839171584</c:v>
                  </c:pt>
                  <c:pt idx="1">
                    <c:v>0.78481034188348564</c:v>
                  </c:pt>
                  <c:pt idx="2">
                    <c:v>0.48598540943306034</c:v>
                  </c:pt>
                  <c:pt idx="3">
                    <c:v>1.8804486892035301</c:v>
                  </c:pt>
                </c:numCache>
              </c:numRef>
            </c:plus>
            <c:minus>
              <c:numRef>
                <c:f>HI_std_vs_opt!$AF$2:$AF$5</c:f>
                <c:numCache>
                  <c:formatCode>General</c:formatCode>
                  <c:ptCount val="4"/>
                  <c:pt idx="0">
                    <c:v>0.18052448839171584</c:v>
                  </c:pt>
                  <c:pt idx="1">
                    <c:v>0.78481034188348564</c:v>
                  </c:pt>
                  <c:pt idx="2">
                    <c:v>0.48598540943306034</c:v>
                  </c:pt>
                  <c:pt idx="3">
                    <c:v>1.8804486892035301</c:v>
                  </c:pt>
                </c:numCache>
              </c:numRef>
            </c:minus>
            <c:spPr>
              <a:noFill/>
              <a:ln w="9525" cap="flat" cmpd="sng" algn="ctr">
                <a:solidFill>
                  <a:schemeClr val="tx1">
                    <a:lumMod val="65000"/>
                    <a:lumOff val="35000"/>
                  </a:schemeClr>
                </a:solidFill>
                <a:round/>
              </a:ln>
              <a:effectLst/>
            </c:spPr>
          </c:errBars>
          <c:xVal>
            <c:numRef>
              <c:f>HI_std_vs_opt!$Z$2:$Z$5</c:f>
              <c:numCache>
                <c:formatCode>General</c:formatCode>
                <c:ptCount val="4"/>
                <c:pt idx="0">
                  <c:v>11.080770746840722</c:v>
                </c:pt>
                <c:pt idx="1">
                  <c:v>10.080770746840722</c:v>
                </c:pt>
                <c:pt idx="2">
                  <c:v>9.7797407511767407</c:v>
                </c:pt>
                <c:pt idx="3">
                  <c:v>9.4787107555127594</c:v>
                </c:pt>
              </c:numCache>
            </c:numRef>
          </c:xVal>
          <c:yVal>
            <c:numRef>
              <c:f>HI_std_vs_opt!$AD$2:$AD$5</c:f>
              <c:numCache>
                <c:formatCode>0.00</c:formatCode>
                <c:ptCount val="4"/>
                <c:pt idx="0">
                  <c:v>24.914545454545454</c:v>
                </c:pt>
                <c:pt idx="1">
                  <c:v>29.482727272727274</c:v>
                </c:pt>
                <c:pt idx="2">
                  <c:v>31.443636363636358</c:v>
                </c:pt>
                <c:pt idx="3">
                  <c:v>35.337272727272726</c:v>
                </c:pt>
              </c:numCache>
            </c:numRef>
          </c:yVal>
          <c:smooth val="0"/>
          <c:extLst>
            <c:ext xmlns:c16="http://schemas.microsoft.com/office/drawing/2014/chart" uri="{C3380CC4-5D6E-409C-BE32-E72D297353CC}">
              <c16:uniqueId val="{00000005-3D6E-4B0B-A4CD-F0CBE91CBAED}"/>
            </c:ext>
          </c:extLst>
        </c:ser>
        <c:dLbls>
          <c:showLegendKey val="0"/>
          <c:showVal val="0"/>
          <c:showCatName val="0"/>
          <c:showSerName val="0"/>
          <c:showPercent val="0"/>
          <c:showBubbleSize val="0"/>
        </c:dLbls>
        <c:axId val="1290476335"/>
        <c:axId val="1290475503"/>
      </c:scatterChart>
      <c:valAx>
        <c:axId val="1290476335"/>
        <c:scaling>
          <c:orientation val="minMax"/>
          <c:min val="9"/>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Log(Copy Number/ul)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75503"/>
        <c:crosses val="autoZero"/>
        <c:crossBetween val="midCat"/>
      </c:valAx>
      <c:valAx>
        <c:axId val="1290475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76335"/>
        <c:crosses val="autoZero"/>
        <c:crossBetween val="midCat"/>
      </c:valAx>
      <c:spPr>
        <a:noFill/>
        <a:ln>
          <a:noFill/>
        </a:ln>
        <a:effectLst/>
      </c:spPr>
    </c:plotArea>
    <c:legend>
      <c:legendPos val="r"/>
      <c:layout>
        <c:manualLayout>
          <c:xMode val="edge"/>
          <c:yMode val="edge"/>
          <c:x val="0.8892178477690289"/>
          <c:y val="0.23425853018372703"/>
          <c:w val="8.5908497098532488E-2"/>
          <c:h val="0.34334092666181854"/>
        </c:manualLayout>
      </c:layout>
      <c:overlay val="0"/>
      <c:spPr>
        <a:noFill/>
        <a:ln>
          <a:solidFill>
            <a:schemeClr val="accent1"/>
          </a:solidFill>
        </a:ln>
        <a:effectLst/>
      </c:spPr>
      <c:txPr>
        <a:bodyPr rot="0" spcFirstLastPara="1" vertOverflow="ellipsis" vert="horz" wrap="square" anchor="t" anchorCtr="0"/>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horizontalDpi="300"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IAC Amplification in </a:t>
            </a:r>
            <a:r>
              <a:rPr lang="en-US" i="1"/>
              <a:t>Leg spp</a:t>
            </a:r>
            <a:r>
              <a:rPr lang="en-US"/>
              <a:t> and </a:t>
            </a:r>
            <a:r>
              <a:rPr lang="en-US" i="1"/>
              <a:t>Leg pneumo</a:t>
            </a:r>
            <a:r>
              <a:rPr lang="en-US"/>
              <a:t> Mastermixes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Leg spp</c:v>
          </c:tx>
          <c:spPr>
            <a:ln w="19050" cap="rnd">
              <a:no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std_vs_opt!$Y$28:$Y$32</c:f>
                <c:numCache>
                  <c:formatCode>General</c:formatCode>
                  <c:ptCount val="5"/>
                  <c:pt idx="0">
                    <c:v>0.90245322215714741</c:v>
                  </c:pt>
                  <c:pt idx="1">
                    <c:v>0.48800149031069001</c:v>
                  </c:pt>
                  <c:pt idx="2">
                    <c:v>1.4564989155193677</c:v>
                  </c:pt>
                  <c:pt idx="3">
                    <c:v>0.56778997397405184</c:v>
                  </c:pt>
                  <c:pt idx="4">
                    <c:v>0.71101975423267283</c:v>
                  </c:pt>
                </c:numCache>
              </c:numRef>
            </c:plus>
            <c:minus>
              <c:numRef>
                <c:f>std_vs_opt!$Y$28:$Y$32</c:f>
                <c:numCache>
                  <c:formatCode>General</c:formatCode>
                  <c:ptCount val="5"/>
                  <c:pt idx="0">
                    <c:v>0.90245322215714741</c:v>
                  </c:pt>
                  <c:pt idx="1">
                    <c:v>0.48800149031069001</c:v>
                  </c:pt>
                  <c:pt idx="2">
                    <c:v>1.4564989155193677</c:v>
                  </c:pt>
                  <c:pt idx="3">
                    <c:v>0.56778997397405184</c:v>
                  </c:pt>
                  <c:pt idx="4">
                    <c:v>0.71101975423267283</c:v>
                  </c:pt>
                </c:numCache>
              </c:numRef>
            </c:minus>
            <c:spPr>
              <a:noFill/>
              <a:ln w="9525" cap="flat" cmpd="sng" algn="ctr">
                <a:solidFill>
                  <a:schemeClr val="tx1">
                    <a:lumMod val="65000"/>
                    <a:lumOff val="35000"/>
                  </a:schemeClr>
                </a:solidFill>
                <a:round/>
              </a:ln>
              <a:effectLst/>
            </c:spPr>
          </c:errBars>
          <c:xVal>
            <c:numRef>
              <c:f>std_vs_opt!$V$28:$V$32</c:f>
              <c:numCache>
                <c:formatCode>0.00E+00</c:formatCode>
                <c:ptCount val="5"/>
                <c:pt idx="0">
                  <c:v>10.080770746840722</c:v>
                </c:pt>
                <c:pt idx="1">
                  <c:v>9.0807707468407219</c:v>
                </c:pt>
                <c:pt idx="2">
                  <c:v>8.0807707468407219</c:v>
                </c:pt>
                <c:pt idx="3">
                  <c:v>7.0807707468407219</c:v>
                </c:pt>
                <c:pt idx="4">
                  <c:v>6.0807707468407219</c:v>
                </c:pt>
              </c:numCache>
            </c:numRef>
          </c:xVal>
          <c:yVal>
            <c:numRef>
              <c:f>std_vs_opt!$W$28:$W$32</c:f>
              <c:numCache>
                <c:formatCode>General</c:formatCode>
                <c:ptCount val="5"/>
                <c:pt idx="0">
                  <c:v>9.4863636363636363</c:v>
                </c:pt>
                <c:pt idx="1">
                  <c:v>15.161818181818184</c:v>
                </c:pt>
                <c:pt idx="2">
                  <c:v>22.054545454545455</c:v>
                </c:pt>
                <c:pt idx="3">
                  <c:v>27.501818181818184</c:v>
                </c:pt>
                <c:pt idx="4">
                  <c:v>28.344545454545457</c:v>
                </c:pt>
              </c:numCache>
            </c:numRef>
          </c:yVal>
          <c:smooth val="0"/>
          <c:extLst>
            <c:ext xmlns:c16="http://schemas.microsoft.com/office/drawing/2014/chart" uri="{C3380CC4-5D6E-409C-BE32-E72D297353CC}">
              <c16:uniqueId val="{00000000-FAF9-4895-B28B-E114E644ADF2}"/>
            </c:ext>
          </c:extLst>
        </c:ser>
        <c:ser>
          <c:idx val="1"/>
          <c:order val="1"/>
          <c:tx>
            <c:v>Leg pneumo</c:v>
          </c:tx>
          <c:spPr>
            <a:ln w="25400" cap="rnd">
              <a:no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std_vs_opt!$AB$27:$AB$29</c:f>
                <c:numCache>
                  <c:formatCode>General</c:formatCode>
                  <c:ptCount val="3"/>
                  <c:pt idx="0">
                    <c:v>0.42097721812684591</c:v>
                  </c:pt>
                  <c:pt idx="1">
                    <c:v>0.32982640061925822</c:v>
                  </c:pt>
                  <c:pt idx="2">
                    <c:v>2.5570025064871977</c:v>
                  </c:pt>
                </c:numCache>
              </c:numRef>
            </c:plus>
            <c:minus>
              <c:numRef>
                <c:f>std_vs_opt!$AB$27:$AB$29</c:f>
                <c:numCache>
                  <c:formatCode>General</c:formatCode>
                  <c:ptCount val="3"/>
                  <c:pt idx="0">
                    <c:v>0.42097721812684591</c:v>
                  </c:pt>
                  <c:pt idx="1">
                    <c:v>0.32982640061925822</c:v>
                  </c:pt>
                  <c:pt idx="2">
                    <c:v>2.5570025064871977</c:v>
                  </c:pt>
                </c:numCache>
              </c:numRef>
            </c:minus>
            <c:spPr>
              <a:noFill/>
              <a:ln w="9525" cap="flat" cmpd="sng" algn="ctr">
                <a:solidFill>
                  <a:schemeClr val="tx1">
                    <a:lumMod val="65000"/>
                    <a:lumOff val="35000"/>
                  </a:schemeClr>
                </a:solidFill>
                <a:round/>
              </a:ln>
              <a:effectLst/>
            </c:spPr>
          </c:errBars>
          <c:xVal>
            <c:numRef>
              <c:f>std_vs_opt!$V$27:$V$29</c:f>
              <c:numCache>
                <c:formatCode>0.00E+00</c:formatCode>
                <c:ptCount val="3"/>
                <c:pt idx="0">
                  <c:v>11.080770746840722</c:v>
                </c:pt>
                <c:pt idx="1">
                  <c:v>10.080770746840722</c:v>
                </c:pt>
                <c:pt idx="2">
                  <c:v>9.0807707468407219</c:v>
                </c:pt>
              </c:numCache>
            </c:numRef>
          </c:xVal>
          <c:yVal>
            <c:numRef>
              <c:f>std_vs_opt!$Z$27:$Z$29</c:f>
              <c:numCache>
                <c:formatCode>General</c:formatCode>
                <c:ptCount val="3"/>
                <c:pt idx="0">
                  <c:v>25.443636363636369</c:v>
                </c:pt>
                <c:pt idx="1">
                  <c:v>30.068181818181817</c:v>
                </c:pt>
                <c:pt idx="2">
                  <c:v>38.986363636363627</c:v>
                </c:pt>
              </c:numCache>
            </c:numRef>
          </c:yVal>
          <c:smooth val="0"/>
          <c:extLst>
            <c:ext xmlns:c16="http://schemas.microsoft.com/office/drawing/2014/chart" uri="{C3380CC4-5D6E-409C-BE32-E72D297353CC}">
              <c16:uniqueId val="{00000002-FAF9-4895-B28B-E114E644ADF2}"/>
            </c:ext>
          </c:extLst>
        </c:ser>
        <c:dLbls>
          <c:showLegendKey val="0"/>
          <c:showVal val="0"/>
          <c:showCatName val="0"/>
          <c:showSerName val="0"/>
          <c:showPercent val="0"/>
          <c:showBubbleSize val="0"/>
        </c:dLbls>
        <c:axId val="732290063"/>
        <c:axId val="732273423"/>
      </c:scatterChart>
      <c:valAx>
        <c:axId val="7322900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a:t>
                </a:r>
                <a:r>
                  <a:rPr lang="en-US" baseline="0"/>
                  <a:t> (copy#/rxn)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273423"/>
        <c:crosses val="autoZero"/>
        <c:crossBetween val="midCat"/>
      </c:valAx>
      <c:valAx>
        <c:axId val="732273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29006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Comparing IAC Primer</a:t>
            </a:r>
            <a:r>
              <a:rPr lang="en-US" baseline="0"/>
              <a:t> Sets: F,R vs F2,R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137558093800383E-2"/>
          <c:y val="0.16994272623138604"/>
          <c:w val="0.88015538297928897"/>
          <c:h val="0.62660569490669338"/>
        </c:manualLayout>
      </c:layout>
      <c:scatterChart>
        <c:scatterStyle val="lineMarker"/>
        <c:varyColors val="0"/>
        <c:ser>
          <c:idx val="0"/>
          <c:order val="0"/>
          <c:tx>
            <c:strRef>
              <c:f>'F vs F2'!$V$35</c:f>
              <c:strCache>
                <c:ptCount val="1"/>
                <c:pt idx="0">
                  <c:v>F, R</c:v>
                </c:pt>
              </c:strCache>
            </c:strRef>
          </c:tx>
          <c:spPr>
            <a:ln w="19050" cap="rnd">
              <a:no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'F vs F2'!$X$38:$X$51</c:f>
                <c:numCache>
                  <c:formatCode>General</c:formatCode>
                  <c:ptCount val="14"/>
                  <c:pt idx="0">
                    <c:v>0.23180451534284993</c:v>
                  </c:pt>
                  <c:pt idx="1">
                    <c:v>0.89968513010571372</c:v>
                  </c:pt>
                  <c:pt idx="2">
                    <c:v>1.849567517015803</c:v>
                  </c:pt>
                  <c:pt idx="3">
                    <c:v>1.5195064988344082</c:v>
                  </c:pt>
                  <c:pt idx="4">
                    <c:v>1.082512509550505</c:v>
                  </c:pt>
                  <c:pt idx="5">
                    <c:v>1.726113167398553</c:v>
                  </c:pt>
                  <c:pt idx="6">
                    <c:v>0.81115144496368019</c:v>
                  </c:pt>
                  <c:pt idx="7">
                    <c:v>0.73038802472840869</c:v>
                  </c:pt>
                  <c:pt idx="8">
                    <c:v>0.44795833139553037</c:v>
                  </c:pt>
                  <c:pt idx="9">
                    <c:v>0.52713059735388634</c:v>
                  </c:pt>
                  <c:pt idx="10">
                    <c:v>0.6636012859139625</c:v>
                  </c:pt>
                  <c:pt idx="11">
                    <c:v>2.6247222075234262</c:v>
                  </c:pt>
                  <c:pt idx="12">
                    <c:v>0.52137638355925964</c:v>
                  </c:pt>
                  <c:pt idx="13">
                    <c:v>0.53166405433004948</c:v>
                  </c:pt>
                </c:numCache>
              </c:numRef>
            </c:plus>
            <c:minus>
              <c:numRef>
                <c:f>'F vs F2'!$X$38:$X$52</c:f>
                <c:numCache>
                  <c:formatCode>General</c:formatCode>
                  <c:ptCount val="15"/>
                  <c:pt idx="0">
                    <c:v>0.23180451534284993</c:v>
                  </c:pt>
                  <c:pt idx="1">
                    <c:v>0.89968513010571372</c:v>
                  </c:pt>
                  <c:pt idx="2">
                    <c:v>1.849567517015803</c:v>
                  </c:pt>
                  <c:pt idx="3">
                    <c:v>1.5195064988344082</c:v>
                  </c:pt>
                  <c:pt idx="4">
                    <c:v>1.082512509550505</c:v>
                  </c:pt>
                  <c:pt idx="5">
                    <c:v>1.726113167398553</c:v>
                  </c:pt>
                  <c:pt idx="6">
                    <c:v>0.81115144496368019</c:v>
                  </c:pt>
                  <c:pt idx="7">
                    <c:v>0.73038802472840869</c:v>
                  </c:pt>
                  <c:pt idx="8">
                    <c:v>0.44795833139553037</c:v>
                  </c:pt>
                  <c:pt idx="9">
                    <c:v>0.52713059735388634</c:v>
                  </c:pt>
                  <c:pt idx="10">
                    <c:v>0.6636012859139625</c:v>
                  </c:pt>
                  <c:pt idx="11">
                    <c:v>2.6247222075234262</c:v>
                  </c:pt>
                  <c:pt idx="12">
                    <c:v>0.52137638355925964</c:v>
                  </c:pt>
                  <c:pt idx="13">
                    <c:v>0.53166405433004948</c:v>
                  </c:pt>
                  <c:pt idx="14">
                    <c:v>2.37965683800557</c:v>
                  </c:pt>
                </c:numCache>
              </c:numRef>
            </c:minus>
            <c:spPr>
              <a:noFill/>
              <a:ln w="9525" cap="flat" cmpd="sng" algn="ctr">
                <a:solidFill>
                  <a:schemeClr val="tx1">
                    <a:lumMod val="65000"/>
                    <a:lumOff val="35000"/>
                  </a:schemeClr>
                </a:solidFill>
                <a:round/>
              </a:ln>
              <a:effectLst/>
            </c:spPr>
          </c:errBars>
          <c:xVal>
            <c:numRef>
              <c:f>'F vs F2'!$U$36:$U$52</c:f>
              <c:numCache>
                <c:formatCode>0.00E+00</c:formatCode>
                <c:ptCount val="17"/>
                <c:pt idx="2" formatCode="General">
                  <c:v>11.080770746840722</c:v>
                </c:pt>
                <c:pt idx="3" formatCode="General">
                  <c:v>10.080770746840722</c:v>
                </c:pt>
                <c:pt idx="4" formatCode="General">
                  <c:v>9.0807707468407219</c:v>
                </c:pt>
                <c:pt idx="5" formatCode="General">
                  <c:v>8.0807707468407219</c:v>
                </c:pt>
                <c:pt idx="6" formatCode="General">
                  <c:v>7.0807707468407219</c:v>
                </c:pt>
                <c:pt idx="7" formatCode="General">
                  <c:v>6.0807707468407219</c:v>
                </c:pt>
                <c:pt idx="8" formatCode="General">
                  <c:v>5.0807707468407219</c:v>
                </c:pt>
                <c:pt idx="9" formatCode="General">
                  <c:v>4.0807707468407219</c:v>
                </c:pt>
                <c:pt idx="10" formatCode="General">
                  <c:v>3.0807707468407219</c:v>
                </c:pt>
                <c:pt idx="11" formatCode="General">
                  <c:v>2.0807707468407219</c:v>
                </c:pt>
                <c:pt idx="12" formatCode="General">
                  <c:v>1.0807707468407219</c:v>
                </c:pt>
                <c:pt idx="13" formatCode="General">
                  <c:v>8.077074684072183E-2</c:v>
                </c:pt>
                <c:pt idx="14" formatCode="General">
                  <c:v>-0.91922925315927817</c:v>
                </c:pt>
                <c:pt idx="15" formatCode="General">
                  <c:v>-1.9192292531592783</c:v>
                </c:pt>
                <c:pt idx="16" formatCode="General">
                  <c:v>-2.9192292531592781</c:v>
                </c:pt>
              </c:numCache>
            </c:numRef>
          </c:xVal>
          <c:yVal>
            <c:numRef>
              <c:f>'F vs F2'!$V$36:$V$52</c:f>
              <c:numCache>
                <c:formatCode>General</c:formatCode>
                <c:ptCount val="17"/>
                <c:pt idx="2">
                  <c:v>7.1566666666666663</c:v>
                </c:pt>
                <c:pt idx="3">
                  <c:v>10.3725</c:v>
                </c:pt>
                <c:pt idx="4">
                  <c:v>14.1075</c:v>
                </c:pt>
                <c:pt idx="5">
                  <c:v>17.272500000000001</c:v>
                </c:pt>
                <c:pt idx="6">
                  <c:v>20.392499999999998</c:v>
                </c:pt>
                <c:pt idx="7">
                  <c:v>24.05</c:v>
                </c:pt>
                <c:pt idx="8">
                  <c:v>26.837500000000002</c:v>
                </c:pt>
                <c:pt idx="9">
                  <c:v>29.525000000000002</c:v>
                </c:pt>
                <c:pt idx="10">
                  <c:v>30.375</c:v>
                </c:pt>
                <c:pt idx="11">
                  <c:v>33.020000000000003</c:v>
                </c:pt>
                <c:pt idx="12">
                  <c:v>33.307500000000005</c:v>
                </c:pt>
                <c:pt idx="13">
                  <c:v>31.297499999999999</c:v>
                </c:pt>
                <c:pt idx="14">
                  <c:v>30.897499999999997</c:v>
                </c:pt>
                <c:pt idx="15">
                  <c:v>30.049999999999997</c:v>
                </c:pt>
                <c:pt idx="16">
                  <c:v>37.572499999999998</c:v>
                </c:pt>
              </c:numCache>
            </c:numRef>
          </c:yVal>
          <c:smooth val="0"/>
          <c:extLst>
            <c:ext xmlns:c16="http://schemas.microsoft.com/office/drawing/2014/chart" uri="{C3380CC4-5D6E-409C-BE32-E72D297353CC}">
              <c16:uniqueId val="{00000000-83D4-42A1-8359-66DC3F356C76}"/>
            </c:ext>
          </c:extLst>
        </c:ser>
        <c:ser>
          <c:idx val="1"/>
          <c:order val="1"/>
          <c:tx>
            <c:v>F2, R</c:v>
          </c:tx>
          <c:spPr>
            <a:ln w="25400" cap="rnd">
              <a:no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'F vs F2'!$AA$38:$AA$52</c:f>
                <c:numCache>
                  <c:formatCode>General</c:formatCode>
                  <c:ptCount val="15"/>
                  <c:pt idx="0">
                    <c:v>0.84126888289852653</c:v>
                  </c:pt>
                  <c:pt idx="1">
                    <c:v>0.93886456247249384</c:v>
                  </c:pt>
                  <c:pt idx="2">
                    <c:v>1.8801684321712602</c:v>
                  </c:pt>
                  <c:pt idx="3">
                    <c:v>1.1215465512704605</c:v>
                  </c:pt>
                  <c:pt idx="4">
                    <c:v>1.5013216399781437</c:v>
                  </c:pt>
                  <c:pt idx="5">
                    <c:v>1.0506347287870024</c:v>
                  </c:pt>
                  <c:pt idx="6">
                    <c:v>0.93016127633867696</c:v>
                  </c:pt>
                  <c:pt idx="7">
                    <c:v>1.3236817341541467</c:v>
                  </c:pt>
                  <c:pt idx="8">
                    <c:v>0.66960187176161845</c:v>
                  </c:pt>
                  <c:pt idx="9">
                    <c:v>1.9940411229460693</c:v>
                  </c:pt>
                  <c:pt idx="10">
                    <c:v>0.63308767165377944</c:v>
                  </c:pt>
                  <c:pt idx="11">
                    <c:v>1.6996764397967048</c:v>
                  </c:pt>
                  <c:pt idx="12">
                    <c:v>2.0102736132178656</c:v>
                  </c:pt>
                  <c:pt idx="13">
                    <c:v>2.0304022589953274</c:v>
                  </c:pt>
                  <c:pt idx="14">
                    <c:v>6.406387437550122</c:v>
                  </c:pt>
                </c:numCache>
              </c:numRef>
            </c:plus>
            <c:minus>
              <c:numRef>
                <c:f>'F vs F2'!$AA$38:$AA$52</c:f>
                <c:numCache>
                  <c:formatCode>General</c:formatCode>
                  <c:ptCount val="15"/>
                  <c:pt idx="0">
                    <c:v>0.84126888289852653</c:v>
                  </c:pt>
                  <c:pt idx="1">
                    <c:v>0.93886456247249384</c:v>
                  </c:pt>
                  <c:pt idx="2">
                    <c:v>1.8801684321712602</c:v>
                  </c:pt>
                  <c:pt idx="3">
                    <c:v>1.1215465512704605</c:v>
                  </c:pt>
                  <c:pt idx="4">
                    <c:v>1.5013216399781437</c:v>
                  </c:pt>
                  <c:pt idx="5">
                    <c:v>1.0506347287870024</c:v>
                  </c:pt>
                  <c:pt idx="6">
                    <c:v>0.93016127633867696</c:v>
                  </c:pt>
                  <c:pt idx="7">
                    <c:v>1.3236817341541467</c:v>
                  </c:pt>
                  <c:pt idx="8">
                    <c:v>0.66960187176161845</c:v>
                  </c:pt>
                  <c:pt idx="9">
                    <c:v>1.9940411229460693</c:v>
                  </c:pt>
                  <c:pt idx="10">
                    <c:v>0.63308767165377944</c:v>
                  </c:pt>
                  <c:pt idx="11">
                    <c:v>1.6996764397967048</c:v>
                  </c:pt>
                  <c:pt idx="12">
                    <c:v>2.0102736132178656</c:v>
                  </c:pt>
                  <c:pt idx="13">
                    <c:v>2.0304022589953274</c:v>
                  </c:pt>
                  <c:pt idx="14">
                    <c:v>6.406387437550122</c:v>
                  </c:pt>
                </c:numCache>
              </c:numRef>
            </c:minus>
            <c:spPr>
              <a:noFill/>
              <a:ln w="9525" cap="flat" cmpd="sng" algn="ctr">
                <a:solidFill>
                  <a:schemeClr val="tx1">
                    <a:lumMod val="65000"/>
                    <a:lumOff val="35000"/>
                  </a:schemeClr>
                </a:solidFill>
                <a:round/>
              </a:ln>
              <a:effectLst/>
            </c:spPr>
          </c:errBars>
          <c:xVal>
            <c:numRef>
              <c:f>'F vs F2'!$U$38:$U$52</c:f>
              <c:numCache>
                <c:formatCode>General</c:formatCode>
                <c:ptCount val="15"/>
                <c:pt idx="0">
                  <c:v>11.080770746840722</c:v>
                </c:pt>
                <c:pt idx="1">
                  <c:v>10.080770746840722</c:v>
                </c:pt>
                <c:pt idx="2">
                  <c:v>9.0807707468407219</c:v>
                </c:pt>
                <c:pt idx="3">
                  <c:v>8.0807707468407219</c:v>
                </c:pt>
                <c:pt idx="4">
                  <c:v>7.0807707468407219</c:v>
                </c:pt>
                <c:pt idx="5">
                  <c:v>6.0807707468407219</c:v>
                </c:pt>
                <c:pt idx="6">
                  <c:v>5.0807707468407219</c:v>
                </c:pt>
                <c:pt idx="7">
                  <c:v>4.0807707468407219</c:v>
                </c:pt>
                <c:pt idx="8">
                  <c:v>3.0807707468407219</c:v>
                </c:pt>
                <c:pt idx="9">
                  <c:v>2.0807707468407219</c:v>
                </c:pt>
                <c:pt idx="10">
                  <c:v>1.0807707468407219</c:v>
                </c:pt>
                <c:pt idx="11">
                  <c:v>8.077074684072183E-2</c:v>
                </c:pt>
                <c:pt idx="12">
                  <c:v>-0.91922925315927817</c:v>
                </c:pt>
                <c:pt idx="13">
                  <c:v>-1.9192292531592783</c:v>
                </c:pt>
                <c:pt idx="14">
                  <c:v>-2.9192292531592781</c:v>
                </c:pt>
              </c:numCache>
            </c:numRef>
          </c:xVal>
          <c:yVal>
            <c:numRef>
              <c:f>'F vs F2'!$Y$38:$Y$52</c:f>
              <c:numCache>
                <c:formatCode>General</c:formatCode>
                <c:ptCount val="15"/>
                <c:pt idx="0">
                  <c:v>8.1166666666666671</c:v>
                </c:pt>
                <c:pt idx="1">
                  <c:v>11.295</c:v>
                </c:pt>
                <c:pt idx="2">
                  <c:v>15.2775</c:v>
                </c:pt>
                <c:pt idx="3">
                  <c:v>18.119999999999997</c:v>
                </c:pt>
                <c:pt idx="4">
                  <c:v>22.032500000000002</c:v>
                </c:pt>
                <c:pt idx="5">
                  <c:v>24.842500000000001</c:v>
                </c:pt>
                <c:pt idx="6">
                  <c:v>28.375</c:v>
                </c:pt>
                <c:pt idx="7">
                  <c:v>31.745000000000001</c:v>
                </c:pt>
                <c:pt idx="8">
                  <c:v>35.402500000000003</c:v>
                </c:pt>
                <c:pt idx="9">
                  <c:v>39.814999999999998</c:v>
                </c:pt>
                <c:pt idx="10">
                  <c:v>33.28</c:v>
                </c:pt>
                <c:pt idx="11">
                  <c:v>36.767499999999998</c:v>
                </c:pt>
                <c:pt idx="12">
                  <c:v>38.435000000000002</c:v>
                </c:pt>
                <c:pt idx="13">
                  <c:v>37.366666666666667</c:v>
                </c:pt>
                <c:pt idx="14">
                  <c:v>40.265000000000001</c:v>
                </c:pt>
              </c:numCache>
            </c:numRef>
          </c:yVal>
          <c:smooth val="0"/>
          <c:extLst>
            <c:ext xmlns:c16="http://schemas.microsoft.com/office/drawing/2014/chart" uri="{C3380CC4-5D6E-409C-BE32-E72D297353CC}">
              <c16:uniqueId val="{00000002-83D4-42A1-8359-66DC3F356C76}"/>
            </c:ext>
          </c:extLst>
        </c:ser>
        <c:dLbls>
          <c:showLegendKey val="0"/>
          <c:showVal val="0"/>
          <c:showCatName val="0"/>
          <c:showSerName val="0"/>
          <c:showPercent val="0"/>
          <c:showBubbleSize val="0"/>
        </c:dLbls>
        <c:axId val="1608253567"/>
        <c:axId val="1608253983"/>
      </c:scatterChart>
      <c:valAx>
        <c:axId val="1608253567"/>
        <c:scaling>
          <c:orientation val="minMax"/>
          <c:min val="-6"/>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Log(Copy#/rxn)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253983"/>
        <c:crosses val="autoZero"/>
        <c:crossBetween val="midCat"/>
      </c:valAx>
      <c:valAx>
        <c:axId val="1608253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253567"/>
        <c:crossesAt val="-6"/>
        <c:crossBetween val="midCat"/>
      </c:valAx>
      <c:spPr>
        <a:noFill/>
        <a:ln>
          <a:noFill/>
        </a:ln>
        <a:effectLst/>
      </c:spPr>
    </c:plotArea>
    <c:legend>
      <c:legendPos val="r"/>
      <c:layout>
        <c:manualLayout>
          <c:xMode val="edge"/>
          <c:yMode val="edge"/>
          <c:x val="0.58123819774571761"/>
          <c:y val="0.60616211633339656"/>
          <c:w val="7.2867346924896395E-2"/>
          <c:h val="0.15464025759666641"/>
        </c:manualLayout>
      </c:layout>
      <c:overlay val="0"/>
      <c:spPr>
        <a:noFill/>
        <a:ln>
          <a:solidFill>
            <a:schemeClr val="lt1">
              <a:shade val="50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[Exp800.10 Optimal Conc of IAC in Leg pneumo assay.xlsx]50..800_F!PivotTable3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Melt Curve of IAC (F, R)</a:t>
            </a:r>
            <a:r>
              <a:rPr lang="en-US" baseline="0"/>
              <a:t> in Presence of 50, 800nM Leg pneumo F Primer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'50..800_F'!$B$3:$B$4</c:f>
              <c:strCache>
                <c:ptCount val="1"/>
                <c:pt idx="0">
                  <c:v>A02</c:v>
                </c:pt>
              </c:strCache>
            </c:strRef>
          </c:tx>
          <c:spPr>
            <a:ln w="28575" cap="rnd">
              <a:solidFill>
                <a:schemeClr val="accent1"/>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'50..800_F'!$B$5:$B$123</c:f>
              <c:numCache>
                <c:formatCode>General</c:formatCode>
                <c:ptCount val="118"/>
                <c:pt idx="0">
                  <c:v>224.8</c:v>
                </c:pt>
                <c:pt idx="1">
                  <c:v>226.99</c:v>
                </c:pt>
                <c:pt idx="2">
                  <c:v>229.81</c:v>
                </c:pt>
                <c:pt idx="3">
                  <c:v>232.88</c:v>
                </c:pt>
                <c:pt idx="4">
                  <c:v>236.09</c:v>
                </c:pt>
                <c:pt idx="5">
                  <c:v>239.47</c:v>
                </c:pt>
                <c:pt idx="6">
                  <c:v>243.02</c:v>
                </c:pt>
                <c:pt idx="7">
                  <c:v>246.74</c:v>
                </c:pt>
                <c:pt idx="8">
                  <c:v>250.66</c:v>
                </c:pt>
                <c:pt idx="9">
                  <c:v>254.78</c:v>
                </c:pt>
                <c:pt idx="10">
                  <c:v>259.11</c:v>
                </c:pt>
                <c:pt idx="11">
                  <c:v>263.66000000000003</c:v>
                </c:pt>
                <c:pt idx="12">
                  <c:v>268.45</c:v>
                </c:pt>
                <c:pt idx="13">
                  <c:v>273.48</c:v>
                </c:pt>
                <c:pt idx="14">
                  <c:v>278.77</c:v>
                </c:pt>
                <c:pt idx="15">
                  <c:v>284.33</c:v>
                </c:pt>
                <c:pt idx="16">
                  <c:v>290.17</c:v>
                </c:pt>
                <c:pt idx="17">
                  <c:v>296.3</c:v>
                </c:pt>
                <c:pt idx="18">
                  <c:v>302.74</c:v>
                </c:pt>
                <c:pt idx="19">
                  <c:v>309.49</c:v>
                </c:pt>
                <c:pt idx="20">
                  <c:v>316.56</c:v>
                </c:pt>
                <c:pt idx="21">
                  <c:v>323.95</c:v>
                </c:pt>
                <c:pt idx="22">
                  <c:v>331.68</c:v>
                </c:pt>
                <c:pt idx="23">
                  <c:v>339.75</c:v>
                </c:pt>
                <c:pt idx="24">
                  <c:v>348.14</c:v>
                </c:pt>
                <c:pt idx="25">
                  <c:v>356.87</c:v>
                </c:pt>
                <c:pt idx="26">
                  <c:v>365.91</c:v>
                </c:pt>
                <c:pt idx="27">
                  <c:v>375.25</c:v>
                </c:pt>
                <c:pt idx="28">
                  <c:v>384.87</c:v>
                </c:pt>
                <c:pt idx="29">
                  <c:v>394.74</c:v>
                </c:pt>
                <c:pt idx="30">
                  <c:v>404.83</c:v>
                </c:pt>
                <c:pt idx="31">
                  <c:v>415.09</c:v>
                </c:pt>
                <c:pt idx="32">
                  <c:v>425.46</c:v>
                </c:pt>
                <c:pt idx="33">
                  <c:v>435.9</c:v>
                </c:pt>
                <c:pt idx="34">
                  <c:v>446.34</c:v>
                </c:pt>
                <c:pt idx="35">
                  <c:v>456.7</c:v>
                </c:pt>
                <c:pt idx="36">
                  <c:v>466.92</c:v>
                </c:pt>
                <c:pt idx="37">
                  <c:v>476.93</c:v>
                </c:pt>
                <c:pt idx="38">
                  <c:v>486.66</c:v>
                </c:pt>
                <c:pt idx="39">
                  <c:v>496.05</c:v>
                </c:pt>
                <c:pt idx="40">
                  <c:v>505.06</c:v>
                </c:pt>
                <c:pt idx="41">
                  <c:v>513.66</c:v>
                </c:pt>
                <c:pt idx="42">
                  <c:v>521.85</c:v>
                </c:pt>
                <c:pt idx="43">
                  <c:v>529.64</c:v>
                </c:pt>
                <c:pt idx="44">
                  <c:v>537.1</c:v>
                </c:pt>
                <c:pt idx="45">
                  <c:v>544.30999999999995</c:v>
                </c:pt>
                <c:pt idx="46">
                  <c:v>551.41999999999996</c:v>
                </c:pt>
                <c:pt idx="47">
                  <c:v>558.59</c:v>
                </c:pt>
                <c:pt idx="48">
                  <c:v>566.03</c:v>
                </c:pt>
                <c:pt idx="49">
                  <c:v>573.99</c:v>
                </c:pt>
                <c:pt idx="50">
                  <c:v>582.75</c:v>
                </c:pt>
                <c:pt idx="51">
                  <c:v>592.63</c:v>
                </c:pt>
                <c:pt idx="52">
                  <c:v>603.92999999999995</c:v>
                </c:pt>
                <c:pt idx="53">
                  <c:v>617.01</c:v>
                </c:pt>
                <c:pt idx="54">
                  <c:v>632.20000000000005</c:v>
                </c:pt>
                <c:pt idx="55">
                  <c:v>649.84</c:v>
                </c:pt>
                <c:pt idx="56">
                  <c:v>670.31</c:v>
                </c:pt>
                <c:pt idx="57">
                  <c:v>693.95</c:v>
                </c:pt>
                <c:pt idx="58">
                  <c:v>721.17</c:v>
                </c:pt>
                <c:pt idx="59">
                  <c:v>752.38</c:v>
                </c:pt>
                <c:pt idx="60">
                  <c:v>788.09</c:v>
                </c:pt>
                <c:pt idx="61">
                  <c:v>828.86</c:v>
                </c:pt>
                <c:pt idx="62">
                  <c:v>875.38</c:v>
                </c:pt>
                <c:pt idx="63">
                  <c:v>928.44</c:v>
                </c:pt>
                <c:pt idx="64">
                  <c:v>988.98</c:v>
                </c:pt>
                <c:pt idx="65">
                  <c:v>1058.0899999999999</c:v>
                </c:pt>
                <c:pt idx="66">
                  <c:v>1136.96</c:v>
                </c:pt>
                <c:pt idx="67">
                  <c:v>1226.8599999999999</c:v>
                </c:pt>
                <c:pt idx="68">
                  <c:v>1329</c:v>
                </c:pt>
                <c:pt idx="69">
                  <c:v>1444.44</c:v>
                </c:pt>
                <c:pt idx="70">
                  <c:v>1573.88</c:v>
                </c:pt>
                <c:pt idx="71">
                  <c:v>1717.62</c:v>
                </c:pt>
                <c:pt idx="72">
                  <c:v>1875.87</c:v>
                </c:pt>
                <c:pt idx="73">
                  <c:v>2050.5100000000002</c:v>
                </c:pt>
                <c:pt idx="74">
                  <c:v>2249.7399999999998</c:v>
                </c:pt>
                <c:pt idx="75">
                  <c:v>2496.4</c:v>
                </c:pt>
                <c:pt idx="76">
                  <c:v>2836.37</c:v>
                </c:pt>
                <c:pt idx="77">
                  <c:v>3284.65</c:v>
                </c:pt>
                <c:pt idx="78">
                  <c:v>3733.65</c:v>
                </c:pt>
                <c:pt idx="79">
                  <c:v>4016.3</c:v>
                </c:pt>
                <c:pt idx="80">
                  <c:v>3977.66</c:v>
                </c:pt>
                <c:pt idx="81">
                  <c:v>3552.2</c:v>
                </c:pt>
                <c:pt idx="82">
                  <c:v>2822.74</c:v>
                </c:pt>
                <c:pt idx="83">
                  <c:v>2016.12</c:v>
                </c:pt>
                <c:pt idx="84">
                  <c:v>1368.9</c:v>
                </c:pt>
                <c:pt idx="85">
                  <c:v>931.62</c:v>
                </c:pt>
                <c:pt idx="86">
                  <c:v>648.33000000000004</c:v>
                </c:pt>
                <c:pt idx="87">
                  <c:v>464.35</c:v>
                </c:pt>
                <c:pt idx="88">
                  <c:v>342.83</c:v>
                </c:pt>
                <c:pt idx="89">
                  <c:v>260.70999999999998</c:v>
                </c:pt>
                <c:pt idx="90">
                  <c:v>203.89</c:v>
                </c:pt>
                <c:pt idx="91">
                  <c:v>163.66999999999999</c:v>
                </c:pt>
                <c:pt idx="92">
                  <c:v>134.63</c:v>
                </c:pt>
                <c:pt idx="93">
                  <c:v>113.24</c:v>
                </c:pt>
                <c:pt idx="94">
                  <c:v>97.21</c:v>
                </c:pt>
                <c:pt idx="95">
                  <c:v>84.94</c:v>
                </c:pt>
                <c:pt idx="96">
                  <c:v>75.34</c:v>
                </c:pt>
                <c:pt idx="97">
                  <c:v>67.67</c:v>
                </c:pt>
                <c:pt idx="98">
                  <c:v>61.4</c:v>
                </c:pt>
                <c:pt idx="99">
                  <c:v>56.21</c:v>
                </c:pt>
                <c:pt idx="100">
                  <c:v>51.85</c:v>
                </c:pt>
                <c:pt idx="101">
                  <c:v>48.17</c:v>
                </c:pt>
                <c:pt idx="102">
                  <c:v>45.07</c:v>
                </c:pt>
                <c:pt idx="103">
                  <c:v>42.47</c:v>
                </c:pt>
                <c:pt idx="104">
                  <c:v>40.299999999999997</c:v>
                </c:pt>
                <c:pt idx="105">
                  <c:v>38.49</c:v>
                </c:pt>
                <c:pt idx="106">
                  <c:v>37.020000000000003</c:v>
                </c:pt>
                <c:pt idx="107">
                  <c:v>35.82</c:v>
                </c:pt>
                <c:pt idx="108">
                  <c:v>34.869999999999997</c:v>
                </c:pt>
                <c:pt idx="109">
                  <c:v>34.14</c:v>
                </c:pt>
                <c:pt idx="110">
                  <c:v>33.590000000000003</c:v>
                </c:pt>
                <c:pt idx="111">
                  <c:v>33.21</c:v>
                </c:pt>
                <c:pt idx="112">
                  <c:v>32.97</c:v>
                </c:pt>
                <c:pt idx="113">
                  <c:v>32.869999999999997</c:v>
                </c:pt>
                <c:pt idx="114">
                  <c:v>32.880000000000003</c:v>
                </c:pt>
                <c:pt idx="115">
                  <c:v>32.99</c:v>
                </c:pt>
                <c:pt idx="116">
                  <c:v>33.19</c:v>
                </c:pt>
                <c:pt idx="117">
                  <c:v>33.4</c:v>
                </c:pt>
              </c:numCache>
            </c:numRef>
          </c:val>
          <c:smooth val="0"/>
          <c:extLst>
            <c:ext xmlns:c16="http://schemas.microsoft.com/office/drawing/2014/chart" uri="{C3380CC4-5D6E-409C-BE32-E72D297353CC}">
              <c16:uniqueId val="{00000000-9A1C-40BE-9AAC-3242D8215002}"/>
            </c:ext>
          </c:extLst>
        </c:ser>
        <c:ser>
          <c:idx val="1"/>
          <c:order val="1"/>
          <c:tx>
            <c:strRef>
              <c:f>'50..800_F'!$C$3:$C$4</c:f>
              <c:strCache>
                <c:ptCount val="1"/>
                <c:pt idx="0">
                  <c:v>A03</c:v>
                </c:pt>
              </c:strCache>
            </c:strRef>
          </c:tx>
          <c:spPr>
            <a:ln w="28575" cap="rnd">
              <a:solidFill>
                <a:schemeClr val="accent2"/>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'50..800_F'!$C$5:$C$123</c:f>
              <c:numCache>
                <c:formatCode>General</c:formatCode>
                <c:ptCount val="118"/>
                <c:pt idx="0">
                  <c:v>225.31</c:v>
                </c:pt>
                <c:pt idx="1">
                  <c:v>227.5</c:v>
                </c:pt>
                <c:pt idx="2">
                  <c:v>230.33</c:v>
                </c:pt>
                <c:pt idx="3">
                  <c:v>233.39</c:v>
                </c:pt>
                <c:pt idx="4">
                  <c:v>236.6</c:v>
                </c:pt>
                <c:pt idx="5">
                  <c:v>239.97</c:v>
                </c:pt>
                <c:pt idx="6">
                  <c:v>243.51</c:v>
                </c:pt>
                <c:pt idx="7">
                  <c:v>247.23</c:v>
                </c:pt>
                <c:pt idx="8">
                  <c:v>251.14</c:v>
                </c:pt>
                <c:pt idx="9">
                  <c:v>255.24</c:v>
                </c:pt>
                <c:pt idx="10">
                  <c:v>259.55</c:v>
                </c:pt>
                <c:pt idx="11">
                  <c:v>264.08</c:v>
                </c:pt>
                <c:pt idx="12">
                  <c:v>268.83</c:v>
                </c:pt>
                <c:pt idx="13">
                  <c:v>273.83</c:v>
                </c:pt>
                <c:pt idx="14">
                  <c:v>279.08</c:v>
                </c:pt>
                <c:pt idx="15">
                  <c:v>284.60000000000002</c:v>
                </c:pt>
                <c:pt idx="16">
                  <c:v>290.38</c:v>
                </c:pt>
                <c:pt idx="17">
                  <c:v>296.45</c:v>
                </c:pt>
                <c:pt idx="18">
                  <c:v>302.82</c:v>
                </c:pt>
                <c:pt idx="19">
                  <c:v>309.49</c:v>
                </c:pt>
                <c:pt idx="20">
                  <c:v>316.45999999999998</c:v>
                </c:pt>
                <c:pt idx="21">
                  <c:v>323.76</c:v>
                </c:pt>
                <c:pt idx="22">
                  <c:v>331.37</c:v>
                </c:pt>
                <c:pt idx="23">
                  <c:v>339.3</c:v>
                </c:pt>
                <c:pt idx="24">
                  <c:v>347.55</c:v>
                </c:pt>
                <c:pt idx="25">
                  <c:v>356.11</c:v>
                </c:pt>
                <c:pt idx="26">
                  <c:v>364.97</c:v>
                </c:pt>
                <c:pt idx="27">
                  <c:v>374.11</c:v>
                </c:pt>
                <c:pt idx="28">
                  <c:v>383.5</c:v>
                </c:pt>
                <c:pt idx="29">
                  <c:v>393.12</c:v>
                </c:pt>
                <c:pt idx="30">
                  <c:v>402.93</c:v>
                </c:pt>
                <c:pt idx="31">
                  <c:v>412.89</c:v>
                </c:pt>
                <c:pt idx="32">
                  <c:v>422.94</c:v>
                </c:pt>
                <c:pt idx="33">
                  <c:v>433.03</c:v>
                </c:pt>
                <c:pt idx="34">
                  <c:v>443.09</c:v>
                </c:pt>
                <c:pt idx="35">
                  <c:v>453.05</c:v>
                </c:pt>
                <c:pt idx="36">
                  <c:v>462.85</c:v>
                </c:pt>
                <c:pt idx="37">
                  <c:v>472.41</c:v>
                </c:pt>
                <c:pt idx="38">
                  <c:v>481.68</c:v>
                </c:pt>
                <c:pt idx="39">
                  <c:v>490.61</c:v>
                </c:pt>
                <c:pt idx="40">
                  <c:v>499.15</c:v>
                </c:pt>
                <c:pt idx="41">
                  <c:v>507.29</c:v>
                </c:pt>
                <c:pt idx="42">
                  <c:v>515.04</c:v>
                </c:pt>
                <c:pt idx="43">
                  <c:v>522.42999999999995</c:v>
                </c:pt>
                <c:pt idx="44">
                  <c:v>529.55999999999995</c:v>
                </c:pt>
                <c:pt idx="45">
                  <c:v>536.51</c:v>
                </c:pt>
                <c:pt idx="46">
                  <c:v>543.46</c:v>
                </c:pt>
                <c:pt idx="47">
                  <c:v>550.59</c:v>
                </c:pt>
                <c:pt idx="48">
                  <c:v>558.14</c:v>
                </c:pt>
                <c:pt idx="49">
                  <c:v>566.38</c:v>
                </c:pt>
                <c:pt idx="50">
                  <c:v>575.6</c:v>
                </c:pt>
                <c:pt idx="51">
                  <c:v>586.1</c:v>
                </c:pt>
                <c:pt idx="52">
                  <c:v>598.21</c:v>
                </c:pt>
                <c:pt idx="53">
                  <c:v>612.25</c:v>
                </c:pt>
                <c:pt idx="54">
                  <c:v>628.54</c:v>
                </c:pt>
                <c:pt idx="55">
                  <c:v>647.39</c:v>
                </c:pt>
                <c:pt idx="56">
                  <c:v>669.1</c:v>
                </c:pt>
                <c:pt idx="57">
                  <c:v>693.99</c:v>
                </c:pt>
                <c:pt idx="58">
                  <c:v>722.41</c:v>
                </c:pt>
                <c:pt idx="59">
                  <c:v>754.73</c:v>
                </c:pt>
                <c:pt idx="60">
                  <c:v>791.43</c:v>
                </c:pt>
                <c:pt idx="61">
                  <c:v>833.07</c:v>
                </c:pt>
                <c:pt idx="62">
                  <c:v>880.38</c:v>
                </c:pt>
                <c:pt idx="63">
                  <c:v>934.24</c:v>
                </c:pt>
                <c:pt idx="64">
                  <c:v>995.74</c:v>
                </c:pt>
                <c:pt idx="65">
                  <c:v>1066.1500000000001</c:v>
                </c:pt>
                <c:pt idx="66">
                  <c:v>1146.8399999999999</c:v>
                </c:pt>
                <c:pt idx="67">
                  <c:v>1239.18</c:v>
                </c:pt>
                <c:pt idx="68">
                  <c:v>1344.36</c:v>
                </c:pt>
                <c:pt idx="69">
                  <c:v>1463.23</c:v>
                </c:pt>
                <c:pt idx="70">
                  <c:v>1596.23</c:v>
                </c:pt>
                <c:pt idx="71">
                  <c:v>1743.33</c:v>
                </c:pt>
                <c:pt idx="72">
                  <c:v>1904.22</c:v>
                </c:pt>
                <c:pt idx="73">
                  <c:v>2079.77</c:v>
                </c:pt>
                <c:pt idx="74">
                  <c:v>2276.9499999999998</c:v>
                </c:pt>
                <c:pt idx="75">
                  <c:v>2517.9</c:v>
                </c:pt>
                <c:pt idx="76">
                  <c:v>2846.21</c:v>
                </c:pt>
                <c:pt idx="77">
                  <c:v>3270.48</c:v>
                </c:pt>
                <c:pt idx="78">
                  <c:v>3679.51</c:v>
                </c:pt>
                <c:pt idx="79">
                  <c:v>3908.14</c:v>
                </c:pt>
                <c:pt idx="80">
                  <c:v>3812.2</c:v>
                </c:pt>
                <c:pt idx="81">
                  <c:v>3345.36</c:v>
                </c:pt>
                <c:pt idx="82">
                  <c:v>2608.34</c:v>
                </c:pt>
                <c:pt idx="83">
                  <c:v>1832.17</c:v>
                </c:pt>
                <c:pt idx="84">
                  <c:v>1232.3</c:v>
                </c:pt>
                <c:pt idx="85">
                  <c:v>835.12</c:v>
                </c:pt>
                <c:pt idx="86">
                  <c:v>580.17999999999995</c:v>
                </c:pt>
                <c:pt idx="87">
                  <c:v>415.34</c:v>
                </c:pt>
                <c:pt idx="88">
                  <c:v>306.64</c:v>
                </c:pt>
                <c:pt idx="89">
                  <c:v>233.26</c:v>
                </c:pt>
                <c:pt idx="90">
                  <c:v>182.53</c:v>
                </c:pt>
                <c:pt idx="91">
                  <c:v>146.66</c:v>
                </c:pt>
                <c:pt idx="92">
                  <c:v>120.78</c:v>
                </c:pt>
                <c:pt idx="93">
                  <c:v>101.74</c:v>
                </c:pt>
                <c:pt idx="94">
                  <c:v>87.43</c:v>
                </c:pt>
                <c:pt idx="95">
                  <c:v>76.459999999999994</c:v>
                </c:pt>
                <c:pt idx="96">
                  <c:v>67.849999999999994</c:v>
                </c:pt>
                <c:pt idx="97">
                  <c:v>60.94</c:v>
                </c:pt>
                <c:pt idx="98">
                  <c:v>55.28</c:v>
                </c:pt>
                <c:pt idx="99">
                  <c:v>50.57</c:v>
                </c:pt>
                <c:pt idx="100">
                  <c:v>46.62</c:v>
                </c:pt>
                <c:pt idx="101">
                  <c:v>43.28</c:v>
                </c:pt>
                <c:pt idx="102">
                  <c:v>40.46</c:v>
                </c:pt>
                <c:pt idx="103">
                  <c:v>38.090000000000003</c:v>
                </c:pt>
                <c:pt idx="104">
                  <c:v>36.11</c:v>
                </c:pt>
                <c:pt idx="105">
                  <c:v>34.47</c:v>
                </c:pt>
                <c:pt idx="106">
                  <c:v>33.130000000000003</c:v>
                </c:pt>
                <c:pt idx="107">
                  <c:v>32.04</c:v>
                </c:pt>
                <c:pt idx="108">
                  <c:v>31.18</c:v>
                </c:pt>
                <c:pt idx="109">
                  <c:v>30.51</c:v>
                </c:pt>
                <c:pt idx="110">
                  <c:v>30.02</c:v>
                </c:pt>
                <c:pt idx="111">
                  <c:v>29.67</c:v>
                </c:pt>
                <c:pt idx="112">
                  <c:v>29.46</c:v>
                </c:pt>
                <c:pt idx="113">
                  <c:v>29.37</c:v>
                </c:pt>
                <c:pt idx="114">
                  <c:v>29.39</c:v>
                </c:pt>
                <c:pt idx="115">
                  <c:v>29.51</c:v>
                </c:pt>
                <c:pt idx="116">
                  <c:v>29.7</c:v>
                </c:pt>
                <c:pt idx="117">
                  <c:v>29.89</c:v>
                </c:pt>
              </c:numCache>
            </c:numRef>
          </c:val>
          <c:smooth val="0"/>
          <c:extLst>
            <c:ext xmlns:c16="http://schemas.microsoft.com/office/drawing/2014/chart" uri="{C3380CC4-5D6E-409C-BE32-E72D297353CC}">
              <c16:uniqueId val="{00000001-9A1C-40BE-9AAC-3242D8215002}"/>
            </c:ext>
          </c:extLst>
        </c:ser>
        <c:ser>
          <c:idx val="2"/>
          <c:order val="2"/>
          <c:tx>
            <c:strRef>
              <c:f>'50..800_F'!$D$3:$D$4</c:f>
              <c:strCache>
                <c:ptCount val="1"/>
                <c:pt idx="0">
                  <c:v>A04</c:v>
                </c:pt>
              </c:strCache>
            </c:strRef>
          </c:tx>
          <c:spPr>
            <a:ln w="28575" cap="rnd">
              <a:solidFill>
                <a:schemeClr val="accent3"/>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'50..800_F'!$D$5:$D$123</c:f>
              <c:numCache>
                <c:formatCode>General</c:formatCode>
                <c:ptCount val="118"/>
                <c:pt idx="0">
                  <c:v>183.89</c:v>
                </c:pt>
                <c:pt idx="1">
                  <c:v>186.02</c:v>
                </c:pt>
                <c:pt idx="2">
                  <c:v>188.88</c:v>
                </c:pt>
                <c:pt idx="3">
                  <c:v>192</c:v>
                </c:pt>
                <c:pt idx="4">
                  <c:v>195.3</c:v>
                </c:pt>
                <c:pt idx="5">
                  <c:v>198.78</c:v>
                </c:pt>
                <c:pt idx="6">
                  <c:v>202.45</c:v>
                </c:pt>
                <c:pt idx="7">
                  <c:v>206.33</c:v>
                </c:pt>
                <c:pt idx="8">
                  <c:v>210.42</c:v>
                </c:pt>
                <c:pt idx="9">
                  <c:v>214.74</c:v>
                </c:pt>
                <c:pt idx="10">
                  <c:v>219.29</c:v>
                </c:pt>
                <c:pt idx="11">
                  <c:v>224.1</c:v>
                </c:pt>
                <c:pt idx="12">
                  <c:v>229.16</c:v>
                </c:pt>
                <c:pt idx="13">
                  <c:v>234.51</c:v>
                </c:pt>
                <c:pt idx="14">
                  <c:v>240.14</c:v>
                </c:pt>
                <c:pt idx="15">
                  <c:v>246.07</c:v>
                </c:pt>
                <c:pt idx="16">
                  <c:v>252.32</c:v>
                </c:pt>
                <c:pt idx="17">
                  <c:v>258.89999999999998</c:v>
                </c:pt>
                <c:pt idx="18">
                  <c:v>265.81</c:v>
                </c:pt>
                <c:pt idx="19">
                  <c:v>273.06</c:v>
                </c:pt>
                <c:pt idx="20">
                  <c:v>280.68</c:v>
                </c:pt>
                <c:pt idx="21">
                  <c:v>288.64999999999998</c:v>
                </c:pt>
                <c:pt idx="22">
                  <c:v>296.98</c:v>
                </c:pt>
                <c:pt idx="23">
                  <c:v>305.67</c:v>
                </c:pt>
                <c:pt idx="24">
                  <c:v>314.73</c:v>
                </c:pt>
                <c:pt idx="25">
                  <c:v>324.12</c:v>
                </c:pt>
                <c:pt idx="26">
                  <c:v>333.85</c:v>
                </c:pt>
                <c:pt idx="27">
                  <c:v>343.89</c:v>
                </c:pt>
                <c:pt idx="28">
                  <c:v>354.2</c:v>
                </c:pt>
                <c:pt idx="29">
                  <c:v>364.76</c:v>
                </c:pt>
                <c:pt idx="30">
                  <c:v>375.51</c:v>
                </c:pt>
                <c:pt idx="31">
                  <c:v>386.39</c:v>
                </c:pt>
                <c:pt idx="32">
                  <c:v>397.35</c:v>
                </c:pt>
                <c:pt idx="33">
                  <c:v>408.32</c:v>
                </c:pt>
                <c:pt idx="34">
                  <c:v>419.22</c:v>
                </c:pt>
                <c:pt idx="35">
                  <c:v>429.96</c:v>
                </c:pt>
                <c:pt idx="36">
                  <c:v>440.47</c:v>
                </c:pt>
                <c:pt idx="37">
                  <c:v>450.68</c:v>
                </c:pt>
                <c:pt idx="38">
                  <c:v>460.51</c:v>
                </c:pt>
                <c:pt idx="39">
                  <c:v>469.91</c:v>
                </c:pt>
                <c:pt idx="40">
                  <c:v>478.85</c:v>
                </c:pt>
                <c:pt idx="41">
                  <c:v>487.31</c:v>
                </c:pt>
                <c:pt idx="42">
                  <c:v>495.31</c:v>
                </c:pt>
                <c:pt idx="43">
                  <c:v>502.92</c:v>
                </c:pt>
                <c:pt idx="44">
                  <c:v>510.23</c:v>
                </c:pt>
                <c:pt idx="45">
                  <c:v>517.39</c:v>
                </c:pt>
                <c:pt idx="46">
                  <c:v>524.57000000000005</c:v>
                </c:pt>
                <c:pt idx="47">
                  <c:v>532</c:v>
                </c:pt>
                <c:pt idx="48">
                  <c:v>539.96</c:v>
                </c:pt>
                <c:pt idx="49">
                  <c:v>548.74</c:v>
                </c:pt>
                <c:pt idx="50">
                  <c:v>558.65</c:v>
                </c:pt>
                <c:pt idx="51">
                  <c:v>570.04999999999995</c:v>
                </c:pt>
                <c:pt idx="52">
                  <c:v>583.25</c:v>
                </c:pt>
                <c:pt idx="53">
                  <c:v>598.61</c:v>
                </c:pt>
                <c:pt idx="54">
                  <c:v>616.42999999999995</c:v>
                </c:pt>
                <c:pt idx="55">
                  <c:v>637</c:v>
                </c:pt>
                <c:pt idx="56">
                  <c:v>660.62</c:v>
                </c:pt>
                <c:pt idx="57">
                  <c:v>687.55</c:v>
                </c:pt>
                <c:pt idx="58">
                  <c:v>718.07</c:v>
                </c:pt>
                <c:pt idx="59">
                  <c:v>752.52</c:v>
                </c:pt>
                <c:pt idx="60">
                  <c:v>791.28</c:v>
                </c:pt>
                <c:pt idx="61">
                  <c:v>834.86</c:v>
                </c:pt>
                <c:pt idx="62">
                  <c:v>883.9</c:v>
                </c:pt>
                <c:pt idx="63">
                  <c:v>939.24</c:v>
                </c:pt>
                <c:pt idx="64">
                  <c:v>1001.88</c:v>
                </c:pt>
                <c:pt idx="65">
                  <c:v>1073.01</c:v>
                </c:pt>
                <c:pt idx="66">
                  <c:v>1153.94</c:v>
                </c:pt>
                <c:pt idx="67">
                  <c:v>1246.02</c:v>
                </c:pt>
                <c:pt idx="68">
                  <c:v>1350.56</c:v>
                </c:pt>
                <c:pt idx="69">
                  <c:v>1468.7</c:v>
                </c:pt>
                <c:pt idx="70">
                  <c:v>1601.26</c:v>
                </c:pt>
                <c:pt idx="71">
                  <c:v>1748.66</c:v>
                </c:pt>
                <c:pt idx="72">
                  <c:v>1911.14</c:v>
                </c:pt>
                <c:pt idx="73">
                  <c:v>2090.4899999999998</c:v>
                </c:pt>
                <c:pt idx="74">
                  <c:v>2294.94</c:v>
                </c:pt>
                <c:pt idx="75">
                  <c:v>2547.81</c:v>
                </c:pt>
                <c:pt idx="76">
                  <c:v>2891.37</c:v>
                </c:pt>
                <c:pt idx="77">
                  <c:v>3326.65</c:v>
                </c:pt>
                <c:pt idx="78">
                  <c:v>3733.41</c:v>
                </c:pt>
                <c:pt idx="79">
                  <c:v>3942.78</c:v>
                </c:pt>
                <c:pt idx="80">
                  <c:v>3814.94</c:v>
                </c:pt>
                <c:pt idx="81">
                  <c:v>3315.02</c:v>
                </c:pt>
                <c:pt idx="82">
                  <c:v>2556.4699999999998</c:v>
                </c:pt>
                <c:pt idx="83">
                  <c:v>1777.63</c:v>
                </c:pt>
                <c:pt idx="84">
                  <c:v>1187.8699999999999</c:v>
                </c:pt>
                <c:pt idx="85">
                  <c:v>801.98</c:v>
                </c:pt>
                <c:pt idx="86">
                  <c:v>555.88</c:v>
                </c:pt>
                <c:pt idx="87">
                  <c:v>397.4</c:v>
                </c:pt>
                <c:pt idx="88">
                  <c:v>293.19</c:v>
                </c:pt>
                <c:pt idx="89">
                  <c:v>222.98</c:v>
                </c:pt>
                <c:pt idx="90">
                  <c:v>174.53</c:v>
                </c:pt>
                <c:pt idx="91">
                  <c:v>140.30000000000001</c:v>
                </c:pt>
                <c:pt idx="92">
                  <c:v>115.57</c:v>
                </c:pt>
                <c:pt idx="93">
                  <c:v>97.3</c:v>
                </c:pt>
                <c:pt idx="94">
                  <c:v>83.49</c:v>
                </c:pt>
                <c:pt idx="95">
                  <c:v>72.790000000000006</c:v>
                </c:pt>
                <c:pt idx="96">
                  <c:v>64.31</c:v>
                </c:pt>
                <c:pt idx="97">
                  <c:v>57.45</c:v>
                </c:pt>
                <c:pt idx="98">
                  <c:v>51.81</c:v>
                </c:pt>
                <c:pt idx="99">
                  <c:v>47.12</c:v>
                </c:pt>
                <c:pt idx="100">
                  <c:v>43.21</c:v>
                </c:pt>
                <c:pt idx="101">
                  <c:v>39.94</c:v>
                </c:pt>
                <c:pt idx="102">
                  <c:v>37.22</c:v>
                </c:pt>
                <c:pt idx="103">
                  <c:v>34.97</c:v>
                </c:pt>
                <c:pt idx="104">
                  <c:v>33.119999999999997</c:v>
                </c:pt>
                <c:pt idx="105">
                  <c:v>31.62</c:v>
                </c:pt>
                <c:pt idx="106">
                  <c:v>30.42</c:v>
                </c:pt>
                <c:pt idx="107">
                  <c:v>29.46</c:v>
                </c:pt>
                <c:pt idx="108">
                  <c:v>28.73</c:v>
                </c:pt>
                <c:pt idx="109">
                  <c:v>28.19</c:v>
                </c:pt>
                <c:pt idx="110">
                  <c:v>27.8</c:v>
                </c:pt>
                <c:pt idx="111">
                  <c:v>27.57</c:v>
                </c:pt>
                <c:pt idx="112">
                  <c:v>27.45</c:v>
                </c:pt>
                <c:pt idx="113">
                  <c:v>27.45</c:v>
                </c:pt>
                <c:pt idx="114">
                  <c:v>27.54</c:v>
                </c:pt>
                <c:pt idx="115">
                  <c:v>27.73</c:v>
                </c:pt>
                <c:pt idx="116">
                  <c:v>27.98</c:v>
                </c:pt>
                <c:pt idx="117">
                  <c:v>28.21</c:v>
                </c:pt>
              </c:numCache>
            </c:numRef>
          </c:val>
          <c:smooth val="0"/>
          <c:extLst>
            <c:ext xmlns:c16="http://schemas.microsoft.com/office/drawing/2014/chart" uri="{C3380CC4-5D6E-409C-BE32-E72D297353CC}">
              <c16:uniqueId val="{00000002-9A1C-40BE-9AAC-3242D8215002}"/>
            </c:ext>
          </c:extLst>
        </c:ser>
        <c:ser>
          <c:idx val="3"/>
          <c:order val="3"/>
          <c:tx>
            <c:strRef>
              <c:f>'50..800_F'!$E$3:$E$4</c:f>
              <c:strCache>
                <c:ptCount val="1"/>
                <c:pt idx="0">
                  <c:v>A05</c:v>
                </c:pt>
              </c:strCache>
            </c:strRef>
          </c:tx>
          <c:spPr>
            <a:ln w="28575" cap="rnd">
              <a:solidFill>
                <a:schemeClr val="accent4"/>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'50..800_F'!$E$5:$E$123</c:f>
              <c:numCache>
                <c:formatCode>General</c:formatCode>
                <c:ptCount val="118"/>
                <c:pt idx="0">
                  <c:v>206.62</c:v>
                </c:pt>
                <c:pt idx="1">
                  <c:v>208.68</c:v>
                </c:pt>
                <c:pt idx="2">
                  <c:v>211.34</c:v>
                </c:pt>
                <c:pt idx="3">
                  <c:v>214.24</c:v>
                </c:pt>
                <c:pt idx="4">
                  <c:v>217.28</c:v>
                </c:pt>
                <c:pt idx="5">
                  <c:v>220.49</c:v>
                </c:pt>
                <c:pt idx="6">
                  <c:v>223.85</c:v>
                </c:pt>
                <c:pt idx="7">
                  <c:v>227.39</c:v>
                </c:pt>
                <c:pt idx="8">
                  <c:v>231.12</c:v>
                </c:pt>
                <c:pt idx="9">
                  <c:v>235.04</c:v>
                </c:pt>
                <c:pt idx="10">
                  <c:v>239.16</c:v>
                </c:pt>
                <c:pt idx="11">
                  <c:v>243.5</c:v>
                </c:pt>
                <c:pt idx="12">
                  <c:v>248.07</c:v>
                </c:pt>
                <c:pt idx="13">
                  <c:v>252.87</c:v>
                </c:pt>
                <c:pt idx="14">
                  <c:v>257.93</c:v>
                </c:pt>
                <c:pt idx="15">
                  <c:v>263.25</c:v>
                </c:pt>
                <c:pt idx="16">
                  <c:v>268.85000000000002</c:v>
                </c:pt>
                <c:pt idx="17">
                  <c:v>274.73</c:v>
                </c:pt>
                <c:pt idx="18">
                  <c:v>280.89999999999998</c:v>
                </c:pt>
                <c:pt idx="19">
                  <c:v>287.38</c:v>
                </c:pt>
                <c:pt idx="20">
                  <c:v>294.18</c:v>
                </c:pt>
                <c:pt idx="21">
                  <c:v>301.3</c:v>
                </c:pt>
                <c:pt idx="22">
                  <c:v>308.74</c:v>
                </c:pt>
                <c:pt idx="23">
                  <c:v>316.51</c:v>
                </c:pt>
                <c:pt idx="24">
                  <c:v>324.62</c:v>
                </c:pt>
                <c:pt idx="25">
                  <c:v>333.04</c:v>
                </c:pt>
                <c:pt idx="26">
                  <c:v>341.78</c:v>
                </c:pt>
                <c:pt idx="27">
                  <c:v>350.82</c:v>
                </c:pt>
                <c:pt idx="28">
                  <c:v>360.14</c:v>
                </c:pt>
                <c:pt idx="29">
                  <c:v>369.7</c:v>
                </c:pt>
                <c:pt idx="30">
                  <c:v>379.49</c:v>
                </c:pt>
                <c:pt idx="31">
                  <c:v>389.45</c:v>
                </c:pt>
                <c:pt idx="32">
                  <c:v>399.53</c:v>
                </c:pt>
                <c:pt idx="33">
                  <c:v>409.68</c:v>
                </c:pt>
                <c:pt idx="34">
                  <c:v>419.83</c:v>
                </c:pt>
                <c:pt idx="35">
                  <c:v>429.92</c:v>
                </c:pt>
                <c:pt idx="36">
                  <c:v>439.88</c:v>
                </c:pt>
                <c:pt idx="37">
                  <c:v>449.64</c:v>
                </c:pt>
                <c:pt idx="38">
                  <c:v>459.13</c:v>
                </c:pt>
                <c:pt idx="39">
                  <c:v>468.3</c:v>
                </c:pt>
                <c:pt idx="40">
                  <c:v>477.09</c:v>
                </c:pt>
                <c:pt idx="41">
                  <c:v>485.5</c:v>
                </c:pt>
                <c:pt idx="42">
                  <c:v>493.53</c:v>
                </c:pt>
                <c:pt idx="43">
                  <c:v>501.19</c:v>
                </c:pt>
                <c:pt idx="44">
                  <c:v>508.57</c:v>
                </c:pt>
                <c:pt idx="45">
                  <c:v>515.76</c:v>
                </c:pt>
                <c:pt idx="46">
                  <c:v>522.92999999999995</c:v>
                </c:pt>
                <c:pt idx="47">
                  <c:v>530.24</c:v>
                </c:pt>
                <c:pt idx="48">
                  <c:v>537.95000000000005</c:v>
                </c:pt>
                <c:pt idx="49">
                  <c:v>546.30999999999995</c:v>
                </c:pt>
                <c:pt idx="50">
                  <c:v>555.61</c:v>
                </c:pt>
                <c:pt idx="51">
                  <c:v>566.16999999999996</c:v>
                </c:pt>
                <c:pt idx="52">
                  <c:v>578.29999999999995</c:v>
                </c:pt>
                <c:pt idx="53">
                  <c:v>592.33000000000004</c:v>
                </c:pt>
                <c:pt idx="54">
                  <c:v>608.57000000000005</c:v>
                </c:pt>
                <c:pt idx="55">
                  <c:v>627.32000000000005</c:v>
                </c:pt>
                <c:pt idx="56">
                  <c:v>648.87</c:v>
                </c:pt>
                <c:pt idx="57">
                  <c:v>673.53</c:v>
                </c:pt>
                <c:pt idx="58">
                  <c:v>701.61</c:v>
                </c:pt>
                <c:pt idx="59">
                  <c:v>733.47</c:v>
                </c:pt>
                <c:pt idx="60">
                  <c:v>769.53</c:v>
                </c:pt>
                <c:pt idx="61">
                  <c:v>810.32</c:v>
                </c:pt>
                <c:pt idx="62">
                  <c:v>856.46</c:v>
                </c:pt>
                <c:pt idx="63">
                  <c:v>908.73</c:v>
                </c:pt>
                <c:pt idx="64">
                  <c:v>968.03</c:v>
                </c:pt>
                <c:pt idx="65">
                  <c:v>1035.44</c:v>
                </c:pt>
                <c:pt idx="66">
                  <c:v>1112.1400000000001</c:v>
                </c:pt>
                <c:pt idx="67">
                  <c:v>1199.43</c:v>
                </c:pt>
                <c:pt idx="68">
                  <c:v>1298.5999999999999</c:v>
                </c:pt>
                <c:pt idx="69">
                  <c:v>1410.77</c:v>
                </c:pt>
                <c:pt idx="70">
                  <c:v>1536.65</c:v>
                </c:pt>
                <c:pt idx="71">
                  <c:v>1676.22</c:v>
                </c:pt>
                <c:pt idx="72">
                  <c:v>1828.67</c:v>
                </c:pt>
                <c:pt idx="73">
                  <c:v>1993.84</c:v>
                </c:pt>
                <c:pt idx="74">
                  <c:v>2176.84</c:v>
                </c:pt>
                <c:pt idx="75">
                  <c:v>2397.23</c:v>
                </c:pt>
                <c:pt idx="76">
                  <c:v>2699</c:v>
                </c:pt>
                <c:pt idx="77">
                  <c:v>3101.26</c:v>
                </c:pt>
                <c:pt idx="78">
                  <c:v>3507.29</c:v>
                </c:pt>
                <c:pt idx="79">
                  <c:v>3761.12</c:v>
                </c:pt>
                <c:pt idx="80">
                  <c:v>3717.1</c:v>
                </c:pt>
                <c:pt idx="81">
                  <c:v>3313.81</c:v>
                </c:pt>
                <c:pt idx="82">
                  <c:v>2629.1</c:v>
                </c:pt>
                <c:pt idx="83">
                  <c:v>1875.13</c:v>
                </c:pt>
                <c:pt idx="84">
                  <c:v>1271.78</c:v>
                </c:pt>
                <c:pt idx="85">
                  <c:v>864.81</c:v>
                </c:pt>
                <c:pt idx="86">
                  <c:v>601.49</c:v>
                </c:pt>
                <c:pt idx="87">
                  <c:v>430.67</c:v>
                </c:pt>
                <c:pt idx="88">
                  <c:v>317.93</c:v>
                </c:pt>
                <c:pt idx="89">
                  <c:v>241.83</c:v>
                </c:pt>
                <c:pt idx="90">
                  <c:v>189.24</c:v>
                </c:pt>
                <c:pt idx="91">
                  <c:v>152.07</c:v>
                </c:pt>
                <c:pt idx="92">
                  <c:v>125.28</c:v>
                </c:pt>
                <c:pt idx="93">
                  <c:v>105.61</c:v>
                </c:pt>
                <c:pt idx="94">
                  <c:v>90.92</c:v>
                </c:pt>
                <c:pt idx="95">
                  <c:v>79.75</c:v>
                </c:pt>
                <c:pt idx="96">
                  <c:v>71.09</c:v>
                </c:pt>
                <c:pt idx="97">
                  <c:v>64.23</c:v>
                </c:pt>
                <c:pt idx="98">
                  <c:v>58.69</c:v>
                </c:pt>
                <c:pt idx="99">
                  <c:v>54.12</c:v>
                </c:pt>
                <c:pt idx="100">
                  <c:v>50.31</c:v>
                </c:pt>
                <c:pt idx="101">
                  <c:v>47.11</c:v>
                </c:pt>
                <c:pt idx="102">
                  <c:v>44.4</c:v>
                </c:pt>
                <c:pt idx="103">
                  <c:v>42.12</c:v>
                </c:pt>
                <c:pt idx="104">
                  <c:v>40.200000000000003</c:v>
                </c:pt>
                <c:pt idx="105">
                  <c:v>38.6</c:v>
                </c:pt>
                <c:pt idx="106">
                  <c:v>37.270000000000003</c:v>
                </c:pt>
                <c:pt idx="107">
                  <c:v>36.19</c:v>
                </c:pt>
                <c:pt idx="108">
                  <c:v>35.32</c:v>
                </c:pt>
                <c:pt idx="109">
                  <c:v>34.630000000000003</c:v>
                </c:pt>
                <c:pt idx="110">
                  <c:v>34.119999999999997</c:v>
                </c:pt>
                <c:pt idx="111">
                  <c:v>33.75</c:v>
                </c:pt>
                <c:pt idx="112">
                  <c:v>33.51</c:v>
                </c:pt>
                <c:pt idx="113">
                  <c:v>33.39</c:v>
                </c:pt>
                <c:pt idx="114">
                  <c:v>33.380000000000003</c:v>
                </c:pt>
                <c:pt idx="115">
                  <c:v>33.47</c:v>
                </c:pt>
                <c:pt idx="116">
                  <c:v>33.64</c:v>
                </c:pt>
                <c:pt idx="117">
                  <c:v>33.82</c:v>
                </c:pt>
              </c:numCache>
            </c:numRef>
          </c:val>
          <c:smooth val="0"/>
          <c:extLst>
            <c:ext xmlns:c16="http://schemas.microsoft.com/office/drawing/2014/chart" uri="{C3380CC4-5D6E-409C-BE32-E72D297353CC}">
              <c16:uniqueId val="{00000003-9A1C-40BE-9AAC-3242D8215002}"/>
            </c:ext>
          </c:extLst>
        </c:ser>
        <c:ser>
          <c:idx val="4"/>
          <c:order val="4"/>
          <c:tx>
            <c:strRef>
              <c:f>'50..800_F'!$F$3:$F$4</c:f>
              <c:strCache>
                <c:ptCount val="1"/>
                <c:pt idx="0">
                  <c:v>A06</c:v>
                </c:pt>
              </c:strCache>
            </c:strRef>
          </c:tx>
          <c:spPr>
            <a:ln w="28575" cap="rnd">
              <a:solidFill>
                <a:schemeClr val="accent5"/>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'50..800_F'!$F$5:$F$123</c:f>
              <c:numCache>
                <c:formatCode>General</c:formatCode>
                <c:ptCount val="118"/>
                <c:pt idx="0">
                  <c:v>210.79</c:v>
                </c:pt>
                <c:pt idx="1">
                  <c:v>212.91</c:v>
                </c:pt>
                <c:pt idx="2">
                  <c:v>215.67</c:v>
                </c:pt>
                <c:pt idx="3">
                  <c:v>218.66</c:v>
                </c:pt>
                <c:pt idx="4">
                  <c:v>221.81</c:v>
                </c:pt>
                <c:pt idx="5">
                  <c:v>225.12</c:v>
                </c:pt>
                <c:pt idx="6">
                  <c:v>228.6</c:v>
                </c:pt>
                <c:pt idx="7">
                  <c:v>232.27</c:v>
                </c:pt>
                <c:pt idx="8">
                  <c:v>236.13</c:v>
                </c:pt>
                <c:pt idx="9">
                  <c:v>240.19</c:v>
                </c:pt>
                <c:pt idx="10">
                  <c:v>244.46</c:v>
                </c:pt>
                <c:pt idx="11">
                  <c:v>248.96</c:v>
                </c:pt>
                <c:pt idx="12">
                  <c:v>253.69</c:v>
                </c:pt>
                <c:pt idx="13">
                  <c:v>258.68</c:v>
                </c:pt>
                <c:pt idx="14">
                  <c:v>263.92</c:v>
                </c:pt>
                <c:pt idx="15">
                  <c:v>269.44</c:v>
                </c:pt>
                <c:pt idx="16">
                  <c:v>275.24</c:v>
                </c:pt>
                <c:pt idx="17">
                  <c:v>281.33999999999997</c:v>
                </c:pt>
                <c:pt idx="18">
                  <c:v>287.75</c:v>
                </c:pt>
                <c:pt idx="19">
                  <c:v>294.48</c:v>
                </c:pt>
                <c:pt idx="20">
                  <c:v>301.52999999999997</c:v>
                </c:pt>
                <c:pt idx="21">
                  <c:v>308.92</c:v>
                </c:pt>
                <c:pt idx="22">
                  <c:v>316.64999999999998</c:v>
                </c:pt>
                <c:pt idx="23">
                  <c:v>324.72000000000003</c:v>
                </c:pt>
                <c:pt idx="24">
                  <c:v>333.13</c:v>
                </c:pt>
                <c:pt idx="25">
                  <c:v>341.88</c:v>
                </c:pt>
                <c:pt idx="26">
                  <c:v>350.96</c:v>
                </c:pt>
                <c:pt idx="27">
                  <c:v>360.35</c:v>
                </c:pt>
                <c:pt idx="28">
                  <c:v>370.04</c:v>
                </c:pt>
                <c:pt idx="29">
                  <c:v>379.99</c:v>
                </c:pt>
                <c:pt idx="30">
                  <c:v>390.17</c:v>
                </c:pt>
                <c:pt idx="31">
                  <c:v>400.54</c:v>
                </c:pt>
                <c:pt idx="32">
                  <c:v>411.04</c:v>
                </c:pt>
                <c:pt idx="33">
                  <c:v>421.63</c:v>
                </c:pt>
                <c:pt idx="34">
                  <c:v>432.24</c:v>
                </c:pt>
                <c:pt idx="35">
                  <c:v>442.8</c:v>
                </c:pt>
                <c:pt idx="36">
                  <c:v>453.25</c:v>
                </c:pt>
                <c:pt idx="37">
                  <c:v>463.51</c:v>
                </c:pt>
                <c:pt idx="38">
                  <c:v>473.53</c:v>
                </c:pt>
                <c:pt idx="39">
                  <c:v>483.25</c:v>
                </c:pt>
                <c:pt idx="40">
                  <c:v>492.63</c:v>
                </c:pt>
                <c:pt idx="41">
                  <c:v>501.67</c:v>
                </c:pt>
                <c:pt idx="42">
                  <c:v>510.37</c:v>
                </c:pt>
                <c:pt idx="43">
                  <c:v>518.77</c:v>
                </c:pt>
                <c:pt idx="44">
                  <c:v>526.95000000000005</c:v>
                </c:pt>
                <c:pt idx="45">
                  <c:v>535.04999999999995</c:v>
                </c:pt>
                <c:pt idx="46">
                  <c:v>543.21</c:v>
                </c:pt>
                <c:pt idx="47">
                  <c:v>551.65</c:v>
                </c:pt>
                <c:pt idx="48">
                  <c:v>560.62</c:v>
                </c:pt>
                <c:pt idx="49">
                  <c:v>570.39</c:v>
                </c:pt>
                <c:pt idx="50">
                  <c:v>581.26</c:v>
                </c:pt>
                <c:pt idx="51">
                  <c:v>593.54</c:v>
                </c:pt>
                <c:pt idx="52">
                  <c:v>607.55999999999995</c:v>
                </c:pt>
                <c:pt idx="53">
                  <c:v>623.62</c:v>
                </c:pt>
                <c:pt idx="54">
                  <c:v>642</c:v>
                </c:pt>
                <c:pt idx="55">
                  <c:v>662.99</c:v>
                </c:pt>
                <c:pt idx="56">
                  <c:v>686.83</c:v>
                </c:pt>
                <c:pt idx="57">
                  <c:v>713.79</c:v>
                </c:pt>
                <c:pt idx="58">
                  <c:v>744.18</c:v>
                </c:pt>
                <c:pt idx="59">
                  <c:v>778.32</c:v>
                </c:pt>
                <c:pt idx="60">
                  <c:v>816.66</c:v>
                </c:pt>
                <c:pt idx="61">
                  <c:v>859.76</c:v>
                </c:pt>
                <c:pt idx="62">
                  <c:v>908.31</c:v>
                </c:pt>
                <c:pt idx="63">
                  <c:v>963.16</c:v>
                </c:pt>
                <c:pt idx="64">
                  <c:v>1025.3399999999999</c:v>
                </c:pt>
                <c:pt idx="65">
                  <c:v>1096</c:v>
                </c:pt>
                <c:pt idx="66">
                  <c:v>1176.45</c:v>
                </c:pt>
                <c:pt idx="67">
                  <c:v>1268.06</c:v>
                </c:pt>
                <c:pt idx="68">
                  <c:v>1372.26</c:v>
                </c:pt>
                <c:pt idx="69">
                  <c:v>1490.36</c:v>
                </c:pt>
                <c:pt idx="70">
                  <c:v>1623.3</c:v>
                </c:pt>
                <c:pt idx="71">
                  <c:v>1771.3</c:v>
                </c:pt>
                <c:pt idx="72">
                  <c:v>1933.65</c:v>
                </c:pt>
                <c:pt idx="73">
                  <c:v>2109.8000000000002</c:v>
                </c:pt>
                <c:pt idx="74">
                  <c:v>2303.9699999999998</c:v>
                </c:pt>
                <c:pt idx="75">
                  <c:v>2535.2600000000002</c:v>
                </c:pt>
                <c:pt idx="76">
                  <c:v>2850.11</c:v>
                </c:pt>
                <c:pt idx="77">
                  <c:v>3271.81</c:v>
                </c:pt>
                <c:pt idx="78">
                  <c:v>3701.67</c:v>
                </c:pt>
                <c:pt idx="79">
                  <c:v>3976.54</c:v>
                </c:pt>
                <c:pt idx="80">
                  <c:v>3941.27</c:v>
                </c:pt>
                <c:pt idx="81">
                  <c:v>3526.6</c:v>
                </c:pt>
                <c:pt idx="82">
                  <c:v>2809.55</c:v>
                </c:pt>
                <c:pt idx="83">
                  <c:v>2011.3</c:v>
                </c:pt>
                <c:pt idx="84">
                  <c:v>1367.22</c:v>
                </c:pt>
                <c:pt idx="85">
                  <c:v>930.81</c:v>
                </c:pt>
                <c:pt idx="86">
                  <c:v>647.67999999999995</c:v>
                </c:pt>
                <c:pt idx="87">
                  <c:v>463.59</c:v>
                </c:pt>
                <c:pt idx="88">
                  <c:v>341.83</c:v>
                </c:pt>
                <c:pt idx="89">
                  <c:v>259.45</c:v>
                </c:pt>
                <c:pt idx="90">
                  <c:v>202.38</c:v>
                </c:pt>
                <c:pt idx="91">
                  <c:v>161.91</c:v>
                </c:pt>
                <c:pt idx="92">
                  <c:v>132.56</c:v>
                </c:pt>
                <c:pt idx="93">
                  <c:v>110.82</c:v>
                </c:pt>
                <c:pt idx="94">
                  <c:v>94.37</c:v>
                </c:pt>
                <c:pt idx="95">
                  <c:v>81.67</c:v>
                </c:pt>
                <c:pt idx="96">
                  <c:v>71.67</c:v>
                </c:pt>
                <c:pt idx="97">
                  <c:v>63.65</c:v>
                </c:pt>
                <c:pt idx="98">
                  <c:v>57.14</c:v>
                </c:pt>
                <c:pt idx="99">
                  <c:v>51.79</c:v>
                </c:pt>
                <c:pt idx="100">
                  <c:v>47.37</c:v>
                </c:pt>
                <c:pt idx="101">
                  <c:v>43.72</c:v>
                </c:pt>
                <c:pt idx="102">
                  <c:v>40.71</c:v>
                </c:pt>
                <c:pt idx="103">
                  <c:v>38.229999999999997</c:v>
                </c:pt>
                <c:pt idx="104">
                  <c:v>36.21</c:v>
                </c:pt>
                <c:pt idx="105">
                  <c:v>34.57</c:v>
                </c:pt>
                <c:pt idx="106">
                  <c:v>33.270000000000003</c:v>
                </c:pt>
                <c:pt idx="107">
                  <c:v>32.24</c:v>
                </c:pt>
                <c:pt idx="108">
                  <c:v>31.46</c:v>
                </c:pt>
                <c:pt idx="109">
                  <c:v>30.88</c:v>
                </c:pt>
                <c:pt idx="110">
                  <c:v>30.47</c:v>
                </c:pt>
                <c:pt idx="111">
                  <c:v>30.22</c:v>
                </c:pt>
                <c:pt idx="112">
                  <c:v>30.11</c:v>
                </c:pt>
                <c:pt idx="113">
                  <c:v>30.11</c:v>
                </c:pt>
                <c:pt idx="114">
                  <c:v>30.22</c:v>
                </c:pt>
                <c:pt idx="115">
                  <c:v>30.42</c:v>
                </c:pt>
                <c:pt idx="116">
                  <c:v>30.7</c:v>
                </c:pt>
                <c:pt idx="117">
                  <c:v>30.95</c:v>
                </c:pt>
              </c:numCache>
            </c:numRef>
          </c:val>
          <c:smooth val="0"/>
          <c:extLst>
            <c:ext xmlns:c16="http://schemas.microsoft.com/office/drawing/2014/chart" uri="{C3380CC4-5D6E-409C-BE32-E72D297353CC}">
              <c16:uniqueId val="{00000004-9A1C-40BE-9AAC-3242D8215002}"/>
            </c:ext>
          </c:extLst>
        </c:ser>
        <c:ser>
          <c:idx val="5"/>
          <c:order val="5"/>
          <c:tx>
            <c:strRef>
              <c:f>'50..800_F'!$G$3:$G$4</c:f>
              <c:strCache>
                <c:ptCount val="1"/>
                <c:pt idx="0">
                  <c:v>A07</c:v>
                </c:pt>
              </c:strCache>
            </c:strRef>
          </c:tx>
          <c:spPr>
            <a:ln w="28575" cap="rnd">
              <a:solidFill>
                <a:schemeClr val="accent6"/>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'50..800_F'!$G$5:$G$123</c:f>
              <c:numCache>
                <c:formatCode>General</c:formatCode>
                <c:ptCount val="118"/>
                <c:pt idx="0">
                  <c:v>141.44999999999999</c:v>
                </c:pt>
                <c:pt idx="1">
                  <c:v>143.32</c:v>
                </c:pt>
                <c:pt idx="2">
                  <c:v>145.88999999999999</c:v>
                </c:pt>
                <c:pt idx="3">
                  <c:v>148.72</c:v>
                </c:pt>
                <c:pt idx="4">
                  <c:v>151.72</c:v>
                </c:pt>
                <c:pt idx="5">
                  <c:v>154.9</c:v>
                </c:pt>
                <c:pt idx="6">
                  <c:v>158.28</c:v>
                </c:pt>
                <c:pt idx="7">
                  <c:v>161.86000000000001</c:v>
                </c:pt>
                <c:pt idx="8">
                  <c:v>165.67</c:v>
                </c:pt>
                <c:pt idx="9">
                  <c:v>169.7</c:v>
                </c:pt>
                <c:pt idx="10">
                  <c:v>173.97</c:v>
                </c:pt>
                <c:pt idx="11">
                  <c:v>178.5</c:v>
                </c:pt>
                <c:pt idx="12">
                  <c:v>183.31</c:v>
                </c:pt>
                <c:pt idx="13">
                  <c:v>188.4</c:v>
                </c:pt>
                <c:pt idx="14">
                  <c:v>193.79</c:v>
                </c:pt>
                <c:pt idx="15">
                  <c:v>199.5</c:v>
                </c:pt>
                <c:pt idx="16">
                  <c:v>205.55</c:v>
                </c:pt>
                <c:pt idx="17">
                  <c:v>211.94</c:v>
                </c:pt>
                <c:pt idx="18">
                  <c:v>218.69</c:v>
                </c:pt>
                <c:pt idx="19">
                  <c:v>225.82</c:v>
                </c:pt>
                <c:pt idx="20">
                  <c:v>233.34</c:v>
                </c:pt>
                <c:pt idx="21">
                  <c:v>241.25</c:v>
                </c:pt>
                <c:pt idx="22">
                  <c:v>249.57</c:v>
                </c:pt>
                <c:pt idx="23">
                  <c:v>258.31</c:v>
                </c:pt>
                <c:pt idx="24">
                  <c:v>267.45999999999998</c:v>
                </c:pt>
                <c:pt idx="25">
                  <c:v>277.02</c:v>
                </c:pt>
                <c:pt idx="26">
                  <c:v>286.98</c:v>
                </c:pt>
                <c:pt idx="27">
                  <c:v>297.32</c:v>
                </c:pt>
                <c:pt idx="28">
                  <c:v>308.02999999999997</c:v>
                </c:pt>
                <c:pt idx="29">
                  <c:v>319.08</c:v>
                </c:pt>
                <c:pt idx="30">
                  <c:v>330.42</c:v>
                </c:pt>
                <c:pt idx="31">
                  <c:v>342</c:v>
                </c:pt>
                <c:pt idx="32">
                  <c:v>353.78</c:v>
                </c:pt>
                <c:pt idx="33">
                  <c:v>365.67</c:v>
                </c:pt>
                <c:pt idx="34">
                  <c:v>377.61</c:v>
                </c:pt>
                <c:pt idx="35">
                  <c:v>389.53</c:v>
                </c:pt>
                <c:pt idx="36">
                  <c:v>401.33</c:v>
                </c:pt>
                <c:pt idx="37">
                  <c:v>412.94</c:v>
                </c:pt>
                <c:pt idx="38">
                  <c:v>424.29</c:v>
                </c:pt>
                <c:pt idx="39">
                  <c:v>435.31</c:v>
                </c:pt>
                <c:pt idx="40">
                  <c:v>445.95</c:v>
                </c:pt>
                <c:pt idx="41">
                  <c:v>456.2</c:v>
                </c:pt>
                <c:pt idx="42">
                  <c:v>466.05</c:v>
                </c:pt>
                <c:pt idx="43">
                  <c:v>475.54</c:v>
                </c:pt>
                <c:pt idx="44">
                  <c:v>484.74</c:v>
                </c:pt>
                <c:pt idx="45">
                  <c:v>493.77</c:v>
                </c:pt>
                <c:pt idx="46">
                  <c:v>502.77</c:v>
                </c:pt>
                <c:pt idx="47">
                  <c:v>511.94</c:v>
                </c:pt>
                <c:pt idx="48">
                  <c:v>521.5</c:v>
                </c:pt>
                <c:pt idx="49">
                  <c:v>531.67999999999995</c:v>
                </c:pt>
                <c:pt idx="50">
                  <c:v>542.75</c:v>
                </c:pt>
                <c:pt idx="51">
                  <c:v>554.97</c:v>
                </c:pt>
                <c:pt idx="52">
                  <c:v>568.63</c:v>
                </c:pt>
                <c:pt idx="53">
                  <c:v>583.99</c:v>
                </c:pt>
                <c:pt idx="54">
                  <c:v>601.32000000000005</c:v>
                </c:pt>
                <c:pt idx="55">
                  <c:v>620.86</c:v>
                </c:pt>
                <c:pt idx="56">
                  <c:v>642.91</c:v>
                </c:pt>
                <c:pt idx="57">
                  <c:v>667.75</c:v>
                </c:pt>
                <c:pt idx="58">
                  <c:v>695.71</c:v>
                </c:pt>
                <c:pt idx="59">
                  <c:v>727.2</c:v>
                </c:pt>
                <c:pt idx="60">
                  <c:v>762.7</c:v>
                </c:pt>
                <c:pt idx="61">
                  <c:v>802.79</c:v>
                </c:pt>
                <c:pt idx="62">
                  <c:v>848.17</c:v>
                </c:pt>
                <c:pt idx="63">
                  <c:v>899.69</c:v>
                </c:pt>
                <c:pt idx="64">
                  <c:v>958.33</c:v>
                </c:pt>
                <c:pt idx="65">
                  <c:v>1025.21</c:v>
                </c:pt>
                <c:pt idx="66">
                  <c:v>1101.53</c:v>
                </c:pt>
                <c:pt idx="67">
                  <c:v>1188.5</c:v>
                </c:pt>
                <c:pt idx="68">
                  <c:v>1287.25</c:v>
                </c:pt>
                <c:pt idx="69">
                  <c:v>1398.76</c:v>
                </c:pt>
                <c:pt idx="70">
                  <c:v>1523.83</c:v>
                </c:pt>
                <c:pt idx="71">
                  <c:v>1662.88</c:v>
                </c:pt>
                <c:pt idx="72">
                  <c:v>1815.71</c:v>
                </c:pt>
                <c:pt idx="73">
                  <c:v>1982.33</c:v>
                </c:pt>
                <c:pt idx="74">
                  <c:v>2167.2199999999998</c:v>
                </c:pt>
                <c:pt idx="75">
                  <c:v>2388.65</c:v>
                </c:pt>
                <c:pt idx="76">
                  <c:v>2687.84</c:v>
                </c:pt>
                <c:pt idx="77">
                  <c:v>3081.04</c:v>
                </c:pt>
                <c:pt idx="78">
                  <c:v>3474.99</c:v>
                </c:pt>
                <c:pt idx="79">
                  <c:v>3720.55</c:v>
                </c:pt>
                <c:pt idx="80">
                  <c:v>3677.04</c:v>
                </c:pt>
                <c:pt idx="81">
                  <c:v>3282.9</c:v>
                </c:pt>
                <c:pt idx="82">
                  <c:v>2611.04</c:v>
                </c:pt>
                <c:pt idx="83">
                  <c:v>1867.13</c:v>
                </c:pt>
                <c:pt idx="84">
                  <c:v>1268.51</c:v>
                </c:pt>
                <c:pt idx="85">
                  <c:v>863.27</c:v>
                </c:pt>
                <c:pt idx="86">
                  <c:v>600.52</c:v>
                </c:pt>
                <c:pt idx="87">
                  <c:v>429.88</c:v>
                </c:pt>
                <c:pt idx="88">
                  <c:v>317.19</c:v>
                </c:pt>
                <c:pt idx="89">
                  <c:v>241.05</c:v>
                </c:pt>
                <c:pt idx="90">
                  <c:v>188.32</c:v>
                </c:pt>
                <c:pt idx="91">
                  <c:v>150.9</c:v>
                </c:pt>
                <c:pt idx="92">
                  <c:v>123.75</c:v>
                </c:pt>
                <c:pt idx="93">
                  <c:v>103.62</c:v>
                </c:pt>
                <c:pt idx="94">
                  <c:v>88.38</c:v>
                </c:pt>
                <c:pt idx="95">
                  <c:v>76.61</c:v>
                </c:pt>
                <c:pt idx="96">
                  <c:v>67.34</c:v>
                </c:pt>
                <c:pt idx="97">
                  <c:v>59.9</c:v>
                </c:pt>
                <c:pt idx="98">
                  <c:v>53.84</c:v>
                </c:pt>
                <c:pt idx="99">
                  <c:v>48.86</c:v>
                </c:pt>
                <c:pt idx="100">
                  <c:v>44.75</c:v>
                </c:pt>
                <c:pt idx="101">
                  <c:v>41.34</c:v>
                </c:pt>
                <c:pt idx="102">
                  <c:v>38.53</c:v>
                </c:pt>
                <c:pt idx="103">
                  <c:v>36.22</c:v>
                </c:pt>
                <c:pt idx="104">
                  <c:v>34.35</c:v>
                </c:pt>
                <c:pt idx="105">
                  <c:v>32.85</c:v>
                </c:pt>
                <c:pt idx="106">
                  <c:v>31.66</c:v>
                </c:pt>
                <c:pt idx="107">
                  <c:v>30.74</c:v>
                </c:pt>
                <c:pt idx="108">
                  <c:v>30.05</c:v>
                </c:pt>
                <c:pt idx="109">
                  <c:v>29.56</c:v>
                </c:pt>
                <c:pt idx="110">
                  <c:v>29.23</c:v>
                </c:pt>
                <c:pt idx="111">
                  <c:v>29.05</c:v>
                </c:pt>
                <c:pt idx="112">
                  <c:v>28.99</c:v>
                </c:pt>
                <c:pt idx="113">
                  <c:v>29.04</c:v>
                </c:pt>
                <c:pt idx="114">
                  <c:v>29.19</c:v>
                </c:pt>
                <c:pt idx="115">
                  <c:v>29.43</c:v>
                </c:pt>
                <c:pt idx="116">
                  <c:v>29.73</c:v>
                </c:pt>
                <c:pt idx="117">
                  <c:v>29.99</c:v>
                </c:pt>
              </c:numCache>
            </c:numRef>
          </c:val>
          <c:smooth val="0"/>
          <c:extLst>
            <c:ext xmlns:c16="http://schemas.microsoft.com/office/drawing/2014/chart" uri="{C3380CC4-5D6E-409C-BE32-E72D297353CC}">
              <c16:uniqueId val="{00000005-9A1C-40BE-9AAC-3242D8215002}"/>
            </c:ext>
          </c:extLst>
        </c:ser>
        <c:ser>
          <c:idx val="6"/>
          <c:order val="6"/>
          <c:tx>
            <c:strRef>
              <c:f>'50..800_F'!$H$3:$H$4</c:f>
              <c:strCache>
                <c:ptCount val="1"/>
                <c:pt idx="0">
                  <c:v>A08</c:v>
                </c:pt>
              </c:strCache>
            </c:strRef>
          </c:tx>
          <c:spPr>
            <a:ln w="28575" cap="rnd">
              <a:solidFill>
                <a:schemeClr val="accent1">
                  <a:lumMod val="6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'50..800_F'!$H$5:$H$123</c:f>
              <c:numCache>
                <c:formatCode>General</c:formatCode>
                <c:ptCount val="118"/>
                <c:pt idx="0">
                  <c:v>245.55</c:v>
                </c:pt>
                <c:pt idx="1">
                  <c:v>247.85</c:v>
                </c:pt>
                <c:pt idx="2">
                  <c:v>250.79</c:v>
                </c:pt>
                <c:pt idx="3">
                  <c:v>253.96</c:v>
                </c:pt>
                <c:pt idx="4">
                  <c:v>257.27999999999997</c:v>
                </c:pt>
                <c:pt idx="5">
                  <c:v>260.76</c:v>
                </c:pt>
                <c:pt idx="6">
                  <c:v>264.41000000000003</c:v>
                </c:pt>
                <c:pt idx="7">
                  <c:v>268.23</c:v>
                </c:pt>
                <c:pt idx="8">
                  <c:v>272.23</c:v>
                </c:pt>
                <c:pt idx="9">
                  <c:v>276.43</c:v>
                </c:pt>
                <c:pt idx="10">
                  <c:v>280.83</c:v>
                </c:pt>
                <c:pt idx="11">
                  <c:v>285.44</c:v>
                </c:pt>
                <c:pt idx="12">
                  <c:v>290.27999999999997</c:v>
                </c:pt>
                <c:pt idx="13">
                  <c:v>295.35000000000002</c:v>
                </c:pt>
                <c:pt idx="14">
                  <c:v>300.67</c:v>
                </c:pt>
                <c:pt idx="15">
                  <c:v>306.23</c:v>
                </c:pt>
                <c:pt idx="16">
                  <c:v>312.07</c:v>
                </c:pt>
                <c:pt idx="17">
                  <c:v>318.17</c:v>
                </c:pt>
                <c:pt idx="18">
                  <c:v>324.56</c:v>
                </c:pt>
                <c:pt idx="19">
                  <c:v>331.23</c:v>
                </c:pt>
                <c:pt idx="20">
                  <c:v>338.2</c:v>
                </c:pt>
                <c:pt idx="21">
                  <c:v>345.47</c:v>
                </c:pt>
                <c:pt idx="22">
                  <c:v>353.04</c:v>
                </c:pt>
                <c:pt idx="23">
                  <c:v>360.9</c:v>
                </c:pt>
                <c:pt idx="24">
                  <c:v>369.06</c:v>
                </c:pt>
                <c:pt idx="25">
                  <c:v>377.51</c:v>
                </c:pt>
                <c:pt idx="26">
                  <c:v>386.22</c:v>
                </c:pt>
                <c:pt idx="27">
                  <c:v>395.19</c:v>
                </c:pt>
                <c:pt idx="28">
                  <c:v>404.39</c:v>
                </c:pt>
                <c:pt idx="29">
                  <c:v>413.78</c:v>
                </c:pt>
                <c:pt idx="30">
                  <c:v>423.33</c:v>
                </c:pt>
                <c:pt idx="31">
                  <c:v>433</c:v>
                </c:pt>
                <c:pt idx="32">
                  <c:v>442.73</c:v>
                </c:pt>
                <c:pt idx="33">
                  <c:v>452.47</c:v>
                </c:pt>
                <c:pt idx="34">
                  <c:v>462.16</c:v>
                </c:pt>
                <c:pt idx="35">
                  <c:v>471.73</c:v>
                </c:pt>
                <c:pt idx="36">
                  <c:v>481.12</c:v>
                </c:pt>
                <c:pt idx="37">
                  <c:v>490.26</c:v>
                </c:pt>
                <c:pt idx="38">
                  <c:v>499.11</c:v>
                </c:pt>
                <c:pt idx="39">
                  <c:v>507.61</c:v>
                </c:pt>
                <c:pt idx="40">
                  <c:v>515.74</c:v>
                </c:pt>
                <c:pt idx="41">
                  <c:v>523.48</c:v>
                </c:pt>
                <c:pt idx="42">
                  <c:v>530.84</c:v>
                </c:pt>
                <c:pt idx="43">
                  <c:v>537.86</c:v>
                </c:pt>
                <c:pt idx="44">
                  <c:v>544.61</c:v>
                </c:pt>
                <c:pt idx="45">
                  <c:v>551.19000000000005</c:v>
                </c:pt>
                <c:pt idx="46">
                  <c:v>557.74</c:v>
                </c:pt>
                <c:pt idx="47">
                  <c:v>564.44000000000005</c:v>
                </c:pt>
                <c:pt idx="48">
                  <c:v>571.48</c:v>
                </c:pt>
                <c:pt idx="49">
                  <c:v>579.1</c:v>
                </c:pt>
                <c:pt idx="50">
                  <c:v>587.57000000000005</c:v>
                </c:pt>
                <c:pt idx="51">
                  <c:v>597.16999999999996</c:v>
                </c:pt>
                <c:pt idx="52">
                  <c:v>608.19000000000005</c:v>
                </c:pt>
                <c:pt idx="53">
                  <c:v>620.95000000000005</c:v>
                </c:pt>
                <c:pt idx="54">
                  <c:v>635.77</c:v>
                </c:pt>
                <c:pt idx="55">
                  <c:v>652.99</c:v>
                </c:pt>
                <c:pt idx="56">
                  <c:v>672.97</c:v>
                </c:pt>
                <c:pt idx="57">
                  <c:v>696.1</c:v>
                </c:pt>
                <c:pt idx="58">
                  <c:v>722.8</c:v>
                </c:pt>
                <c:pt idx="59">
                  <c:v>753.53</c:v>
                </c:pt>
                <c:pt idx="60">
                  <c:v>788.84</c:v>
                </c:pt>
                <c:pt idx="61">
                  <c:v>829.32</c:v>
                </c:pt>
                <c:pt idx="62">
                  <c:v>875.69</c:v>
                </c:pt>
                <c:pt idx="63">
                  <c:v>928.76</c:v>
                </c:pt>
                <c:pt idx="64">
                  <c:v>989.48</c:v>
                </c:pt>
                <c:pt idx="65">
                  <c:v>1058.96</c:v>
                </c:pt>
                <c:pt idx="66">
                  <c:v>1138.4100000000001</c:v>
                </c:pt>
                <c:pt idx="67">
                  <c:v>1229.1500000000001</c:v>
                </c:pt>
                <c:pt idx="68">
                  <c:v>1332.39</c:v>
                </c:pt>
                <c:pt idx="69">
                  <c:v>1449.15</c:v>
                </c:pt>
                <c:pt idx="70">
                  <c:v>1579.91</c:v>
                </c:pt>
                <c:pt idx="71">
                  <c:v>1724.36</c:v>
                </c:pt>
                <c:pt idx="72">
                  <c:v>1881.24</c:v>
                </c:pt>
                <c:pt idx="73">
                  <c:v>2049.65</c:v>
                </c:pt>
                <c:pt idx="74">
                  <c:v>2233.9</c:v>
                </c:pt>
                <c:pt idx="75">
                  <c:v>2453.9499999999998</c:v>
                </c:pt>
                <c:pt idx="76">
                  <c:v>2757.92</c:v>
                </c:pt>
                <c:pt idx="77">
                  <c:v>3170.55</c:v>
                </c:pt>
                <c:pt idx="78">
                  <c:v>3594.37</c:v>
                </c:pt>
                <c:pt idx="79">
                  <c:v>3868.96</c:v>
                </c:pt>
                <c:pt idx="80">
                  <c:v>3841.99</c:v>
                </c:pt>
                <c:pt idx="81">
                  <c:v>3444.12</c:v>
                </c:pt>
                <c:pt idx="82">
                  <c:v>2748.4</c:v>
                </c:pt>
                <c:pt idx="83">
                  <c:v>1969.71</c:v>
                </c:pt>
                <c:pt idx="84">
                  <c:v>1339.37</c:v>
                </c:pt>
                <c:pt idx="85">
                  <c:v>911.84</c:v>
                </c:pt>
                <c:pt idx="86">
                  <c:v>634.5</c:v>
                </c:pt>
                <c:pt idx="87">
                  <c:v>454.26</c:v>
                </c:pt>
                <c:pt idx="88">
                  <c:v>335.1</c:v>
                </c:pt>
                <c:pt idx="89">
                  <c:v>254.53</c:v>
                </c:pt>
                <c:pt idx="90">
                  <c:v>198.75</c:v>
                </c:pt>
                <c:pt idx="91">
                  <c:v>159.28</c:v>
                </c:pt>
                <c:pt idx="92">
                  <c:v>130.78</c:v>
                </c:pt>
                <c:pt idx="93">
                  <c:v>109.81</c:v>
                </c:pt>
                <c:pt idx="94">
                  <c:v>94.13</c:v>
                </c:pt>
                <c:pt idx="95">
                  <c:v>82.18</c:v>
                </c:pt>
                <c:pt idx="96">
                  <c:v>72.900000000000006</c:v>
                </c:pt>
                <c:pt idx="97">
                  <c:v>65.55</c:v>
                </c:pt>
                <c:pt idx="98">
                  <c:v>59.6</c:v>
                </c:pt>
                <c:pt idx="99">
                  <c:v>54.69</c:v>
                </c:pt>
                <c:pt idx="100">
                  <c:v>50.6</c:v>
                </c:pt>
                <c:pt idx="101">
                  <c:v>47.14</c:v>
                </c:pt>
                <c:pt idx="102">
                  <c:v>44.22</c:v>
                </c:pt>
                <c:pt idx="103">
                  <c:v>41.75</c:v>
                </c:pt>
                <c:pt idx="104">
                  <c:v>39.659999999999997</c:v>
                </c:pt>
                <c:pt idx="105">
                  <c:v>37.92</c:v>
                </c:pt>
                <c:pt idx="106">
                  <c:v>36.47</c:v>
                </c:pt>
                <c:pt idx="107">
                  <c:v>35.28</c:v>
                </c:pt>
                <c:pt idx="108">
                  <c:v>34.31</c:v>
                </c:pt>
                <c:pt idx="109">
                  <c:v>33.549999999999997</c:v>
                </c:pt>
                <c:pt idx="110">
                  <c:v>32.97</c:v>
                </c:pt>
                <c:pt idx="111">
                  <c:v>32.549999999999997</c:v>
                </c:pt>
                <c:pt idx="112">
                  <c:v>32.270000000000003</c:v>
                </c:pt>
                <c:pt idx="113">
                  <c:v>32.119999999999997</c:v>
                </c:pt>
                <c:pt idx="114">
                  <c:v>32.08</c:v>
                </c:pt>
                <c:pt idx="115">
                  <c:v>32.14</c:v>
                </c:pt>
                <c:pt idx="116">
                  <c:v>32.29</c:v>
                </c:pt>
                <c:pt idx="117">
                  <c:v>32.47</c:v>
                </c:pt>
              </c:numCache>
            </c:numRef>
          </c:val>
          <c:smooth val="0"/>
          <c:extLst>
            <c:ext xmlns:c16="http://schemas.microsoft.com/office/drawing/2014/chart" uri="{C3380CC4-5D6E-409C-BE32-E72D297353CC}">
              <c16:uniqueId val="{00000006-9A1C-40BE-9AAC-3242D8215002}"/>
            </c:ext>
          </c:extLst>
        </c:ser>
        <c:ser>
          <c:idx val="7"/>
          <c:order val="7"/>
          <c:tx>
            <c:strRef>
              <c:f>'50..800_F'!$I$3:$I$4</c:f>
              <c:strCache>
                <c:ptCount val="1"/>
                <c:pt idx="0">
                  <c:v>A09</c:v>
                </c:pt>
              </c:strCache>
            </c:strRef>
          </c:tx>
          <c:spPr>
            <a:ln w="28575" cap="rnd">
              <a:solidFill>
                <a:schemeClr val="accent2">
                  <a:lumMod val="6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'50..800_F'!$I$5:$I$123</c:f>
              <c:numCache>
                <c:formatCode>General</c:formatCode>
                <c:ptCount val="118"/>
                <c:pt idx="0">
                  <c:v>159.49</c:v>
                </c:pt>
                <c:pt idx="1">
                  <c:v>161.5</c:v>
                </c:pt>
                <c:pt idx="2">
                  <c:v>164.24</c:v>
                </c:pt>
                <c:pt idx="3">
                  <c:v>167.24</c:v>
                </c:pt>
                <c:pt idx="4">
                  <c:v>170.42</c:v>
                </c:pt>
                <c:pt idx="5">
                  <c:v>173.79</c:v>
                </c:pt>
                <c:pt idx="6">
                  <c:v>177.35</c:v>
                </c:pt>
                <c:pt idx="7">
                  <c:v>181.12</c:v>
                </c:pt>
                <c:pt idx="8">
                  <c:v>185.11</c:v>
                </c:pt>
                <c:pt idx="9">
                  <c:v>189.33</c:v>
                </c:pt>
                <c:pt idx="10">
                  <c:v>193.8</c:v>
                </c:pt>
                <c:pt idx="11">
                  <c:v>198.53</c:v>
                </c:pt>
                <c:pt idx="12">
                  <c:v>203.53</c:v>
                </c:pt>
                <c:pt idx="13">
                  <c:v>208.81</c:v>
                </c:pt>
                <c:pt idx="14">
                  <c:v>214.4</c:v>
                </c:pt>
                <c:pt idx="15">
                  <c:v>220.3</c:v>
                </c:pt>
                <c:pt idx="16">
                  <c:v>226.53</c:v>
                </c:pt>
                <c:pt idx="17">
                  <c:v>233.1</c:v>
                </c:pt>
                <c:pt idx="18">
                  <c:v>240.02</c:v>
                </c:pt>
                <c:pt idx="19">
                  <c:v>247.31</c:v>
                </c:pt>
                <c:pt idx="20">
                  <c:v>254.97</c:v>
                </c:pt>
                <c:pt idx="21">
                  <c:v>263.02</c:v>
                </c:pt>
                <c:pt idx="22">
                  <c:v>271.45</c:v>
                </c:pt>
                <c:pt idx="23">
                  <c:v>280.27</c:v>
                </c:pt>
                <c:pt idx="24">
                  <c:v>289.48</c:v>
                </c:pt>
                <c:pt idx="25">
                  <c:v>299.06</c:v>
                </c:pt>
                <c:pt idx="26">
                  <c:v>309.01</c:v>
                </c:pt>
                <c:pt idx="27">
                  <c:v>319.3</c:v>
                </c:pt>
                <c:pt idx="28">
                  <c:v>329.91</c:v>
                </c:pt>
                <c:pt idx="29">
                  <c:v>340.79</c:v>
                </c:pt>
                <c:pt idx="30">
                  <c:v>351.91</c:v>
                </c:pt>
                <c:pt idx="31">
                  <c:v>363.22</c:v>
                </c:pt>
                <c:pt idx="32">
                  <c:v>374.64</c:v>
                </c:pt>
                <c:pt idx="33">
                  <c:v>386.11</c:v>
                </c:pt>
                <c:pt idx="34">
                  <c:v>397.57</c:v>
                </c:pt>
                <c:pt idx="35">
                  <c:v>408.92</c:v>
                </c:pt>
                <c:pt idx="36">
                  <c:v>420.1</c:v>
                </c:pt>
                <c:pt idx="37">
                  <c:v>431.04</c:v>
                </c:pt>
                <c:pt idx="38">
                  <c:v>441.67</c:v>
                </c:pt>
                <c:pt idx="39">
                  <c:v>451.94</c:v>
                </c:pt>
                <c:pt idx="40">
                  <c:v>461.85</c:v>
                </c:pt>
                <c:pt idx="41">
                  <c:v>471.38</c:v>
                </c:pt>
                <c:pt idx="42">
                  <c:v>480.58</c:v>
                </c:pt>
                <c:pt idx="43">
                  <c:v>489.52</c:v>
                </c:pt>
                <c:pt idx="44">
                  <c:v>498.32</c:v>
                </c:pt>
                <c:pt idx="45">
                  <c:v>507.12</c:v>
                </c:pt>
                <c:pt idx="46">
                  <c:v>516.12</c:v>
                </c:pt>
                <c:pt idx="47">
                  <c:v>525.53</c:v>
                </c:pt>
                <c:pt idx="48">
                  <c:v>535.59</c:v>
                </c:pt>
                <c:pt idx="49">
                  <c:v>546.55999999999995</c:v>
                </c:pt>
                <c:pt idx="50">
                  <c:v>558.70000000000005</c:v>
                </c:pt>
                <c:pt idx="51">
                  <c:v>572.25</c:v>
                </c:pt>
                <c:pt idx="52">
                  <c:v>587.42999999999995</c:v>
                </c:pt>
                <c:pt idx="53">
                  <c:v>604.47</c:v>
                </c:pt>
                <c:pt idx="54">
                  <c:v>623.54</c:v>
                </c:pt>
                <c:pt idx="55">
                  <c:v>644.85</c:v>
                </c:pt>
                <c:pt idx="56">
                  <c:v>668.58</c:v>
                </c:pt>
                <c:pt idx="57">
                  <c:v>694.97</c:v>
                </c:pt>
                <c:pt idx="58">
                  <c:v>724.33</c:v>
                </c:pt>
                <c:pt idx="59">
                  <c:v>757.02</c:v>
                </c:pt>
                <c:pt idx="60">
                  <c:v>793.56</c:v>
                </c:pt>
                <c:pt idx="61">
                  <c:v>834.53</c:v>
                </c:pt>
                <c:pt idx="62">
                  <c:v>880.66</c:v>
                </c:pt>
                <c:pt idx="63">
                  <c:v>932.79</c:v>
                </c:pt>
                <c:pt idx="64">
                  <c:v>991.9</c:v>
                </c:pt>
                <c:pt idx="65">
                  <c:v>1059.0999999999999</c:v>
                </c:pt>
                <c:pt idx="66">
                  <c:v>1135.6500000000001</c:v>
                </c:pt>
                <c:pt idx="67">
                  <c:v>1222.95</c:v>
                </c:pt>
                <c:pt idx="68">
                  <c:v>1322.4</c:v>
                </c:pt>
                <c:pt idx="69">
                  <c:v>1435.24</c:v>
                </c:pt>
                <c:pt idx="70">
                  <c:v>1562.2</c:v>
                </c:pt>
                <c:pt idx="71">
                  <c:v>1703.11</c:v>
                </c:pt>
                <c:pt idx="72">
                  <c:v>1856.76</c:v>
                </c:pt>
                <c:pt idx="73">
                  <c:v>2021.7</c:v>
                </c:pt>
                <c:pt idx="74">
                  <c:v>2200.0100000000002</c:v>
                </c:pt>
                <c:pt idx="75">
                  <c:v>2405.56</c:v>
                </c:pt>
                <c:pt idx="76">
                  <c:v>2676.58</c:v>
                </c:pt>
                <c:pt idx="77">
                  <c:v>3056.17</c:v>
                </c:pt>
                <c:pt idx="78">
                  <c:v>3485.7</c:v>
                </c:pt>
                <c:pt idx="79">
                  <c:v>3816.38</c:v>
                </c:pt>
                <c:pt idx="80">
                  <c:v>3889.56</c:v>
                </c:pt>
                <c:pt idx="81">
                  <c:v>3603.96</c:v>
                </c:pt>
                <c:pt idx="82">
                  <c:v>2985.2</c:v>
                </c:pt>
                <c:pt idx="83">
                  <c:v>2205.42</c:v>
                </c:pt>
                <c:pt idx="84">
                  <c:v>1513.28</c:v>
                </c:pt>
                <c:pt idx="85">
                  <c:v>1025.3</c:v>
                </c:pt>
                <c:pt idx="86">
                  <c:v>706.68</c:v>
                </c:pt>
                <c:pt idx="87">
                  <c:v>500.38</c:v>
                </c:pt>
                <c:pt idx="88">
                  <c:v>365.14</c:v>
                </c:pt>
                <c:pt idx="89">
                  <c:v>274.56</c:v>
                </c:pt>
                <c:pt idx="90">
                  <c:v>212.3</c:v>
                </c:pt>
                <c:pt idx="91">
                  <c:v>168.22</c:v>
                </c:pt>
                <c:pt idx="92">
                  <c:v>135.82</c:v>
                </c:pt>
                <c:pt idx="93">
                  <c:v>110.86</c:v>
                </c:pt>
                <c:pt idx="94">
                  <c:v>90.56</c:v>
                </c:pt>
                <c:pt idx="95">
                  <c:v>73.239999999999995</c:v>
                </c:pt>
                <c:pt idx="96">
                  <c:v>58.03</c:v>
                </c:pt>
                <c:pt idx="97">
                  <c:v>44.58</c:v>
                </c:pt>
                <c:pt idx="98">
                  <c:v>32.82</c:v>
                </c:pt>
                <c:pt idx="99">
                  <c:v>22.78</c:v>
                </c:pt>
                <c:pt idx="100">
                  <c:v>14.43</c:v>
                </c:pt>
                <c:pt idx="101">
                  <c:v>7.69</c:v>
                </c:pt>
                <c:pt idx="102">
                  <c:v>2.39</c:v>
                </c:pt>
                <c:pt idx="103">
                  <c:v>-1.66</c:v>
                </c:pt>
                <c:pt idx="104">
                  <c:v>-4.67</c:v>
                </c:pt>
                <c:pt idx="105">
                  <c:v>-6.85</c:v>
                </c:pt>
                <c:pt idx="106">
                  <c:v>-8.3699999999999992</c:v>
                </c:pt>
                <c:pt idx="107">
                  <c:v>-9.3800000000000008</c:v>
                </c:pt>
                <c:pt idx="108">
                  <c:v>-9.99</c:v>
                </c:pt>
                <c:pt idx="109">
                  <c:v>-10.29</c:v>
                </c:pt>
                <c:pt idx="110">
                  <c:v>-10.36</c:v>
                </c:pt>
                <c:pt idx="111">
                  <c:v>-10.25</c:v>
                </c:pt>
                <c:pt idx="112">
                  <c:v>-10.01</c:v>
                </c:pt>
                <c:pt idx="113">
                  <c:v>-9.64</c:v>
                </c:pt>
                <c:pt idx="114">
                  <c:v>-9.19</c:v>
                </c:pt>
                <c:pt idx="115">
                  <c:v>-8.67</c:v>
                </c:pt>
                <c:pt idx="116">
                  <c:v>-8.1199999999999992</c:v>
                </c:pt>
                <c:pt idx="117">
                  <c:v>-7.75</c:v>
                </c:pt>
              </c:numCache>
            </c:numRef>
          </c:val>
          <c:smooth val="0"/>
          <c:extLst>
            <c:ext xmlns:c16="http://schemas.microsoft.com/office/drawing/2014/chart" uri="{C3380CC4-5D6E-409C-BE32-E72D297353CC}">
              <c16:uniqueId val="{00000007-9A1C-40BE-9AAC-3242D8215002}"/>
            </c:ext>
          </c:extLst>
        </c:ser>
        <c:ser>
          <c:idx val="8"/>
          <c:order val="8"/>
          <c:tx>
            <c:strRef>
              <c:f>'50..800_F'!$J$3:$J$4</c:f>
              <c:strCache>
                <c:ptCount val="1"/>
                <c:pt idx="0">
                  <c:v>A10</c:v>
                </c:pt>
              </c:strCache>
            </c:strRef>
          </c:tx>
          <c:spPr>
            <a:ln w="28575" cap="rnd">
              <a:solidFill>
                <a:schemeClr val="accent3">
                  <a:lumMod val="6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'50..800_F'!$J$5:$J$123</c:f>
              <c:numCache>
                <c:formatCode>General</c:formatCode>
                <c:ptCount val="118"/>
                <c:pt idx="0">
                  <c:v>160.71</c:v>
                </c:pt>
                <c:pt idx="1">
                  <c:v>162.75</c:v>
                </c:pt>
                <c:pt idx="2">
                  <c:v>165.51</c:v>
                </c:pt>
                <c:pt idx="3">
                  <c:v>168.54</c:v>
                </c:pt>
                <c:pt idx="4">
                  <c:v>171.75</c:v>
                </c:pt>
                <c:pt idx="5">
                  <c:v>175.14</c:v>
                </c:pt>
                <c:pt idx="6">
                  <c:v>178.73</c:v>
                </c:pt>
                <c:pt idx="7">
                  <c:v>182.52</c:v>
                </c:pt>
                <c:pt idx="8">
                  <c:v>186.52</c:v>
                </c:pt>
                <c:pt idx="9">
                  <c:v>190.76</c:v>
                </c:pt>
                <c:pt idx="10">
                  <c:v>195.23</c:v>
                </c:pt>
                <c:pt idx="11">
                  <c:v>199.95</c:v>
                </c:pt>
                <c:pt idx="12">
                  <c:v>204.94</c:v>
                </c:pt>
                <c:pt idx="13">
                  <c:v>210.2</c:v>
                </c:pt>
                <c:pt idx="14">
                  <c:v>215.76</c:v>
                </c:pt>
                <c:pt idx="15">
                  <c:v>221.61</c:v>
                </c:pt>
                <c:pt idx="16">
                  <c:v>227.78</c:v>
                </c:pt>
                <c:pt idx="17">
                  <c:v>234.27</c:v>
                </c:pt>
                <c:pt idx="18">
                  <c:v>241.1</c:v>
                </c:pt>
                <c:pt idx="19">
                  <c:v>248.28</c:v>
                </c:pt>
                <c:pt idx="20">
                  <c:v>255.81</c:v>
                </c:pt>
                <c:pt idx="21">
                  <c:v>263.69</c:v>
                </c:pt>
                <c:pt idx="22">
                  <c:v>271.93</c:v>
                </c:pt>
                <c:pt idx="23">
                  <c:v>280.52999999999997</c:v>
                </c:pt>
                <c:pt idx="24">
                  <c:v>289.48</c:v>
                </c:pt>
                <c:pt idx="25">
                  <c:v>298.77</c:v>
                </c:pt>
                <c:pt idx="26">
                  <c:v>308.39</c:v>
                </c:pt>
                <c:pt idx="27">
                  <c:v>318.3</c:v>
                </c:pt>
                <c:pt idx="28">
                  <c:v>328.49</c:v>
                </c:pt>
                <c:pt idx="29">
                  <c:v>338.9</c:v>
                </c:pt>
                <c:pt idx="30">
                  <c:v>349.5</c:v>
                </c:pt>
                <c:pt idx="31">
                  <c:v>360.23</c:v>
                </c:pt>
                <c:pt idx="32">
                  <c:v>371.03</c:v>
                </c:pt>
                <c:pt idx="33">
                  <c:v>381.84</c:v>
                </c:pt>
                <c:pt idx="34">
                  <c:v>392.57</c:v>
                </c:pt>
                <c:pt idx="35">
                  <c:v>403.17</c:v>
                </c:pt>
                <c:pt idx="36">
                  <c:v>413.55</c:v>
                </c:pt>
                <c:pt idx="37">
                  <c:v>423.66</c:v>
                </c:pt>
                <c:pt idx="38">
                  <c:v>433.44</c:v>
                </c:pt>
                <c:pt idx="39">
                  <c:v>442.85</c:v>
                </c:pt>
                <c:pt idx="40">
                  <c:v>451.88</c:v>
                </c:pt>
                <c:pt idx="41">
                  <c:v>460.54</c:v>
                </c:pt>
                <c:pt idx="42">
                  <c:v>468.87</c:v>
                </c:pt>
                <c:pt idx="43">
                  <c:v>476.95</c:v>
                </c:pt>
                <c:pt idx="44">
                  <c:v>484.89</c:v>
                </c:pt>
                <c:pt idx="45">
                  <c:v>492.83</c:v>
                </c:pt>
                <c:pt idx="46">
                  <c:v>500.95</c:v>
                </c:pt>
                <c:pt idx="47">
                  <c:v>509.46</c:v>
                </c:pt>
                <c:pt idx="48">
                  <c:v>518.58000000000004</c:v>
                </c:pt>
                <c:pt idx="49">
                  <c:v>528.54999999999995</c:v>
                </c:pt>
                <c:pt idx="50">
                  <c:v>539.6</c:v>
                </c:pt>
                <c:pt idx="51">
                  <c:v>551.97</c:v>
                </c:pt>
                <c:pt idx="52">
                  <c:v>565.88</c:v>
                </c:pt>
                <c:pt idx="53">
                  <c:v>581.54</c:v>
                </c:pt>
                <c:pt idx="54">
                  <c:v>599.16</c:v>
                </c:pt>
                <c:pt idx="55">
                  <c:v>618.92999999999995</c:v>
                </c:pt>
                <c:pt idx="56">
                  <c:v>641.09</c:v>
                </c:pt>
                <c:pt idx="57">
                  <c:v>665.87</c:v>
                </c:pt>
                <c:pt idx="58">
                  <c:v>693.59</c:v>
                </c:pt>
                <c:pt idx="59">
                  <c:v>724.64</c:v>
                </c:pt>
                <c:pt idx="60">
                  <c:v>759.49</c:v>
                </c:pt>
                <c:pt idx="61">
                  <c:v>798.72</c:v>
                </c:pt>
                <c:pt idx="62">
                  <c:v>843.05</c:v>
                </c:pt>
                <c:pt idx="63">
                  <c:v>893.28</c:v>
                </c:pt>
                <c:pt idx="64">
                  <c:v>950.36</c:v>
                </c:pt>
                <c:pt idx="65">
                  <c:v>1015.33</c:v>
                </c:pt>
                <c:pt idx="66">
                  <c:v>1089.3499999999999</c:v>
                </c:pt>
                <c:pt idx="67">
                  <c:v>1173.6199999999999</c:v>
                </c:pt>
                <c:pt idx="68">
                  <c:v>1269.33</c:v>
                </c:pt>
                <c:pt idx="69">
                  <c:v>1377.5</c:v>
                </c:pt>
                <c:pt idx="70">
                  <c:v>1498.81</c:v>
                </c:pt>
                <c:pt idx="71">
                  <c:v>1633.35</c:v>
                </c:pt>
                <c:pt idx="72">
                  <c:v>1780.51</c:v>
                </c:pt>
                <c:pt idx="73">
                  <c:v>1939.73</c:v>
                </c:pt>
                <c:pt idx="74">
                  <c:v>2113.75</c:v>
                </c:pt>
                <c:pt idx="75">
                  <c:v>2316.27</c:v>
                </c:pt>
                <c:pt idx="76">
                  <c:v>2583.9</c:v>
                </c:pt>
                <c:pt idx="77">
                  <c:v>2957.35</c:v>
                </c:pt>
                <c:pt idx="78">
                  <c:v>3378.97</c:v>
                </c:pt>
                <c:pt idx="79">
                  <c:v>3704.94</c:v>
                </c:pt>
                <c:pt idx="80">
                  <c:v>3782.1</c:v>
                </c:pt>
                <c:pt idx="81">
                  <c:v>3511.33</c:v>
                </c:pt>
                <c:pt idx="82">
                  <c:v>2915.03</c:v>
                </c:pt>
                <c:pt idx="83">
                  <c:v>2158.1999999999998</c:v>
                </c:pt>
                <c:pt idx="84">
                  <c:v>1482.99</c:v>
                </c:pt>
                <c:pt idx="85">
                  <c:v>1005.59</c:v>
                </c:pt>
                <c:pt idx="86">
                  <c:v>693.39</c:v>
                </c:pt>
                <c:pt idx="87">
                  <c:v>490.95</c:v>
                </c:pt>
                <c:pt idx="88">
                  <c:v>358.07</c:v>
                </c:pt>
                <c:pt idx="89">
                  <c:v>269.02999999999997</c:v>
                </c:pt>
                <c:pt idx="90">
                  <c:v>207.93</c:v>
                </c:pt>
                <c:pt idx="91">
                  <c:v>164.88</c:v>
                </c:pt>
                <c:pt idx="92">
                  <c:v>133.63</c:v>
                </c:pt>
                <c:pt idx="93">
                  <c:v>110.07</c:v>
                </c:pt>
                <c:pt idx="94">
                  <c:v>91.45</c:v>
                </c:pt>
                <c:pt idx="95">
                  <c:v>75.989999999999995</c:v>
                </c:pt>
                <c:pt idx="96">
                  <c:v>62.63</c:v>
                </c:pt>
                <c:pt idx="97">
                  <c:v>50.83</c:v>
                </c:pt>
                <c:pt idx="98">
                  <c:v>40.369999999999997</c:v>
                </c:pt>
                <c:pt idx="99">
                  <c:v>31.18</c:v>
                </c:pt>
                <c:pt idx="100">
                  <c:v>23.28</c:v>
                </c:pt>
                <c:pt idx="101">
                  <c:v>16.62</c:v>
                </c:pt>
                <c:pt idx="102">
                  <c:v>11.13</c:v>
                </c:pt>
                <c:pt idx="103">
                  <c:v>6.71</c:v>
                </c:pt>
                <c:pt idx="104">
                  <c:v>3.2</c:v>
                </c:pt>
                <c:pt idx="105">
                  <c:v>0.49</c:v>
                </c:pt>
                <c:pt idx="106">
                  <c:v>-1.58</c:v>
                </c:pt>
                <c:pt idx="107">
                  <c:v>-3.12</c:v>
                </c:pt>
                <c:pt idx="108">
                  <c:v>-4.24</c:v>
                </c:pt>
                <c:pt idx="109">
                  <c:v>-5.01</c:v>
                </c:pt>
                <c:pt idx="110">
                  <c:v>-5.5</c:v>
                </c:pt>
                <c:pt idx="111">
                  <c:v>-5.77</c:v>
                </c:pt>
                <c:pt idx="112">
                  <c:v>-5.85</c:v>
                </c:pt>
                <c:pt idx="113">
                  <c:v>-5.79</c:v>
                </c:pt>
                <c:pt idx="114">
                  <c:v>-5.61</c:v>
                </c:pt>
                <c:pt idx="115">
                  <c:v>-5.32</c:v>
                </c:pt>
                <c:pt idx="116">
                  <c:v>-4.97</c:v>
                </c:pt>
                <c:pt idx="117">
                  <c:v>-4.71</c:v>
                </c:pt>
              </c:numCache>
            </c:numRef>
          </c:val>
          <c:smooth val="0"/>
          <c:extLst>
            <c:ext xmlns:c16="http://schemas.microsoft.com/office/drawing/2014/chart" uri="{C3380CC4-5D6E-409C-BE32-E72D297353CC}">
              <c16:uniqueId val="{00000008-9A1C-40BE-9AAC-3242D8215002}"/>
            </c:ext>
          </c:extLst>
        </c:ser>
        <c:ser>
          <c:idx val="9"/>
          <c:order val="9"/>
          <c:tx>
            <c:strRef>
              <c:f>'50..800_F'!$K$3:$K$4</c:f>
              <c:strCache>
                <c:ptCount val="1"/>
                <c:pt idx="0">
                  <c:v>A11</c:v>
                </c:pt>
              </c:strCache>
            </c:strRef>
          </c:tx>
          <c:spPr>
            <a:ln w="28575" cap="rnd">
              <a:solidFill>
                <a:schemeClr val="accent4">
                  <a:lumMod val="6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'50..800_F'!$K$5:$K$123</c:f>
              <c:numCache>
                <c:formatCode>General</c:formatCode>
                <c:ptCount val="118"/>
                <c:pt idx="0">
                  <c:v>152.55000000000001</c:v>
                </c:pt>
                <c:pt idx="1">
                  <c:v>154.51</c:v>
                </c:pt>
                <c:pt idx="2">
                  <c:v>157.18</c:v>
                </c:pt>
                <c:pt idx="3">
                  <c:v>160.11000000000001</c:v>
                </c:pt>
                <c:pt idx="4">
                  <c:v>163.22</c:v>
                </c:pt>
                <c:pt idx="5">
                  <c:v>166.52</c:v>
                </c:pt>
                <c:pt idx="6">
                  <c:v>170.01</c:v>
                </c:pt>
                <c:pt idx="7">
                  <c:v>173.71</c:v>
                </c:pt>
                <c:pt idx="8">
                  <c:v>177.62</c:v>
                </c:pt>
                <c:pt idx="9">
                  <c:v>181.76</c:v>
                </c:pt>
                <c:pt idx="10">
                  <c:v>186.15</c:v>
                </c:pt>
                <c:pt idx="11">
                  <c:v>190.79</c:v>
                </c:pt>
                <c:pt idx="12">
                  <c:v>195.71</c:v>
                </c:pt>
                <c:pt idx="13">
                  <c:v>200.91</c:v>
                </c:pt>
                <c:pt idx="14">
                  <c:v>206.41</c:v>
                </c:pt>
                <c:pt idx="15">
                  <c:v>212.22</c:v>
                </c:pt>
                <c:pt idx="16">
                  <c:v>218.37</c:v>
                </c:pt>
                <c:pt idx="17">
                  <c:v>224.85</c:v>
                </c:pt>
                <c:pt idx="18">
                  <c:v>231.7</c:v>
                </c:pt>
                <c:pt idx="19">
                  <c:v>238.91</c:v>
                </c:pt>
                <c:pt idx="20">
                  <c:v>246.5</c:v>
                </c:pt>
                <c:pt idx="21">
                  <c:v>254.49</c:v>
                </c:pt>
                <c:pt idx="22">
                  <c:v>262.88</c:v>
                </c:pt>
                <c:pt idx="23">
                  <c:v>271.67</c:v>
                </c:pt>
                <c:pt idx="24">
                  <c:v>280.87</c:v>
                </c:pt>
                <c:pt idx="25">
                  <c:v>290.47000000000003</c:v>
                </c:pt>
                <c:pt idx="26">
                  <c:v>300.45999999999998</c:v>
                </c:pt>
                <c:pt idx="27">
                  <c:v>310.83999999999997</c:v>
                </c:pt>
                <c:pt idx="28">
                  <c:v>321.57</c:v>
                </c:pt>
                <c:pt idx="29">
                  <c:v>332.63</c:v>
                </c:pt>
                <c:pt idx="30">
                  <c:v>343.99</c:v>
                </c:pt>
                <c:pt idx="31">
                  <c:v>355.59</c:v>
                </c:pt>
                <c:pt idx="32">
                  <c:v>367.39</c:v>
                </c:pt>
                <c:pt idx="33">
                  <c:v>379.31</c:v>
                </c:pt>
                <c:pt idx="34">
                  <c:v>391.3</c:v>
                </c:pt>
                <c:pt idx="35">
                  <c:v>403.28</c:v>
                </c:pt>
                <c:pt idx="36">
                  <c:v>415.17</c:v>
                </c:pt>
                <c:pt idx="37">
                  <c:v>426.9</c:v>
                </c:pt>
                <c:pt idx="38">
                  <c:v>438.39</c:v>
                </c:pt>
                <c:pt idx="39">
                  <c:v>449.6</c:v>
                </c:pt>
                <c:pt idx="40">
                  <c:v>460.48</c:v>
                </c:pt>
                <c:pt idx="41">
                  <c:v>471</c:v>
                </c:pt>
                <c:pt idx="42">
                  <c:v>481.19</c:v>
                </c:pt>
                <c:pt idx="43">
                  <c:v>491.07</c:v>
                </c:pt>
                <c:pt idx="44">
                  <c:v>500.73</c:v>
                </c:pt>
                <c:pt idx="45">
                  <c:v>510.29</c:v>
                </c:pt>
                <c:pt idx="46">
                  <c:v>519.9</c:v>
                </c:pt>
                <c:pt idx="47">
                  <c:v>529.76</c:v>
                </c:pt>
                <c:pt idx="48">
                  <c:v>540.11</c:v>
                </c:pt>
                <c:pt idx="49">
                  <c:v>551.19000000000005</c:v>
                </c:pt>
                <c:pt idx="50">
                  <c:v>563.28</c:v>
                </c:pt>
                <c:pt idx="51">
                  <c:v>576.65</c:v>
                </c:pt>
                <c:pt idx="52">
                  <c:v>591.59</c:v>
                </c:pt>
                <c:pt idx="53">
                  <c:v>608.37</c:v>
                </c:pt>
                <c:pt idx="54">
                  <c:v>627.23</c:v>
                </c:pt>
                <c:pt idx="55">
                  <c:v>648.42999999999995</c:v>
                </c:pt>
                <c:pt idx="56">
                  <c:v>672.22</c:v>
                </c:pt>
                <c:pt idx="57">
                  <c:v>698.9</c:v>
                </c:pt>
                <c:pt idx="58">
                  <c:v>728.78</c:v>
                </c:pt>
                <c:pt idx="59">
                  <c:v>762.28</c:v>
                </c:pt>
                <c:pt idx="60">
                  <c:v>799.89</c:v>
                </c:pt>
                <c:pt idx="61">
                  <c:v>842.23</c:v>
                </c:pt>
                <c:pt idx="62">
                  <c:v>890.07</c:v>
                </c:pt>
                <c:pt idx="63">
                  <c:v>944.29</c:v>
                </c:pt>
                <c:pt idx="64">
                  <c:v>1005.91</c:v>
                </c:pt>
                <c:pt idx="65">
                  <c:v>1076.1099999999999</c:v>
                </c:pt>
                <c:pt idx="66">
                  <c:v>1156.1199999999999</c:v>
                </c:pt>
                <c:pt idx="67">
                  <c:v>1247.27</c:v>
                </c:pt>
                <c:pt idx="68">
                  <c:v>1350.77</c:v>
                </c:pt>
                <c:pt idx="69">
                  <c:v>1467.59</c:v>
                </c:pt>
                <c:pt idx="70">
                  <c:v>1598.23</c:v>
                </c:pt>
                <c:pt idx="71">
                  <c:v>1742.46</c:v>
                </c:pt>
                <c:pt idx="72">
                  <c:v>1899.5</c:v>
                </c:pt>
                <c:pt idx="73">
                  <c:v>2069.23</c:v>
                </c:pt>
                <c:pt idx="74">
                  <c:v>2256.19</c:v>
                </c:pt>
                <c:pt idx="75">
                  <c:v>2477.6</c:v>
                </c:pt>
                <c:pt idx="76">
                  <c:v>2772.18</c:v>
                </c:pt>
                <c:pt idx="77">
                  <c:v>3169.88</c:v>
                </c:pt>
                <c:pt idx="78">
                  <c:v>3589.06</c:v>
                </c:pt>
                <c:pt idx="79">
                  <c:v>3866.06</c:v>
                </c:pt>
                <c:pt idx="80">
                  <c:v>3846.64</c:v>
                </c:pt>
                <c:pt idx="81">
                  <c:v>3458.22</c:v>
                </c:pt>
                <c:pt idx="82">
                  <c:v>2767.15</c:v>
                </c:pt>
                <c:pt idx="83">
                  <c:v>1975.86</c:v>
                </c:pt>
                <c:pt idx="84">
                  <c:v>1325.53</c:v>
                </c:pt>
                <c:pt idx="85">
                  <c:v>889.06</c:v>
                </c:pt>
                <c:pt idx="86">
                  <c:v>610.75</c:v>
                </c:pt>
                <c:pt idx="87">
                  <c:v>432.81</c:v>
                </c:pt>
                <c:pt idx="88">
                  <c:v>316.95999999999998</c:v>
                </c:pt>
                <c:pt idx="89">
                  <c:v>239.74</c:v>
                </c:pt>
                <c:pt idx="90">
                  <c:v>186.92</c:v>
                </c:pt>
                <c:pt idx="91">
                  <c:v>149.75</c:v>
                </c:pt>
                <c:pt idx="92">
                  <c:v>122.73</c:v>
                </c:pt>
                <c:pt idx="93">
                  <c:v>102.29</c:v>
                </c:pt>
                <c:pt idx="94">
                  <c:v>86.09</c:v>
                </c:pt>
                <c:pt idx="95">
                  <c:v>72.63</c:v>
                </c:pt>
                <c:pt idx="96">
                  <c:v>61</c:v>
                </c:pt>
                <c:pt idx="97">
                  <c:v>50.72</c:v>
                </c:pt>
                <c:pt idx="98">
                  <c:v>41.57</c:v>
                </c:pt>
                <c:pt idx="99">
                  <c:v>33.51</c:v>
                </c:pt>
                <c:pt idx="100">
                  <c:v>26.5</c:v>
                </c:pt>
                <c:pt idx="101">
                  <c:v>20.53</c:v>
                </c:pt>
                <c:pt idx="102">
                  <c:v>15.54</c:v>
                </c:pt>
                <c:pt idx="103">
                  <c:v>11.45</c:v>
                </c:pt>
                <c:pt idx="104">
                  <c:v>8.14</c:v>
                </c:pt>
                <c:pt idx="105">
                  <c:v>5.52</c:v>
                </c:pt>
                <c:pt idx="106">
                  <c:v>3.48</c:v>
                </c:pt>
                <c:pt idx="107">
                  <c:v>1.91</c:v>
                </c:pt>
                <c:pt idx="108">
                  <c:v>0.73</c:v>
                </c:pt>
                <c:pt idx="109">
                  <c:v>-0.12</c:v>
                </c:pt>
                <c:pt idx="110">
                  <c:v>-0.71</c:v>
                </c:pt>
                <c:pt idx="111">
                  <c:v>-1.0900000000000001</c:v>
                </c:pt>
                <c:pt idx="112">
                  <c:v>-1.28</c:v>
                </c:pt>
                <c:pt idx="113">
                  <c:v>-1.32</c:v>
                </c:pt>
                <c:pt idx="114">
                  <c:v>-1.23</c:v>
                </c:pt>
                <c:pt idx="115">
                  <c:v>-1.04</c:v>
                </c:pt>
                <c:pt idx="116">
                  <c:v>-0.77</c:v>
                </c:pt>
                <c:pt idx="117">
                  <c:v>-0.55000000000000004</c:v>
                </c:pt>
              </c:numCache>
            </c:numRef>
          </c:val>
          <c:smooth val="0"/>
          <c:extLst>
            <c:ext xmlns:c16="http://schemas.microsoft.com/office/drawing/2014/chart" uri="{C3380CC4-5D6E-409C-BE32-E72D297353CC}">
              <c16:uniqueId val="{00000009-9A1C-40BE-9AAC-3242D8215002}"/>
            </c:ext>
          </c:extLst>
        </c:ser>
        <c:ser>
          <c:idx val="10"/>
          <c:order val="10"/>
          <c:tx>
            <c:strRef>
              <c:f>'50..800_F'!$L$3:$L$4</c:f>
              <c:strCache>
                <c:ptCount val="1"/>
                <c:pt idx="0">
                  <c:v>B02</c:v>
                </c:pt>
              </c:strCache>
            </c:strRef>
          </c:tx>
          <c:spPr>
            <a:ln w="28575" cap="rnd">
              <a:solidFill>
                <a:schemeClr val="accent5">
                  <a:lumMod val="6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'50..800_F'!$L$5:$L$123</c:f>
              <c:numCache>
                <c:formatCode>General</c:formatCode>
                <c:ptCount val="118"/>
                <c:pt idx="0">
                  <c:v>113.99</c:v>
                </c:pt>
                <c:pt idx="1">
                  <c:v>114.58</c:v>
                </c:pt>
                <c:pt idx="2">
                  <c:v>115.24</c:v>
                </c:pt>
                <c:pt idx="3">
                  <c:v>115.99</c:v>
                </c:pt>
                <c:pt idx="4">
                  <c:v>116.84</c:v>
                </c:pt>
                <c:pt idx="5">
                  <c:v>117.83</c:v>
                </c:pt>
                <c:pt idx="6">
                  <c:v>118.96</c:v>
                </c:pt>
                <c:pt idx="7">
                  <c:v>120.27</c:v>
                </c:pt>
                <c:pt idx="8">
                  <c:v>121.8</c:v>
                </c:pt>
                <c:pt idx="9">
                  <c:v>123.58</c:v>
                </c:pt>
                <c:pt idx="10">
                  <c:v>125.68</c:v>
                </c:pt>
                <c:pt idx="11">
                  <c:v>128.15</c:v>
                </c:pt>
                <c:pt idx="12">
                  <c:v>131.09</c:v>
                </c:pt>
                <c:pt idx="13">
                  <c:v>134.6</c:v>
                </c:pt>
                <c:pt idx="14">
                  <c:v>138.81</c:v>
                </c:pt>
                <c:pt idx="15">
                  <c:v>143.88</c:v>
                </c:pt>
                <c:pt idx="16">
                  <c:v>150</c:v>
                </c:pt>
                <c:pt idx="17">
                  <c:v>157.38</c:v>
                </c:pt>
                <c:pt idx="18">
                  <c:v>166.3</c:v>
                </c:pt>
                <c:pt idx="19">
                  <c:v>177.04</c:v>
                </c:pt>
                <c:pt idx="20">
                  <c:v>189.9</c:v>
                </c:pt>
                <c:pt idx="21">
                  <c:v>205.18</c:v>
                </c:pt>
                <c:pt idx="22">
                  <c:v>223.17</c:v>
                </c:pt>
                <c:pt idx="23">
                  <c:v>244.06</c:v>
                </c:pt>
                <c:pt idx="24">
                  <c:v>267.98</c:v>
                </c:pt>
                <c:pt idx="25">
                  <c:v>294.89999999999998</c:v>
                </c:pt>
                <c:pt idx="26">
                  <c:v>324.66000000000003</c:v>
                </c:pt>
                <c:pt idx="27">
                  <c:v>356.99</c:v>
                </c:pt>
                <c:pt idx="28">
                  <c:v>391.55</c:v>
                </c:pt>
                <c:pt idx="29">
                  <c:v>428.05</c:v>
                </c:pt>
                <c:pt idx="30">
                  <c:v>466.41</c:v>
                </c:pt>
                <c:pt idx="31">
                  <c:v>506.81</c:v>
                </c:pt>
                <c:pt idx="32">
                  <c:v>549.84</c:v>
                </c:pt>
                <c:pt idx="33">
                  <c:v>596.41999999999996</c:v>
                </c:pt>
                <c:pt idx="34">
                  <c:v>647.75</c:v>
                </c:pt>
                <c:pt idx="35">
                  <c:v>705.24</c:v>
                </c:pt>
                <c:pt idx="36">
                  <c:v>770.48</c:v>
                </c:pt>
                <c:pt idx="37">
                  <c:v>845.21</c:v>
                </c:pt>
                <c:pt idx="38">
                  <c:v>931.23</c:v>
                </c:pt>
                <c:pt idx="39">
                  <c:v>1030</c:v>
                </c:pt>
                <c:pt idx="40">
                  <c:v>1142.04</c:v>
                </c:pt>
                <c:pt idx="41">
                  <c:v>1266.48</c:v>
                </c:pt>
                <c:pt idx="42">
                  <c:v>1400.52</c:v>
                </c:pt>
                <c:pt idx="43">
                  <c:v>1537.08</c:v>
                </c:pt>
                <c:pt idx="44">
                  <c:v>1660.06</c:v>
                </c:pt>
                <c:pt idx="45">
                  <c:v>1754.27</c:v>
                </c:pt>
                <c:pt idx="46">
                  <c:v>1809.95</c:v>
                </c:pt>
                <c:pt idx="47">
                  <c:v>1817.48</c:v>
                </c:pt>
                <c:pt idx="48">
                  <c:v>1770.21</c:v>
                </c:pt>
                <c:pt idx="49">
                  <c:v>1668.15</c:v>
                </c:pt>
                <c:pt idx="50">
                  <c:v>1518.64</c:v>
                </c:pt>
                <c:pt idx="51">
                  <c:v>1340.06</c:v>
                </c:pt>
                <c:pt idx="52">
                  <c:v>1160.24</c:v>
                </c:pt>
                <c:pt idx="53">
                  <c:v>993.61</c:v>
                </c:pt>
                <c:pt idx="54">
                  <c:v>844.84</c:v>
                </c:pt>
                <c:pt idx="55">
                  <c:v>715.52</c:v>
                </c:pt>
                <c:pt idx="56">
                  <c:v>605.44000000000005</c:v>
                </c:pt>
                <c:pt idx="57">
                  <c:v>513.24</c:v>
                </c:pt>
                <c:pt idx="58">
                  <c:v>436.89</c:v>
                </c:pt>
                <c:pt idx="59">
                  <c:v>374.16</c:v>
                </c:pt>
                <c:pt idx="60">
                  <c:v>322.89999999999998</c:v>
                </c:pt>
                <c:pt idx="61">
                  <c:v>281.18</c:v>
                </c:pt>
                <c:pt idx="62">
                  <c:v>247.3</c:v>
                </c:pt>
                <c:pt idx="63">
                  <c:v>219.84</c:v>
                </c:pt>
                <c:pt idx="64">
                  <c:v>197.59</c:v>
                </c:pt>
                <c:pt idx="65">
                  <c:v>179.55</c:v>
                </c:pt>
                <c:pt idx="66">
                  <c:v>164.86</c:v>
                </c:pt>
                <c:pt idx="67">
                  <c:v>152.82</c:v>
                </c:pt>
                <c:pt idx="68">
                  <c:v>142.81</c:v>
                </c:pt>
                <c:pt idx="69">
                  <c:v>134.35</c:v>
                </c:pt>
                <c:pt idx="70">
                  <c:v>127.03</c:v>
                </c:pt>
                <c:pt idx="71">
                  <c:v>120.56</c:v>
                </c:pt>
                <c:pt idx="72">
                  <c:v>114.7</c:v>
                </c:pt>
                <c:pt idx="73">
                  <c:v>109.3</c:v>
                </c:pt>
                <c:pt idx="74">
                  <c:v>104.22</c:v>
                </c:pt>
                <c:pt idx="75">
                  <c:v>99.42</c:v>
                </c:pt>
                <c:pt idx="76">
                  <c:v>94.83</c:v>
                </c:pt>
                <c:pt idx="77">
                  <c:v>90.45</c:v>
                </c:pt>
                <c:pt idx="78">
                  <c:v>86.25</c:v>
                </c:pt>
                <c:pt idx="79">
                  <c:v>82.24</c:v>
                </c:pt>
                <c:pt idx="80">
                  <c:v>78.42</c:v>
                </c:pt>
                <c:pt idx="81">
                  <c:v>74.790000000000006</c:v>
                </c:pt>
                <c:pt idx="82">
                  <c:v>71.349999999999994</c:v>
                </c:pt>
                <c:pt idx="83">
                  <c:v>68.11</c:v>
                </c:pt>
                <c:pt idx="84">
                  <c:v>65.069999999999993</c:v>
                </c:pt>
                <c:pt idx="85">
                  <c:v>62.23</c:v>
                </c:pt>
                <c:pt idx="86">
                  <c:v>59.59</c:v>
                </c:pt>
                <c:pt idx="87">
                  <c:v>57.14</c:v>
                </c:pt>
                <c:pt idx="88">
                  <c:v>54.88</c:v>
                </c:pt>
                <c:pt idx="89">
                  <c:v>52.8</c:v>
                </c:pt>
                <c:pt idx="90">
                  <c:v>50.9</c:v>
                </c:pt>
                <c:pt idx="91">
                  <c:v>49.15</c:v>
                </c:pt>
                <c:pt idx="92">
                  <c:v>47.57</c:v>
                </c:pt>
                <c:pt idx="93">
                  <c:v>46.12</c:v>
                </c:pt>
                <c:pt idx="94">
                  <c:v>44.82</c:v>
                </c:pt>
                <c:pt idx="95">
                  <c:v>43.63</c:v>
                </c:pt>
                <c:pt idx="96">
                  <c:v>42.56</c:v>
                </c:pt>
                <c:pt idx="97">
                  <c:v>41.6</c:v>
                </c:pt>
                <c:pt idx="98">
                  <c:v>40.729999999999997</c:v>
                </c:pt>
                <c:pt idx="99">
                  <c:v>39.96</c:v>
                </c:pt>
                <c:pt idx="100">
                  <c:v>39.26</c:v>
                </c:pt>
                <c:pt idx="101">
                  <c:v>38.64</c:v>
                </c:pt>
                <c:pt idx="102">
                  <c:v>38.090000000000003</c:v>
                </c:pt>
                <c:pt idx="103">
                  <c:v>37.61</c:v>
                </c:pt>
                <c:pt idx="104">
                  <c:v>37.17</c:v>
                </c:pt>
                <c:pt idx="105">
                  <c:v>36.799999999999997</c:v>
                </c:pt>
                <c:pt idx="106">
                  <c:v>36.47</c:v>
                </c:pt>
                <c:pt idx="107">
                  <c:v>36.18</c:v>
                </c:pt>
                <c:pt idx="108">
                  <c:v>35.94</c:v>
                </c:pt>
                <c:pt idx="109">
                  <c:v>35.729999999999997</c:v>
                </c:pt>
                <c:pt idx="110">
                  <c:v>35.56</c:v>
                </c:pt>
                <c:pt idx="111">
                  <c:v>35.42</c:v>
                </c:pt>
                <c:pt idx="112">
                  <c:v>35.31</c:v>
                </c:pt>
                <c:pt idx="113">
                  <c:v>35.229999999999997</c:v>
                </c:pt>
                <c:pt idx="114">
                  <c:v>35.18</c:v>
                </c:pt>
                <c:pt idx="115">
                  <c:v>35.15</c:v>
                </c:pt>
                <c:pt idx="116">
                  <c:v>35.14</c:v>
                </c:pt>
                <c:pt idx="117">
                  <c:v>35.19</c:v>
                </c:pt>
              </c:numCache>
            </c:numRef>
          </c:val>
          <c:smooth val="0"/>
          <c:extLst>
            <c:ext xmlns:c16="http://schemas.microsoft.com/office/drawing/2014/chart" uri="{C3380CC4-5D6E-409C-BE32-E72D297353CC}">
              <c16:uniqueId val="{0000000A-9A1C-40BE-9AAC-3242D8215002}"/>
            </c:ext>
          </c:extLst>
        </c:ser>
        <c:ser>
          <c:idx val="11"/>
          <c:order val="11"/>
          <c:tx>
            <c:strRef>
              <c:f>'50..800_F'!$M$3:$M$4</c:f>
              <c:strCache>
                <c:ptCount val="1"/>
                <c:pt idx="0">
                  <c:v>B03</c:v>
                </c:pt>
              </c:strCache>
            </c:strRef>
          </c:tx>
          <c:spPr>
            <a:ln w="28575" cap="rnd">
              <a:solidFill>
                <a:schemeClr val="accent6">
                  <a:lumMod val="6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'50..800_F'!$M$5:$M$123</c:f>
              <c:numCache>
                <c:formatCode>General</c:formatCode>
                <c:ptCount val="118"/>
                <c:pt idx="0">
                  <c:v>163.56</c:v>
                </c:pt>
                <c:pt idx="1">
                  <c:v>164.56</c:v>
                </c:pt>
                <c:pt idx="2">
                  <c:v>165.7</c:v>
                </c:pt>
                <c:pt idx="3">
                  <c:v>166.95</c:v>
                </c:pt>
                <c:pt idx="4">
                  <c:v>168.3</c:v>
                </c:pt>
                <c:pt idx="5">
                  <c:v>169.76</c:v>
                </c:pt>
                <c:pt idx="6">
                  <c:v>171.35</c:v>
                </c:pt>
                <c:pt idx="7">
                  <c:v>173.07</c:v>
                </c:pt>
                <c:pt idx="8">
                  <c:v>174.94</c:v>
                </c:pt>
                <c:pt idx="9">
                  <c:v>176.98</c:v>
                </c:pt>
                <c:pt idx="10">
                  <c:v>179.22</c:v>
                </c:pt>
                <c:pt idx="11">
                  <c:v>181.67</c:v>
                </c:pt>
                <c:pt idx="12">
                  <c:v>184.39</c:v>
                </c:pt>
                <c:pt idx="13">
                  <c:v>187.39</c:v>
                </c:pt>
                <c:pt idx="14">
                  <c:v>190.75</c:v>
                </c:pt>
                <c:pt idx="15">
                  <c:v>194.52</c:v>
                </c:pt>
                <c:pt idx="16">
                  <c:v>198.79</c:v>
                </c:pt>
                <c:pt idx="17">
                  <c:v>203.66</c:v>
                </c:pt>
                <c:pt idx="18">
                  <c:v>209.29</c:v>
                </c:pt>
                <c:pt idx="19">
                  <c:v>215.83</c:v>
                </c:pt>
                <c:pt idx="20">
                  <c:v>223.53</c:v>
                </c:pt>
                <c:pt idx="21">
                  <c:v>232.67</c:v>
                </c:pt>
                <c:pt idx="22">
                  <c:v>243.61</c:v>
                </c:pt>
                <c:pt idx="23">
                  <c:v>256.79000000000002</c:v>
                </c:pt>
                <c:pt idx="24">
                  <c:v>272.74</c:v>
                </c:pt>
                <c:pt idx="25">
                  <c:v>292.05</c:v>
                </c:pt>
                <c:pt idx="26">
                  <c:v>315.38</c:v>
                </c:pt>
                <c:pt idx="27">
                  <c:v>343.4</c:v>
                </c:pt>
                <c:pt idx="28">
                  <c:v>376.68</c:v>
                </c:pt>
                <c:pt idx="29">
                  <c:v>415.65</c:v>
                </c:pt>
                <c:pt idx="30">
                  <c:v>460.42</c:v>
                </c:pt>
                <c:pt idx="31">
                  <c:v>510.73</c:v>
                </c:pt>
                <c:pt idx="32">
                  <c:v>565.95000000000005</c:v>
                </c:pt>
                <c:pt idx="33">
                  <c:v>625.32000000000005</c:v>
                </c:pt>
                <c:pt idx="34">
                  <c:v>688.37</c:v>
                </c:pt>
                <c:pt idx="35">
                  <c:v>755.48</c:v>
                </c:pt>
                <c:pt idx="36">
                  <c:v>828.37</c:v>
                </c:pt>
                <c:pt idx="37">
                  <c:v>909.86</c:v>
                </c:pt>
                <c:pt idx="38">
                  <c:v>1003.14</c:v>
                </c:pt>
                <c:pt idx="39">
                  <c:v>1110.46</c:v>
                </c:pt>
                <c:pt idx="40">
                  <c:v>1232.08</c:v>
                </c:pt>
                <c:pt idx="41">
                  <c:v>1365.84</c:v>
                </c:pt>
                <c:pt idx="42">
                  <c:v>1507.56</c:v>
                </c:pt>
                <c:pt idx="43">
                  <c:v>1650.51</c:v>
                </c:pt>
                <c:pt idx="44">
                  <c:v>1781.09</c:v>
                </c:pt>
                <c:pt idx="45">
                  <c:v>1884</c:v>
                </c:pt>
                <c:pt idx="46">
                  <c:v>1946.4</c:v>
                </c:pt>
                <c:pt idx="47">
                  <c:v>1956.17</c:v>
                </c:pt>
                <c:pt idx="48">
                  <c:v>1905.79</c:v>
                </c:pt>
                <c:pt idx="49">
                  <c:v>1795.85</c:v>
                </c:pt>
                <c:pt idx="50">
                  <c:v>1635.06</c:v>
                </c:pt>
                <c:pt idx="51">
                  <c:v>1443.6</c:v>
                </c:pt>
                <c:pt idx="52">
                  <c:v>1251.24</c:v>
                </c:pt>
                <c:pt idx="53">
                  <c:v>1073.1500000000001</c:v>
                </c:pt>
                <c:pt idx="54">
                  <c:v>913.87</c:v>
                </c:pt>
                <c:pt idx="55">
                  <c:v>774.72</c:v>
                </c:pt>
                <c:pt idx="56">
                  <c:v>655.49</c:v>
                </c:pt>
                <c:pt idx="57">
                  <c:v>554.99</c:v>
                </c:pt>
                <c:pt idx="58">
                  <c:v>471.39</c:v>
                </c:pt>
                <c:pt idx="59">
                  <c:v>402.59</c:v>
                </c:pt>
                <c:pt idx="60">
                  <c:v>346.4</c:v>
                </c:pt>
                <c:pt idx="61">
                  <c:v>300.77</c:v>
                </c:pt>
                <c:pt idx="62">
                  <c:v>263.86</c:v>
                </c:pt>
                <c:pt idx="63">
                  <c:v>234.06</c:v>
                </c:pt>
                <c:pt idx="64">
                  <c:v>210</c:v>
                </c:pt>
                <c:pt idx="65">
                  <c:v>190.56</c:v>
                </c:pt>
                <c:pt idx="66">
                  <c:v>174.78</c:v>
                </c:pt>
                <c:pt idx="67">
                  <c:v>161.86000000000001</c:v>
                </c:pt>
                <c:pt idx="68">
                  <c:v>151.16</c:v>
                </c:pt>
                <c:pt idx="69">
                  <c:v>142.13</c:v>
                </c:pt>
                <c:pt idx="70">
                  <c:v>134.35</c:v>
                </c:pt>
                <c:pt idx="71">
                  <c:v>127.47</c:v>
                </c:pt>
                <c:pt idx="72">
                  <c:v>121.25</c:v>
                </c:pt>
                <c:pt idx="73">
                  <c:v>115.5</c:v>
                </c:pt>
                <c:pt idx="74">
                  <c:v>110.11</c:v>
                </c:pt>
                <c:pt idx="75">
                  <c:v>104.99</c:v>
                </c:pt>
                <c:pt idx="76">
                  <c:v>100.09</c:v>
                </c:pt>
                <c:pt idx="77">
                  <c:v>95.39</c:v>
                </c:pt>
                <c:pt idx="78">
                  <c:v>90.88</c:v>
                </c:pt>
                <c:pt idx="79">
                  <c:v>86.57</c:v>
                </c:pt>
                <c:pt idx="80">
                  <c:v>82.45</c:v>
                </c:pt>
                <c:pt idx="81">
                  <c:v>78.52</c:v>
                </c:pt>
                <c:pt idx="82">
                  <c:v>74.81</c:v>
                </c:pt>
                <c:pt idx="83">
                  <c:v>71.3</c:v>
                </c:pt>
                <c:pt idx="84">
                  <c:v>68.010000000000005</c:v>
                </c:pt>
                <c:pt idx="85">
                  <c:v>64.94</c:v>
                </c:pt>
                <c:pt idx="86">
                  <c:v>62.07</c:v>
                </c:pt>
                <c:pt idx="87">
                  <c:v>59.41</c:v>
                </c:pt>
                <c:pt idx="88">
                  <c:v>56.96</c:v>
                </c:pt>
                <c:pt idx="89">
                  <c:v>54.7</c:v>
                </c:pt>
                <c:pt idx="90">
                  <c:v>52.63</c:v>
                </c:pt>
                <c:pt idx="91">
                  <c:v>50.74</c:v>
                </c:pt>
                <c:pt idx="92">
                  <c:v>49.02</c:v>
                </c:pt>
                <c:pt idx="93">
                  <c:v>47.44</c:v>
                </c:pt>
                <c:pt idx="94">
                  <c:v>46.02</c:v>
                </c:pt>
                <c:pt idx="95">
                  <c:v>44.73</c:v>
                </c:pt>
                <c:pt idx="96">
                  <c:v>43.56</c:v>
                </c:pt>
                <c:pt idx="97">
                  <c:v>42.51</c:v>
                </c:pt>
                <c:pt idx="98">
                  <c:v>41.56</c:v>
                </c:pt>
                <c:pt idx="99">
                  <c:v>40.71</c:v>
                </c:pt>
                <c:pt idx="100">
                  <c:v>39.950000000000003</c:v>
                </c:pt>
                <c:pt idx="101">
                  <c:v>39.270000000000003</c:v>
                </c:pt>
                <c:pt idx="102">
                  <c:v>38.659999999999997</c:v>
                </c:pt>
                <c:pt idx="103">
                  <c:v>38.119999999999997</c:v>
                </c:pt>
                <c:pt idx="104">
                  <c:v>37.64</c:v>
                </c:pt>
                <c:pt idx="105">
                  <c:v>37.22</c:v>
                </c:pt>
                <c:pt idx="106">
                  <c:v>36.85</c:v>
                </c:pt>
                <c:pt idx="107">
                  <c:v>36.53</c:v>
                </c:pt>
                <c:pt idx="108">
                  <c:v>36.25</c:v>
                </c:pt>
                <c:pt idx="109">
                  <c:v>36.01</c:v>
                </c:pt>
                <c:pt idx="110">
                  <c:v>35.82</c:v>
                </c:pt>
                <c:pt idx="111">
                  <c:v>35.65</c:v>
                </c:pt>
                <c:pt idx="112">
                  <c:v>35.520000000000003</c:v>
                </c:pt>
                <c:pt idx="113">
                  <c:v>35.42</c:v>
                </c:pt>
                <c:pt idx="114">
                  <c:v>35.35</c:v>
                </c:pt>
                <c:pt idx="115">
                  <c:v>35.299999999999997</c:v>
                </c:pt>
                <c:pt idx="116">
                  <c:v>35.29</c:v>
                </c:pt>
                <c:pt idx="117">
                  <c:v>35.33</c:v>
                </c:pt>
              </c:numCache>
            </c:numRef>
          </c:val>
          <c:smooth val="0"/>
          <c:extLst>
            <c:ext xmlns:c16="http://schemas.microsoft.com/office/drawing/2014/chart" uri="{C3380CC4-5D6E-409C-BE32-E72D297353CC}">
              <c16:uniqueId val="{0000000B-9A1C-40BE-9AAC-3242D8215002}"/>
            </c:ext>
          </c:extLst>
        </c:ser>
        <c:ser>
          <c:idx val="12"/>
          <c:order val="12"/>
          <c:tx>
            <c:strRef>
              <c:f>'50..800_F'!$N$3:$N$4</c:f>
              <c:strCache>
                <c:ptCount val="1"/>
                <c:pt idx="0">
                  <c:v>B04</c:v>
                </c:pt>
              </c:strCache>
            </c:strRef>
          </c:tx>
          <c:spPr>
            <a:ln w="28575" cap="rnd">
              <a:solidFill>
                <a:schemeClr val="accent1">
                  <a:lumMod val="80000"/>
                  <a:lumOff val="2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'50..800_F'!$N$5:$N$123</c:f>
              <c:numCache>
                <c:formatCode>General</c:formatCode>
                <c:ptCount val="118"/>
                <c:pt idx="0">
                  <c:v>159.63999999999999</c:v>
                </c:pt>
                <c:pt idx="1">
                  <c:v>160.91999999999999</c:v>
                </c:pt>
                <c:pt idx="2">
                  <c:v>162.54</c:v>
                </c:pt>
                <c:pt idx="3">
                  <c:v>164.37</c:v>
                </c:pt>
                <c:pt idx="4">
                  <c:v>166.37</c:v>
                </c:pt>
                <c:pt idx="5">
                  <c:v>168.56</c:v>
                </c:pt>
                <c:pt idx="6">
                  <c:v>170.98</c:v>
                </c:pt>
                <c:pt idx="7">
                  <c:v>173.64</c:v>
                </c:pt>
                <c:pt idx="8">
                  <c:v>176.57</c:v>
                </c:pt>
                <c:pt idx="9">
                  <c:v>179.82</c:v>
                </c:pt>
                <c:pt idx="10">
                  <c:v>183.41</c:v>
                </c:pt>
                <c:pt idx="11">
                  <c:v>187.4</c:v>
                </c:pt>
                <c:pt idx="12">
                  <c:v>191.83</c:v>
                </c:pt>
                <c:pt idx="13">
                  <c:v>196.77</c:v>
                </c:pt>
                <c:pt idx="14">
                  <c:v>202.29</c:v>
                </c:pt>
                <c:pt idx="15">
                  <c:v>208.46</c:v>
                </c:pt>
                <c:pt idx="16">
                  <c:v>215.38</c:v>
                </c:pt>
                <c:pt idx="17">
                  <c:v>223.15</c:v>
                </c:pt>
                <c:pt idx="18">
                  <c:v>231.87</c:v>
                </c:pt>
                <c:pt idx="19">
                  <c:v>241.68</c:v>
                </c:pt>
                <c:pt idx="20">
                  <c:v>252.71</c:v>
                </c:pt>
                <c:pt idx="21">
                  <c:v>265.08999999999997</c:v>
                </c:pt>
                <c:pt idx="22">
                  <c:v>278.99</c:v>
                </c:pt>
                <c:pt idx="23">
                  <c:v>294.52999999999997</c:v>
                </c:pt>
                <c:pt idx="24">
                  <c:v>311.87</c:v>
                </c:pt>
                <c:pt idx="25">
                  <c:v>331.12</c:v>
                </c:pt>
                <c:pt idx="26">
                  <c:v>352.4</c:v>
                </c:pt>
                <c:pt idx="27">
                  <c:v>375.79</c:v>
                </c:pt>
                <c:pt idx="28">
                  <c:v>401.38</c:v>
                </c:pt>
                <c:pt idx="29">
                  <c:v>429.24</c:v>
                </c:pt>
                <c:pt idx="30">
                  <c:v>459.49</c:v>
                </c:pt>
                <c:pt idx="31">
                  <c:v>492.37</c:v>
                </c:pt>
                <c:pt idx="32">
                  <c:v>528.35</c:v>
                </c:pt>
                <c:pt idx="33">
                  <c:v>568.26</c:v>
                </c:pt>
                <c:pt idx="34">
                  <c:v>613.62</c:v>
                </c:pt>
                <c:pt idx="35">
                  <c:v>666.87</c:v>
                </c:pt>
                <c:pt idx="36">
                  <c:v>731.65</c:v>
                </c:pt>
                <c:pt idx="37">
                  <c:v>812.77</c:v>
                </c:pt>
                <c:pt idx="38">
                  <c:v>915.3</c:v>
                </c:pt>
                <c:pt idx="39">
                  <c:v>1042.48</c:v>
                </c:pt>
                <c:pt idx="40">
                  <c:v>1192.52</c:v>
                </c:pt>
                <c:pt idx="41">
                  <c:v>1357.07</c:v>
                </c:pt>
                <c:pt idx="42">
                  <c:v>1524.42</c:v>
                </c:pt>
                <c:pt idx="43">
                  <c:v>1684.44</c:v>
                </c:pt>
                <c:pt idx="44">
                  <c:v>1824.74</c:v>
                </c:pt>
                <c:pt idx="45">
                  <c:v>1933.19</c:v>
                </c:pt>
                <c:pt idx="46">
                  <c:v>1999.66</c:v>
                </c:pt>
                <c:pt idx="47">
                  <c:v>2013.42</c:v>
                </c:pt>
                <c:pt idx="48">
                  <c:v>1966.81</c:v>
                </c:pt>
                <c:pt idx="49">
                  <c:v>1858.85</c:v>
                </c:pt>
                <c:pt idx="50">
                  <c:v>1695.99</c:v>
                </c:pt>
                <c:pt idx="51">
                  <c:v>1497.83</c:v>
                </c:pt>
                <c:pt idx="52">
                  <c:v>1296.75</c:v>
                </c:pt>
                <c:pt idx="53">
                  <c:v>1109.82</c:v>
                </c:pt>
                <c:pt idx="54">
                  <c:v>942.38</c:v>
                </c:pt>
                <c:pt idx="55">
                  <c:v>796.21</c:v>
                </c:pt>
                <c:pt idx="56">
                  <c:v>671.19</c:v>
                </c:pt>
                <c:pt idx="57">
                  <c:v>565.97</c:v>
                </c:pt>
                <c:pt idx="58">
                  <c:v>478.51</c:v>
                </c:pt>
                <c:pt idx="59">
                  <c:v>406.44</c:v>
                </c:pt>
                <c:pt idx="60">
                  <c:v>347.45</c:v>
                </c:pt>
                <c:pt idx="61">
                  <c:v>299.38</c:v>
                </c:pt>
                <c:pt idx="62">
                  <c:v>260.33</c:v>
                </c:pt>
                <c:pt idx="63">
                  <c:v>228.68</c:v>
                </c:pt>
                <c:pt idx="64">
                  <c:v>203.07</c:v>
                </c:pt>
                <c:pt idx="65">
                  <c:v>182.33</c:v>
                </c:pt>
                <c:pt idx="66">
                  <c:v>165.52</c:v>
                </c:pt>
                <c:pt idx="67">
                  <c:v>151.81</c:v>
                </c:pt>
                <c:pt idx="68">
                  <c:v>140.51</c:v>
                </c:pt>
                <c:pt idx="69">
                  <c:v>131.07</c:v>
                </c:pt>
                <c:pt idx="70">
                  <c:v>123.01</c:v>
                </c:pt>
                <c:pt idx="71">
                  <c:v>115.97</c:v>
                </c:pt>
                <c:pt idx="72">
                  <c:v>109.68</c:v>
                </c:pt>
                <c:pt idx="73">
                  <c:v>103.94</c:v>
                </c:pt>
                <c:pt idx="74">
                  <c:v>98.6</c:v>
                </c:pt>
                <c:pt idx="75">
                  <c:v>93.59</c:v>
                </c:pt>
                <c:pt idx="76">
                  <c:v>88.83</c:v>
                </c:pt>
                <c:pt idx="77">
                  <c:v>84.3</c:v>
                </c:pt>
                <c:pt idx="78">
                  <c:v>79.989999999999995</c:v>
                </c:pt>
                <c:pt idx="79">
                  <c:v>75.89</c:v>
                </c:pt>
                <c:pt idx="80">
                  <c:v>71.989999999999995</c:v>
                </c:pt>
                <c:pt idx="81">
                  <c:v>68.31</c:v>
                </c:pt>
                <c:pt idx="82">
                  <c:v>64.83</c:v>
                </c:pt>
                <c:pt idx="83">
                  <c:v>61.58</c:v>
                </c:pt>
                <c:pt idx="84">
                  <c:v>58.54</c:v>
                </c:pt>
                <c:pt idx="85">
                  <c:v>55.71</c:v>
                </c:pt>
                <c:pt idx="86">
                  <c:v>53.09</c:v>
                </c:pt>
                <c:pt idx="87">
                  <c:v>50.68</c:v>
                </c:pt>
                <c:pt idx="88">
                  <c:v>48.46</c:v>
                </c:pt>
                <c:pt idx="89">
                  <c:v>46.43</c:v>
                </c:pt>
                <c:pt idx="90">
                  <c:v>44.58</c:v>
                </c:pt>
                <c:pt idx="91">
                  <c:v>42.9</c:v>
                </c:pt>
                <c:pt idx="92">
                  <c:v>41.37</c:v>
                </c:pt>
                <c:pt idx="93">
                  <c:v>39.99</c:v>
                </c:pt>
                <c:pt idx="94">
                  <c:v>38.74</c:v>
                </c:pt>
                <c:pt idx="95">
                  <c:v>37.61</c:v>
                </c:pt>
                <c:pt idx="96">
                  <c:v>36.6</c:v>
                </c:pt>
                <c:pt idx="97">
                  <c:v>35.69</c:v>
                </c:pt>
                <c:pt idx="98">
                  <c:v>34.880000000000003</c:v>
                </c:pt>
                <c:pt idx="99">
                  <c:v>34.15</c:v>
                </c:pt>
                <c:pt idx="100">
                  <c:v>33.5</c:v>
                </c:pt>
                <c:pt idx="101">
                  <c:v>32.93</c:v>
                </c:pt>
                <c:pt idx="102">
                  <c:v>32.42</c:v>
                </c:pt>
                <c:pt idx="103">
                  <c:v>31.96</c:v>
                </c:pt>
                <c:pt idx="104">
                  <c:v>31.57</c:v>
                </c:pt>
                <c:pt idx="105">
                  <c:v>31.22</c:v>
                </c:pt>
                <c:pt idx="106">
                  <c:v>30.92</c:v>
                </c:pt>
                <c:pt idx="107">
                  <c:v>30.66</c:v>
                </c:pt>
                <c:pt idx="108">
                  <c:v>30.44</c:v>
                </c:pt>
                <c:pt idx="109">
                  <c:v>30.26</c:v>
                </c:pt>
                <c:pt idx="110">
                  <c:v>30.11</c:v>
                </c:pt>
                <c:pt idx="111">
                  <c:v>29.99</c:v>
                </c:pt>
                <c:pt idx="112">
                  <c:v>29.9</c:v>
                </c:pt>
                <c:pt idx="113">
                  <c:v>29.83</c:v>
                </c:pt>
                <c:pt idx="114">
                  <c:v>29.79</c:v>
                </c:pt>
                <c:pt idx="115">
                  <c:v>29.78</c:v>
                </c:pt>
                <c:pt idx="116">
                  <c:v>29.78</c:v>
                </c:pt>
                <c:pt idx="117">
                  <c:v>29.83</c:v>
                </c:pt>
              </c:numCache>
            </c:numRef>
          </c:val>
          <c:smooth val="0"/>
          <c:extLst>
            <c:ext xmlns:c16="http://schemas.microsoft.com/office/drawing/2014/chart" uri="{C3380CC4-5D6E-409C-BE32-E72D297353CC}">
              <c16:uniqueId val="{0000000C-9A1C-40BE-9AAC-3242D8215002}"/>
            </c:ext>
          </c:extLst>
        </c:ser>
        <c:ser>
          <c:idx val="13"/>
          <c:order val="13"/>
          <c:tx>
            <c:strRef>
              <c:f>'50..800_F'!$O$3:$O$4</c:f>
              <c:strCache>
                <c:ptCount val="1"/>
                <c:pt idx="0">
                  <c:v>B05</c:v>
                </c:pt>
              </c:strCache>
            </c:strRef>
          </c:tx>
          <c:spPr>
            <a:ln w="28575" cap="rnd">
              <a:solidFill>
                <a:schemeClr val="accent2">
                  <a:lumMod val="80000"/>
                  <a:lumOff val="2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'50..800_F'!$O$5:$O$123</c:f>
              <c:numCache>
                <c:formatCode>General</c:formatCode>
                <c:ptCount val="118"/>
                <c:pt idx="0">
                  <c:v>136.74</c:v>
                </c:pt>
                <c:pt idx="1">
                  <c:v>137.61000000000001</c:v>
                </c:pt>
                <c:pt idx="2">
                  <c:v>138.63999999999999</c:v>
                </c:pt>
                <c:pt idx="3">
                  <c:v>139.79</c:v>
                </c:pt>
                <c:pt idx="4">
                  <c:v>141.04</c:v>
                </c:pt>
                <c:pt idx="5">
                  <c:v>142.41999999999999</c:v>
                </c:pt>
                <c:pt idx="6">
                  <c:v>143.94</c:v>
                </c:pt>
                <c:pt idx="7">
                  <c:v>145.61000000000001</c:v>
                </c:pt>
                <c:pt idx="8">
                  <c:v>147.46</c:v>
                </c:pt>
                <c:pt idx="9">
                  <c:v>149.51</c:v>
                </c:pt>
                <c:pt idx="10">
                  <c:v>151.79</c:v>
                </c:pt>
                <c:pt idx="11">
                  <c:v>154.32</c:v>
                </c:pt>
                <c:pt idx="12">
                  <c:v>157.16999999999999</c:v>
                </c:pt>
                <c:pt idx="13">
                  <c:v>160.37</c:v>
                </c:pt>
                <c:pt idx="14">
                  <c:v>164</c:v>
                </c:pt>
                <c:pt idx="15">
                  <c:v>168.13</c:v>
                </c:pt>
                <c:pt idx="16">
                  <c:v>172.87</c:v>
                </c:pt>
                <c:pt idx="17">
                  <c:v>178.33</c:v>
                </c:pt>
                <c:pt idx="18">
                  <c:v>184.68</c:v>
                </c:pt>
                <c:pt idx="19">
                  <c:v>192.11</c:v>
                </c:pt>
                <c:pt idx="20">
                  <c:v>200.83</c:v>
                </c:pt>
                <c:pt idx="21">
                  <c:v>211.15</c:v>
                </c:pt>
                <c:pt idx="22">
                  <c:v>223.38</c:v>
                </c:pt>
                <c:pt idx="23">
                  <c:v>237.93</c:v>
                </c:pt>
                <c:pt idx="24">
                  <c:v>255.23</c:v>
                </c:pt>
                <c:pt idx="25">
                  <c:v>275.77</c:v>
                </c:pt>
                <c:pt idx="26">
                  <c:v>300.06</c:v>
                </c:pt>
                <c:pt idx="27">
                  <c:v>328.6</c:v>
                </c:pt>
                <c:pt idx="28">
                  <c:v>361.85</c:v>
                </c:pt>
                <c:pt idx="29">
                  <c:v>400.11</c:v>
                </c:pt>
                <c:pt idx="30">
                  <c:v>443.5</c:v>
                </c:pt>
                <c:pt idx="31">
                  <c:v>491.89</c:v>
                </c:pt>
                <c:pt idx="32">
                  <c:v>544.9</c:v>
                </c:pt>
                <c:pt idx="33">
                  <c:v>602.07000000000005</c:v>
                </c:pt>
                <c:pt idx="34">
                  <c:v>663.14</c:v>
                </c:pt>
                <c:pt idx="35">
                  <c:v>728.46</c:v>
                </c:pt>
                <c:pt idx="36">
                  <c:v>799.29</c:v>
                </c:pt>
                <c:pt idx="37">
                  <c:v>877.81</c:v>
                </c:pt>
                <c:pt idx="38">
                  <c:v>966.6</c:v>
                </c:pt>
                <c:pt idx="39">
                  <c:v>1068.01</c:v>
                </c:pt>
                <c:pt idx="40">
                  <c:v>1183.49</c:v>
                </c:pt>
                <c:pt idx="41">
                  <c:v>1313.16</c:v>
                </c:pt>
                <c:pt idx="42">
                  <c:v>1455.39</c:v>
                </c:pt>
                <c:pt idx="43">
                  <c:v>1604.95</c:v>
                </c:pt>
                <c:pt idx="44">
                  <c:v>1746.1</c:v>
                </c:pt>
                <c:pt idx="45">
                  <c:v>1858.06</c:v>
                </c:pt>
                <c:pt idx="46">
                  <c:v>1929.59</c:v>
                </c:pt>
                <c:pt idx="47">
                  <c:v>1951.83</c:v>
                </c:pt>
                <c:pt idx="48">
                  <c:v>1917.7</c:v>
                </c:pt>
                <c:pt idx="49">
                  <c:v>1825.74</c:v>
                </c:pt>
                <c:pt idx="50">
                  <c:v>1681.99</c:v>
                </c:pt>
                <c:pt idx="51">
                  <c:v>1500.62</c:v>
                </c:pt>
                <c:pt idx="52">
                  <c:v>1308.72</c:v>
                </c:pt>
                <c:pt idx="53">
                  <c:v>1126.02</c:v>
                </c:pt>
                <c:pt idx="54">
                  <c:v>959.53</c:v>
                </c:pt>
                <c:pt idx="55">
                  <c:v>812.27</c:v>
                </c:pt>
                <c:pt idx="56">
                  <c:v>685.18</c:v>
                </c:pt>
                <c:pt idx="57">
                  <c:v>577.61</c:v>
                </c:pt>
                <c:pt idx="58">
                  <c:v>487.9</c:v>
                </c:pt>
                <c:pt idx="59">
                  <c:v>413.87</c:v>
                </c:pt>
                <c:pt idx="60">
                  <c:v>353.24</c:v>
                </c:pt>
                <c:pt idx="61">
                  <c:v>303.85000000000002</c:v>
                </c:pt>
                <c:pt idx="62">
                  <c:v>263.76</c:v>
                </c:pt>
                <c:pt idx="63">
                  <c:v>231.29</c:v>
                </c:pt>
                <c:pt idx="64">
                  <c:v>205.03</c:v>
                </c:pt>
                <c:pt idx="65">
                  <c:v>183.81</c:v>
                </c:pt>
                <c:pt idx="66">
                  <c:v>166.62</c:v>
                </c:pt>
                <c:pt idx="67">
                  <c:v>152.63999999999999</c:v>
                </c:pt>
                <c:pt idx="68">
                  <c:v>141.16999999999999</c:v>
                </c:pt>
                <c:pt idx="69">
                  <c:v>131.6</c:v>
                </c:pt>
                <c:pt idx="70">
                  <c:v>123.48</c:v>
                </c:pt>
                <c:pt idx="71">
                  <c:v>116.41</c:v>
                </c:pt>
                <c:pt idx="72">
                  <c:v>110.11</c:v>
                </c:pt>
                <c:pt idx="73">
                  <c:v>104.37</c:v>
                </c:pt>
                <c:pt idx="74">
                  <c:v>99.04</c:v>
                </c:pt>
                <c:pt idx="75">
                  <c:v>94.03</c:v>
                </c:pt>
                <c:pt idx="76">
                  <c:v>89.26</c:v>
                </c:pt>
                <c:pt idx="77">
                  <c:v>84.72</c:v>
                </c:pt>
                <c:pt idx="78">
                  <c:v>80.38</c:v>
                </c:pt>
                <c:pt idx="79">
                  <c:v>76.239999999999995</c:v>
                </c:pt>
                <c:pt idx="80">
                  <c:v>72.3</c:v>
                </c:pt>
                <c:pt idx="81">
                  <c:v>68.569999999999993</c:v>
                </c:pt>
                <c:pt idx="82">
                  <c:v>65.040000000000006</c:v>
                </c:pt>
                <c:pt idx="83">
                  <c:v>61.72</c:v>
                </c:pt>
                <c:pt idx="84">
                  <c:v>58.61</c:v>
                </c:pt>
                <c:pt idx="85">
                  <c:v>55.72</c:v>
                </c:pt>
                <c:pt idx="86">
                  <c:v>53.04</c:v>
                </c:pt>
                <c:pt idx="87">
                  <c:v>50.56</c:v>
                </c:pt>
                <c:pt idx="88">
                  <c:v>48.28</c:v>
                </c:pt>
                <c:pt idx="89">
                  <c:v>46.2</c:v>
                </c:pt>
                <c:pt idx="90">
                  <c:v>44.29</c:v>
                </c:pt>
                <c:pt idx="91">
                  <c:v>42.55</c:v>
                </c:pt>
                <c:pt idx="92">
                  <c:v>40.98</c:v>
                </c:pt>
                <c:pt idx="93">
                  <c:v>39.56</c:v>
                </c:pt>
                <c:pt idx="94">
                  <c:v>38.270000000000003</c:v>
                </c:pt>
                <c:pt idx="95">
                  <c:v>37.11</c:v>
                </c:pt>
                <c:pt idx="96">
                  <c:v>36.07</c:v>
                </c:pt>
                <c:pt idx="97">
                  <c:v>35.130000000000003</c:v>
                </c:pt>
                <c:pt idx="98">
                  <c:v>34.29</c:v>
                </c:pt>
                <c:pt idx="99">
                  <c:v>33.549999999999997</c:v>
                </c:pt>
                <c:pt idx="100">
                  <c:v>32.880000000000003</c:v>
                </c:pt>
                <c:pt idx="101">
                  <c:v>32.29</c:v>
                </c:pt>
                <c:pt idx="102">
                  <c:v>31.76</c:v>
                </c:pt>
                <c:pt idx="103">
                  <c:v>31.3</c:v>
                </c:pt>
                <c:pt idx="104">
                  <c:v>30.9</c:v>
                </c:pt>
                <c:pt idx="105">
                  <c:v>30.54</c:v>
                </c:pt>
                <c:pt idx="106">
                  <c:v>30.23</c:v>
                </c:pt>
                <c:pt idx="107">
                  <c:v>29.97</c:v>
                </c:pt>
                <c:pt idx="108">
                  <c:v>29.75</c:v>
                </c:pt>
                <c:pt idx="109">
                  <c:v>29.56</c:v>
                </c:pt>
                <c:pt idx="110">
                  <c:v>29.41</c:v>
                </c:pt>
                <c:pt idx="111">
                  <c:v>29.28</c:v>
                </c:pt>
                <c:pt idx="112">
                  <c:v>29.19</c:v>
                </c:pt>
                <c:pt idx="113">
                  <c:v>29.12</c:v>
                </c:pt>
                <c:pt idx="114">
                  <c:v>29.08</c:v>
                </c:pt>
                <c:pt idx="115">
                  <c:v>29.06</c:v>
                </c:pt>
                <c:pt idx="116">
                  <c:v>29.07</c:v>
                </c:pt>
                <c:pt idx="117">
                  <c:v>29.12</c:v>
                </c:pt>
              </c:numCache>
            </c:numRef>
          </c:val>
          <c:smooth val="0"/>
          <c:extLst>
            <c:ext xmlns:c16="http://schemas.microsoft.com/office/drawing/2014/chart" uri="{C3380CC4-5D6E-409C-BE32-E72D297353CC}">
              <c16:uniqueId val="{0000000D-9A1C-40BE-9AAC-3242D8215002}"/>
            </c:ext>
          </c:extLst>
        </c:ser>
        <c:ser>
          <c:idx val="14"/>
          <c:order val="14"/>
          <c:tx>
            <c:strRef>
              <c:f>'50..800_F'!$P$3:$P$4</c:f>
              <c:strCache>
                <c:ptCount val="1"/>
                <c:pt idx="0">
                  <c:v>B06</c:v>
                </c:pt>
              </c:strCache>
            </c:strRef>
          </c:tx>
          <c:spPr>
            <a:ln w="28575" cap="rnd">
              <a:solidFill>
                <a:schemeClr val="accent3">
                  <a:lumMod val="80000"/>
                  <a:lumOff val="2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'50..800_F'!$P$5:$P$123</c:f>
              <c:numCache>
                <c:formatCode>General</c:formatCode>
                <c:ptCount val="118"/>
                <c:pt idx="0">
                  <c:v>171.61</c:v>
                </c:pt>
                <c:pt idx="1">
                  <c:v>173.03</c:v>
                </c:pt>
                <c:pt idx="2">
                  <c:v>174.82</c:v>
                </c:pt>
                <c:pt idx="3">
                  <c:v>176.84</c:v>
                </c:pt>
                <c:pt idx="4">
                  <c:v>179.05</c:v>
                </c:pt>
                <c:pt idx="5">
                  <c:v>181.48</c:v>
                </c:pt>
                <c:pt idx="6">
                  <c:v>184.15</c:v>
                </c:pt>
                <c:pt idx="7">
                  <c:v>187.1</c:v>
                </c:pt>
                <c:pt idx="8">
                  <c:v>190.34</c:v>
                </c:pt>
                <c:pt idx="9">
                  <c:v>193.93</c:v>
                </c:pt>
                <c:pt idx="10">
                  <c:v>197.9</c:v>
                </c:pt>
                <c:pt idx="11">
                  <c:v>202.31</c:v>
                </c:pt>
                <c:pt idx="12">
                  <c:v>207.22</c:v>
                </c:pt>
                <c:pt idx="13">
                  <c:v>212.68</c:v>
                </c:pt>
                <c:pt idx="14">
                  <c:v>218.78</c:v>
                </c:pt>
                <c:pt idx="15">
                  <c:v>225.59</c:v>
                </c:pt>
                <c:pt idx="16">
                  <c:v>233.23</c:v>
                </c:pt>
                <c:pt idx="17">
                  <c:v>241.78</c:v>
                </c:pt>
                <c:pt idx="18">
                  <c:v>251.38</c:v>
                </c:pt>
                <c:pt idx="19">
                  <c:v>262.14</c:v>
                </c:pt>
                <c:pt idx="20">
                  <c:v>274.20999999999998</c:v>
                </c:pt>
                <c:pt idx="21">
                  <c:v>287.73</c:v>
                </c:pt>
                <c:pt idx="22">
                  <c:v>302.83</c:v>
                </c:pt>
                <c:pt idx="23">
                  <c:v>319.66000000000003</c:v>
                </c:pt>
                <c:pt idx="24">
                  <c:v>338.37</c:v>
                </c:pt>
                <c:pt idx="25">
                  <c:v>359.1</c:v>
                </c:pt>
                <c:pt idx="26">
                  <c:v>381.99</c:v>
                </c:pt>
                <c:pt idx="27">
                  <c:v>407.18</c:v>
                </c:pt>
                <c:pt idx="28">
                  <c:v>434.84</c:v>
                </c:pt>
                <c:pt idx="29">
                  <c:v>465.17</c:v>
                </c:pt>
                <c:pt idx="30">
                  <c:v>498.45</c:v>
                </c:pt>
                <c:pt idx="31">
                  <c:v>535.04999999999995</c:v>
                </c:pt>
                <c:pt idx="32">
                  <c:v>575.52</c:v>
                </c:pt>
                <c:pt idx="33">
                  <c:v>620.6</c:v>
                </c:pt>
                <c:pt idx="34">
                  <c:v>671.33</c:v>
                </c:pt>
                <c:pt idx="35">
                  <c:v>729.09</c:v>
                </c:pt>
                <c:pt idx="36">
                  <c:v>795.6</c:v>
                </c:pt>
                <c:pt idx="37">
                  <c:v>872.85</c:v>
                </c:pt>
                <c:pt idx="38">
                  <c:v>962.92</c:v>
                </c:pt>
                <c:pt idx="39">
                  <c:v>1067.58</c:v>
                </c:pt>
                <c:pt idx="40">
                  <c:v>1187.72</c:v>
                </c:pt>
                <c:pt idx="41">
                  <c:v>1322.52</c:v>
                </c:pt>
                <c:pt idx="42">
                  <c:v>1468.56</c:v>
                </c:pt>
                <c:pt idx="43">
                  <c:v>1618.59</c:v>
                </c:pt>
                <c:pt idx="44">
                  <c:v>1758.02</c:v>
                </c:pt>
                <c:pt idx="45">
                  <c:v>1870.51</c:v>
                </c:pt>
                <c:pt idx="46">
                  <c:v>1946.2</c:v>
                </c:pt>
                <c:pt idx="47">
                  <c:v>1974.14</c:v>
                </c:pt>
                <c:pt idx="48">
                  <c:v>1944.55</c:v>
                </c:pt>
                <c:pt idx="49">
                  <c:v>1854.59</c:v>
                </c:pt>
                <c:pt idx="50">
                  <c:v>1710.41</c:v>
                </c:pt>
                <c:pt idx="51">
                  <c:v>1526.68</c:v>
                </c:pt>
                <c:pt idx="52">
                  <c:v>1331.38</c:v>
                </c:pt>
                <c:pt idx="53">
                  <c:v>1145.48</c:v>
                </c:pt>
                <c:pt idx="54">
                  <c:v>976.7</c:v>
                </c:pt>
                <c:pt idx="55">
                  <c:v>827.98</c:v>
                </c:pt>
                <c:pt idx="56">
                  <c:v>699.87</c:v>
                </c:pt>
                <c:pt idx="57">
                  <c:v>591.41</c:v>
                </c:pt>
                <c:pt idx="58">
                  <c:v>500.78</c:v>
                </c:pt>
                <c:pt idx="59">
                  <c:v>425.79</c:v>
                </c:pt>
                <c:pt idx="60">
                  <c:v>364.19</c:v>
                </c:pt>
                <c:pt idx="61">
                  <c:v>313.87</c:v>
                </c:pt>
                <c:pt idx="62">
                  <c:v>272.89999999999998</c:v>
                </c:pt>
                <c:pt idx="63">
                  <c:v>239.58</c:v>
                </c:pt>
                <c:pt idx="64">
                  <c:v>212.47</c:v>
                </c:pt>
                <c:pt idx="65">
                  <c:v>190.36</c:v>
                </c:pt>
                <c:pt idx="66">
                  <c:v>172.23</c:v>
                </c:pt>
                <c:pt idx="67">
                  <c:v>157.27000000000001</c:v>
                </c:pt>
                <c:pt idx="68">
                  <c:v>144.78</c:v>
                </c:pt>
                <c:pt idx="69">
                  <c:v>134.22999999999999</c:v>
                </c:pt>
                <c:pt idx="70">
                  <c:v>125.15</c:v>
                </c:pt>
                <c:pt idx="71">
                  <c:v>117.2</c:v>
                </c:pt>
                <c:pt idx="72">
                  <c:v>110.13</c:v>
                </c:pt>
                <c:pt idx="73">
                  <c:v>103.73</c:v>
                </c:pt>
                <c:pt idx="74">
                  <c:v>97.86</c:v>
                </c:pt>
                <c:pt idx="75">
                  <c:v>92.43</c:v>
                </c:pt>
                <c:pt idx="76">
                  <c:v>87.36</c:v>
                </c:pt>
                <c:pt idx="77">
                  <c:v>82.62</c:v>
                </c:pt>
                <c:pt idx="78">
                  <c:v>78.16</c:v>
                </c:pt>
                <c:pt idx="79">
                  <c:v>73.98</c:v>
                </c:pt>
                <c:pt idx="80">
                  <c:v>70.06</c:v>
                </c:pt>
                <c:pt idx="81">
                  <c:v>66.39</c:v>
                </c:pt>
                <c:pt idx="82">
                  <c:v>62.95</c:v>
                </c:pt>
                <c:pt idx="83">
                  <c:v>59.76</c:v>
                </c:pt>
                <c:pt idx="84">
                  <c:v>56.79</c:v>
                </c:pt>
                <c:pt idx="85">
                  <c:v>54.03</c:v>
                </c:pt>
                <c:pt idx="86">
                  <c:v>51.49</c:v>
                </c:pt>
                <c:pt idx="87">
                  <c:v>49.16</c:v>
                </c:pt>
                <c:pt idx="88">
                  <c:v>47.01</c:v>
                </c:pt>
                <c:pt idx="89">
                  <c:v>45.05</c:v>
                </c:pt>
                <c:pt idx="90">
                  <c:v>43.26</c:v>
                </c:pt>
                <c:pt idx="91">
                  <c:v>41.63</c:v>
                </c:pt>
                <c:pt idx="92">
                  <c:v>40.15</c:v>
                </c:pt>
                <c:pt idx="93">
                  <c:v>38.81</c:v>
                </c:pt>
                <c:pt idx="94">
                  <c:v>37.590000000000003</c:v>
                </c:pt>
                <c:pt idx="95">
                  <c:v>36.5</c:v>
                </c:pt>
                <c:pt idx="96">
                  <c:v>35.51</c:v>
                </c:pt>
                <c:pt idx="97">
                  <c:v>34.619999999999997</c:v>
                </c:pt>
                <c:pt idx="98">
                  <c:v>33.83</c:v>
                </c:pt>
                <c:pt idx="99">
                  <c:v>33.119999999999997</c:v>
                </c:pt>
                <c:pt idx="100">
                  <c:v>32.479999999999997</c:v>
                </c:pt>
                <c:pt idx="101">
                  <c:v>31.91</c:v>
                </c:pt>
                <c:pt idx="102">
                  <c:v>31.41</c:v>
                </c:pt>
                <c:pt idx="103">
                  <c:v>30.96</c:v>
                </c:pt>
                <c:pt idx="104">
                  <c:v>30.57</c:v>
                </c:pt>
                <c:pt idx="105">
                  <c:v>30.22</c:v>
                </c:pt>
                <c:pt idx="106">
                  <c:v>29.92</c:v>
                </c:pt>
                <c:pt idx="107">
                  <c:v>29.67</c:v>
                </c:pt>
                <c:pt idx="108">
                  <c:v>29.45</c:v>
                </c:pt>
                <c:pt idx="109">
                  <c:v>29.26</c:v>
                </c:pt>
                <c:pt idx="110">
                  <c:v>29.11</c:v>
                </c:pt>
                <c:pt idx="111">
                  <c:v>28.99</c:v>
                </c:pt>
                <c:pt idx="112">
                  <c:v>28.89</c:v>
                </c:pt>
                <c:pt idx="113">
                  <c:v>28.82</c:v>
                </c:pt>
                <c:pt idx="114">
                  <c:v>28.78</c:v>
                </c:pt>
                <c:pt idx="115">
                  <c:v>28.76</c:v>
                </c:pt>
                <c:pt idx="116">
                  <c:v>28.77</c:v>
                </c:pt>
                <c:pt idx="117">
                  <c:v>28.81</c:v>
                </c:pt>
              </c:numCache>
            </c:numRef>
          </c:val>
          <c:smooth val="0"/>
          <c:extLst>
            <c:ext xmlns:c16="http://schemas.microsoft.com/office/drawing/2014/chart" uri="{C3380CC4-5D6E-409C-BE32-E72D297353CC}">
              <c16:uniqueId val="{0000000E-9A1C-40BE-9AAC-3242D8215002}"/>
            </c:ext>
          </c:extLst>
        </c:ser>
        <c:ser>
          <c:idx val="15"/>
          <c:order val="15"/>
          <c:tx>
            <c:strRef>
              <c:f>'50..800_F'!$Q$3:$Q$4</c:f>
              <c:strCache>
                <c:ptCount val="1"/>
                <c:pt idx="0">
                  <c:v>B07</c:v>
                </c:pt>
              </c:strCache>
            </c:strRef>
          </c:tx>
          <c:spPr>
            <a:ln w="28575" cap="rnd">
              <a:solidFill>
                <a:schemeClr val="accent4">
                  <a:lumMod val="80000"/>
                  <a:lumOff val="2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'50..800_F'!$Q$5:$Q$123</c:f>
              <c:numCache>
                <c:formatCode>General</c:formatCode>
                <c:ptCount val="118"/>
                <c:pt idx="0">
                  <c:v>168.2</c:v>
                </c:pt>
                <c:pt idx="1">
                  <c:v>169.52</c:v>
                </c:pt>
                <c:pt idx="2">
                  <c:v>171.18</c:v>
                </c:pt>
                <c:pt idx="3">
                  <c:v>173.04</c:v>
                </c:pt>
                <c:pt idx="4">
                  <c:v>175.07</c:v>
                </c:pt>
                <c:pt idx="5">
                  <c:v>177.3</c:v>
                </c:pt>
                <c:pt idx="6">
                  <c:v>179.74</c:v>
                </c:pt>
                <c:pt idx="7">
                  <c:v>182.43</c:v>
                </c:pt>
                <c:pt idx="8">
                  <c:v>185.39</c:v>
                </c:pt>
                <c:pt idx="9">
                  <c:v>188.67</c:v>
                </c:pt>
                <c:pt idx="10">
                  <c:v>192.29</c:v>
                </c:pt>
                <c:pt idx="11">
                  <c:v>196.3</c:v>
                </c:pt>
                <c:pt idx="12">
                  <c:v>200.76</c:v>
                </c:pt>
                <c:pt idx="13">
                  <c:v>205.74</c:v>
                </c:pt>
                <c:pt idx="14">
                  <c:v>211.28</c:v>
                </c:pt>
                <c:pt idx="15">
                  <c:v>217.48</c:v>
                </c:pt>
                <c:pt idx="16">
                  <c:v>224.42</c:v>
                </c:pt>
                <c:pt idx="17">
                  <c:v>232.2</c:v>
                </c:pt>
                <c:pt idx="18">
                  <c:v>240.93</c:v>
                </c:pt>
                <c:pt idx="19">
                  <c:v>250.72</c:v>
                </c:pt>
                <c:pt idx="20">
                  <c:v>261.7</c:v>
                </c:pt>
                <c:pt idx="21">
                  <c:v>274.01</c:v>
                </c:pt>
                <c:pt idx="22">
                  <c:v>287.77999999999997</c:v>
                </c:pt>
                <c:pt idx="23">
                  <c:v>303.14999999999998</c:v>
                </c:pt>
                <c:pt idx="24">
                  <c:v>320.26</c:v>
                </c:pt>
                <c:pt idx="25">
                  <c:v>339.26</c:v>
                </c:pt>
                <c:pt idx="26">
                  <c:v>360.27</c:v>
                </c:pt>
                <c:pt idx="27">
                  <c:v>383.45</c:v>
                </c:pt>
                <c:pt idx="28">
                  <c:v>408.93</c:v>
                </c:pt>
                <c:pt idx="29">
                  <c:v>436.9</c:v>
                </c:pt>
                <c:pt idx="30">
                  <c:v>467.58</c:v>
                </c:pt>
                <c:pt idx="31">
                  <c:v>501.29</c:v>
                </c:pt>
                <c:pt idx="32">
                  <c:v>538.48</c:v>
                </c:pt>
                <c:pt idx="33">
                  <c:v>579.83000000000004</c:v>
                </c:pt>
                <c:pt idx="34">
                  <c:v>626.21</c:v>
                </c:pt>
                <c:pt idx="35">
                  <c:v>678.82</c:v>
                </c:pt>
                <c:pt idx="36">
                  <c:v>739.13</c:v>
                </c:pt>
                <c:pt idx="37">
                  <c:v>808.86</c:v>
                </c:pt>
                <c:pt idx="38">
                  <c:v>889.77</c:v>
                </c:pt>
                <c:pt idx="39">
                  <c:v>983.39</c:v>
                </c:pt>
                <c:pt idx="40">
                  <c:v>1090.51</c:v>
                </c:pt>
                <c:pt idx="41">
                  <c:v>1210.74</c:v>
                </c:pt>
                <c:pt idx="42">
                  <c:v>1342.11</c:v>
                </c:pt>
                <c:pt idx="43">
                  <c:v>1479.84</c:v>
                </c:pt>
                <c:pt idx="44">
                  <c:v>1611.21</c:v>
                </c:pt>
                <c:pt idx="45">
                  <c:v>1719.59</c:v>
                </c:pt>
                <c:pt idx="46">
                  <c:v>1794.62</c:v>
                </c:pt>
                <c:pt idx="47">
                  <c:v>1825.86</c:v>
                </c:pt>
                <c:pt idx="48">
                  <c:v>1803.4</c:v>
                </c:pt>
                <c:pt idx="49">
                  <c:v>1723.15</c:v>
                </c:pt>
                <c:pt idx="50">
                  <c:v>1590.06</c:v>
                </c:pt>
                <c:pt idx="51">
                  <c:v>1418.9</c:v>
                </c:pt>
                <c:pt idx="52">
                  <c:v>1237.8499999999999</c:v>
                </c:pt>
                <c:pt idx="53">
                  <c:v>1066.3900000000001</c:v>
                </c:pt>
                <c:pt idx="54">
                  <c:v>910.46</c:v>
                </c:pt>
                <c:pt idx="55">
                  <c:v>772.19</c:v>
                </c:pt>
                <c:pt idx="56">
                  <c:v>652.22</c:v>
                </c:pt>
                <c:pt idx="57">
                  <c:v>550.14</c:v>
                </c:pt>
                <c:pt idx="58">
                  <c:v>464.71</c:v>
                </c:pt>
                <c:pt idx="59">
                  <c:v>394.12</c:v>
                </c:pt>
                <c:pt idx="60">
                  <c:v>336.32</c:v>
                </c:pt>
                <c:pt idx="61">
                  <c:v>289.27999999999997</c:v>
                </c:pt>
                <c:pt idx="62">
                  <c:v>251.16</c:v>
                </c:pt>
                <c:pt idx="63">
                  <c:v>220.3</c:v>
                </c:pt>
                <c:pt idx="64">
                  <c:v>195.32</c:v>
                </c:pt>
                <c:pt idx="65">
                  <c:v>175.06</c:v>
                </c:pt>
                <c:pt idx="66">
                  <c:v>158.52000000000001</c:v>
                </c:pt>
                <c:pt idx="67">
                  <c:v>144.93</c:v>
                </c:pt>
                <c:pt idx="68">
                  <c:v>133.61000000000001</c:v>
                </c:pt>
                <c:pt idx="69">
                  <c:v>124.05</c:v>
                </c:pt>
                <c:pt idx="70">
                  <c:v>115.82</c:v>
                </c:pt>
                <c:pt idx="71">
                  <c:v>108.61</c:v>
                </c:pt>
                <c:pt idx="72">
                  <c:v>102.16</c:v>
                </c:pt>
                <c:pt idx="73">
                  <c:v>96.3</c:v>
                </c:pt>
                <c:pt idx="74">
                  <c:v>90.9</c:v>
                </c:pt>
                <c:pt idx="75">
                  <c:v>85.88</c:v>
                </c:pt>
                <c:pt idx="76">
                  <c:v>81.180000000000007</c:v>
                </c:pt>
                <c:pt idx="77">
                  <c:v>76.760000000000005</c:v>
                </c:pt>
                <c:pt idx="78">
                  <c:v>72.59</c:v>
                </c:pt>
                <c:pt idx="79">
                  <c:v>68.67</c:v>
                </c:pt>
                <c:pt idx="80">
                  <c:v>64.989999999999995</c:v>
                </c:pt>
                <c:pt idx="81">
                  <c:v>61.53</c:v>
                </c:pt>
                <c:pt idx="82">
                  <c:v>58.3</c:v>
                </c:pt>
                <c:pt idx="83">
                  <c:v>55.28</c:v>
                </c:pt>
                <c:pt idx="84">
                  <c:v>52.47</c:v>
                </c:pt>
                <c:pt idx="85">
                  <c:v>49.88</c:v>
                </c:pt>
                <c:pt idx="86">
                  <c:v>47.48</c:v>
                </c:pt>
                <c:pt idx="87">
                  <c:v>45.27</c:v>
                </c:pt>
                <c:pt idx="88">
                  <c:v>43.24</c:v>
                </c:pt>
                <c:pt idx="89">
                  <c:v>41.39</c:v>
                </c:pt>
                <c:pt idx="90">
                  <c:v>39.700000000000003</c:v>
                </c:pt>
                <c:pt idx="91">
                  <c:v>38.17</c:v>
                </c:pt>
                <c:pt idx="92">
                  <c:v>36.770000000000003</c:v>
                </c:pt>
                <c:pt idx="93">
                  <c:v>35.51</c:v>
                </c:pt>
                <c:pt idx="94">
                  <c:v>34.369999999999997</c:v>
                </c:pt>
                <c:pt idx="95">
                  <c:v>33.35</c:v>
                </c:pt>
                <c:pt idx="96">
                  <c:v>32.42</c:v>
                </c:pt>
                <c:pt idx="97">
                  <c:v>31.59</c:v>
                </c:pt>
                <c:pt idx="98">
                  <c:v>30.85</c:v>
                </c:pt>
                <c:pt idx="99">
                  <c:v>30.18</c:v>
                </c:pt>
                <c:pt idx="100">
                  <c:v>29.59</c:v>
                </c:pt>
                <c:pt idx="101">
                  <c:v>29.06</c:v>
                </c:pt>
                <c:pt idx="102">
                  <c:v>28.59</c:v>
                </c:pt>
                <c:pt idx="103">
                  <c:v>28.17</c:v>
                </c:pt>
                <c:pt idx="104">
                  <c:v>27.81</c:v>
                </c:pt>
                <c:pt idx="105">
                  <c:v>27.49</c:v>
                </c:pt>
                <c:pt idx="106">
                  <c:v>27.21</c:v>
                </c:pt>
                <c:pt idx="107">
                  <c:v>26.97</c:v>
                </c:pt>
                <c:pt idx="108">
                  <c:v>26.77</c:v>
                </c:pt>
                <c:pt idx="109">
                  <c:v>26.6</c:v>
                </c:pt>
                <c:pt idx="110">
                  <c:v>26.46</c:v>
                </c:pt>
                <c:pt idx="111">
                  <c:v>26.34</c:v>
                </c:pt>
                <c:pt idx="112">
                  <c:v>26.26</c:v>
                </c:pt>
                <c:pt idx="113">
                  <c:v>26.19</c:v>
                </c:pt>
                <c:pt idx="114">
                  <c:v>26.16</c:v>
                </c:pt>
                <c:pt idx="115">
                  <c:v>26.14</c:v>
                </c:pt>
                <c:pt idx="116">
                  <c:v>26.14</c:v>
                </c:pt>
                <c:pt idx="117">
                  <c:v>26.18</c:v>
                </c:pt>
              </c:numCache>
            </c:numRef>
          </c:val>
          <c:smooth val="0"/>
          <c:extLst>
            <c:ext xmlns:c16="http://schemas.microsoft.com/office/drawing/2014/chart" uri="{C3380CC4-5D6E-409C-BE32-E72D297353CC}">
              <c16:uniqueId val="{0000000F-9A1C-40BE-9AAC-3242D8215002}"/>
            </c:ext>
          </c:extLst>
        </c:ser>
        <c:ser>
          <c:idx val="16"/>
          <c:order val="16"/>
          <c:tx>
            <c:strRef>
              <c:f>'50..800_F'!$R$3:$R$4</c:f>
              <c:strCache>
                <c:ptCount val="1"/>
                <c:pt idx="0">
                  <c:v>B08</c:v>
                </c:pt>
              </c:strCache>
            </c:strRef>
          </c:tx>
          <c:spPr>
            <a:ln w="28575" cap="rnd">
              <a:solidFill>
                <a:schemeClr val="accent5">
                  <a:lumMod val="80000"/>
                  <a:lumOff val="2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'50..800_F'!$R$5:$R$123</c:f>
              <c:numCache>
                <c:formatCode>General</c:formatCode>
                <c:ptCount val="118"/>
                <c:pt idx="0">
                  <c:v>222.93</c:v>
                </c:pt>
                <c:pt idx="1">
                  <c:v>224.56</c:v>
                </c:pt>
                <c:pt idx="2">
                  <c:v>226.55</c:v>
                </c:pt>
                <c:pt idx="3">
                  <c:v>228.73</c:v>
                </c:pt>
                <c:pt idx="4">
                  <c:v>231.08</c:v>
                </c:pt>
                <c:pt idx="5">
                  <c:v>233.61</c:v>
                </c:pt>
                <c:pt idx="6">
                  <c:v>236.35</c:v>
                </c:pt>
                <c:pt idx="7">
                  <c:v>239.3</c:v>
                </c:pt>
                <c:pt idx="8">
                  <c:v>242.49</c:v>
                </c:pt>
                <c:pt idx="9">
                  <c:v>245.96</c:v>
                </c:pt>
                <c:pt idx="10">
                  <c:v>249.73</c:v>
                </c:pt>
                <c:pt idx="11">
                  <c:v>253.83</c:v>
                </c:pt>
                <c:pt idx="12">
                  <c:v>258.3</c:v>
                </c:pt>
                <c:pt idx="13">
                  <c:v>263.19</c:v>
                </c:pt>
                <c:pt idx="14">
                  <c:v>268.54000000000002</c:v>
                </c:pt>
                <c:pt idx="15">
                  <c:v>274.41000000000003</c:v>
                </c:pt>
                <c:pt idx="16">
                  <c:v>280.86</c:v>
                </c:pt>
                <c:pt idx="17">
                  <c:v>287.95999999999998</c:v>
                </c:pt>
                <c:pt idx="18">
                  <c:v>295.8</c:v>
                </c:pt>
                <c:pt idx="19">
                  <c:v>304.45999999999998</c:v>
                </c:pt>
                <c:pt idx="20">
                  <c:v>314.06</c:v>
                </c:pt>
                <c:pt idx="21">
                  <c:v>324.70999999999998</c:v>
                </c:pt>
                <c:pt idx="22">
                  <c:v>336.55</c:v>
                </c:pt>
                <c:pt idx="23">
                  <c:v>349.74</c:v>
                </c:pt>
                <c:pt idx="24">
                  <c:v>364.45</c:v>
                </c:pt>
                <c:pt idx="25">
                  <c:v>380.88</c:v>
                </c:pt>
                <c:pt idx="26">
                  <c:v>399.22</c:v>
                </c:pt>
                <c:pt idx="27">
                  <c:v>419.73</c:v>
                </c:pt>
                <c:pt idx="28">
                  <c:v>442.66</c:v>
                </c:pt>
                <c:pt idx="29">
                  <c:v>468.33</c:v>
                </c:pt>
                <c:pt idx="30">
                  <c:v>497.09</c:v>
                </c:pt>
                <c:pt idx="31">
                  <c:v>529.41999999999996</c:v>
                </c:pt>
                <c:pt idx="32">
                  <c:v>565.89</c:v>
                </c:pt>
                <c:pt idx="33">
                  <c:v>607.27</c:v>
                </c:pt>
                <c:pt idx="34">
                  <c:v>654.59</c:v>
                </c:pt>
                <c:pt idx="35">
                  <c:v>709.16</c:v>
                </c:pt>
                <c:pt idx="36">
                  <c:v>772.65</c:v>
                </c:pt>
                <c:pt idx="37">
                  <c:v>846.98</c:v>
                </c:pt>
                <c:pt idx="38">
                  <c:v>934.17</c:v>
                </c:pt>
                <c:pt idx="39">
                  <c:v>1035.95</c:v>
                </c:pt>
                <c:pt idx="40">
                  <c:v>1153.31</c:v>
                </c:pt>
                <c:pt idx="41">
                  <c:v>1285.95</c:v>
                </c:pt>
                <c:pt idx="42">
                  <c:v>1431.95</c:v>
                </c:pt>
                <c:pt idx="43">
                  <c:v>1586.1</c:v>
                </c:pt>
                <c:pt idx="44">
                  <c:v>1733.43</c:v>
                </c:pt>
                <c:pt idx="45">
                  <c:v>1853.6</c:v>
                </c:pt>
                <c:pt idx="46">
                  <c:v>1934.18</c:v>
                </c:pt>
                <c:pt idx="47">
                  <c:v>1964.27</c:v>
                </c:pt>
                <c:pt idx="48">
                  <c:v>1935.11</c:v>
                </c:pt>
                <c:pt idx="49">
                  <c:v>1844.79</c:v>
                </c:pt>
                <c:pt idx="50">
                  <c:v>1700.13</c:v>
                </c:pt>
                <c:pt idx="51">
                  <c:v>1516.21</c:v>
                </c:pt>
                <c:pt idx="52">
                  <c:v>1320.99</c:v>
                </c:pt>
                <c:pt idx="53">
                  <c:v>1135.0899999999999</c:v>
                </c:pt>
                <c:pt idx="54">
                  <c:v>966.04</c:v>
                </c:pt>
                <c:pt idx="55">
                  <c:v>816.93</c:v>
                </c:pt>
                <c:pt idx="56">
                  <c:v>688.52</c:v>
                </c:pt>
                <c:pt idx="57">
                  <c:v>580.01</c:v>
                </c:pt>
                <c:pt idx="58">
                  <c:v>489.6</c:v>
                </c:pt>
                <c:pt idx="59">
                  <c:v>415.03</c:v>
                </c:pt>
                <c:pt idx="60">
                  <c:v>353.92</c:v>
                </c:pt>
                <c:pt idx="61">
                  <c:v>304.07</c:v>
                </c:pt>
                <c:pt idx="62">
                  <c:v>263.49</c:v>
                </c:pt>
                <c:pt idx="63">
                  <c:v>230.51</c:v>
                </c:pt>
                <c:pt idx="64">
                  <c:v>203.71</c:v>
                </c:pt>
                <c:pt idx="65">
                  <c:v>181.92</c:v>
                </c:pt>
                <c:pt idx="66">
                  <c:v>164.16</c:v>
                </c:pt>
                <c:pt idx="67">
                  <c:v>149.62</c:v>
                </c:pt>
                <c:pt idx="68">
                  <c:v>137.61000000000001</c:v>
                </c:pt>
                <c:pt idx="69">
                  <c:v>127.57</c:v>
                </c:pt>
                <c:pt idx="70">
                  <c:v>119.03</c:v>
                </c:pt>
                <c:pt idx="71">
                  <c:v>111.63</c:v>
                </c:pt>
                <c:pt idx="72">
                  <c:v>105.08</c:v>
                </c:pt>
                <c:pt idx="73">
                  <c:v>99.18</c:v>
                </c:pt>
                <c:pt idx="74">
                  <c:v>93.78</c:v>
                </c:pt>
                <c:pt idx="75">
                  <c:v>88.76</c:v>
                </c:pt>
                <c:pt idx="76">
                  <c:v>84.05</c:v>
                </c:pt>
                <c:pt idx="77">
                  <c:v>79.62</c:v>
                </c:pt>
                <c:pt idx="78">
                  <c:v>75.44</c:v>
                </c:pt>
                <c:pt idx="79">
                  <c:v>71.48</c:v>
                </c:pt>
                <c:pt idx="80">
                  <c:v>67.739999999999995</c:v>
                </c:pt>
                <c:pt idx="81">
                  <c:v>64.209999999999994</c:v>
                </c:pt>
                <c:pt idx="82">
                  <c:v>60.9</c:v>
                </c:pt>
                <c:pt idx="83">
                  <c:v>57.79</c:v>
                </c:pt>
                <c:pt idx="84">
                  <c:v>54.89</c:v>
                </c:pt>
                <c:pt idx="85">
                  <c:v>52.19</c:v>
                </c:pt>
                <c:pt idx="86">
                  <c:v>49.69</c:v>
                </c:pt>
                <c:pt idx="87">
                  <c:v>47.39</c:v>
                </c:pt>
                <c:pt idx="88">
                  <c:v>45.26</c:v>
                </c:pt>
                <c:pt idx="89">
                  <c:v>43.31</c:v>
                </c:pt>
                <c:pt idx="90">
                  <c:v>41.53</c:v>
                </c:pt>
                <c:pt idx="91">
                  <c:v>39.909999999999997</c:v>
                </c:pt>
                <c:pt idx="92">
                  <c:v>38.44</c:v>
                </c:pt>
                <c:pt idx="93">
                  <c:v>37.1</c:v>
                </c:pt>
                <c:pt idx="94">
                  <c:v>35.89</c:v>
                </c:pt>
                <c:pt idx="95">
                  <c:v>34.799999999999997</c:v>
                </c:pt>
                <c:pt idx="96">
                  <c:v>33.82</c:v>
                </c:pt>
                <c:pt idx="97">
                  <c:v>32.94</c:v>
                </c:pt>
                <c:pt idx="98">
                  <c:v>32.15</c:v>
                </c:pt>
                <c:pt idx="99">
                  <c:v>31.44</c:v>
                </c:pt>
                <c:pt idx="100">
                  <c:v>30.81</c:v>
                </c:pt>
                <c:pt idx="101">
                  <c:v>30.25</c:v>
                </c:pt>
                <c:pt idx="102">
                  <c:v>29.75</c:v>
                </c:pt>
                <c:pt idx="103">
                  <c:v>29.31</c:v>
                </c:pt>
                <c:pt idx="104">
                  <c:v>28.92</c:v>
                </c:pt>
                <c:pt idx="105">
                  <c:v>28.59</c:v>
                </c:pt>
                <c:pt idx="106">
                  <c:v>28.29</c:v>
                </c:pt>
                <c:pt idx="107">
                  <c:v>28.04</c:v>
                </c:pt>
                <c:pt idx="108">
                  <c:v>27.83</c:v>
                </c:pt>
                <c:pt idx="109">
                  <c:v>27.65</c:v>
                </c:pt>
                <c:pt idx="110">
                  <c:v>27.5</c:v>
                </c:pt>
                <c:pt idx="111">
                  <c:v>27.39</c:v>
                </c:pt>
                <c:pt idx="112">
                  <c:v>27.3</c:v>
                </c:pt>
                <c:pt idx="113">
                  <c:v>27.24</c:v>
                </c:pt>
                <c:pt idx="114">
                  <c:v>27.2</c:v>
                </c:pt>
                <c:pt idx="115">
                  <c:v>27.18</c:v>
                </c:pt>
                <c:pt idx="116">
                  <c:v>27.19</c:v>
                </c:pt>
                <c:pt idx="117">
                  <c:v>27.24</c:v>
                </c:pt>
              </c:numCache>
            </c:numRef>
          </c:val>
          <c:smooth val="0"/>
          <c:extLst>
            <c:ext xmlns:c16="http://schemas.microsoft.com/office/drawing/2014/chart" uri="{C3380CC4-5D6E-409C-BE32-E72D297353CC}">
              <c16:uniqueId val="{00000010-9A1C-40BE-9AAC-3242D8215002}"/>
            </c:ext>
          </c:extLst>
        </c:ser>
        <c:ser>
          <c:idx val="17"/>
          <c:order val="17"/>
          <c:tx>
            <c:strRef>
              <c:f>'50..800_F'!$S$3:$S$4</c:f>
              <c:strCache>
                <c:ptCount val="1"/>
                <c:pt idx="0">
                  <c:v>B09</c:v>
                </c:pt>
              </c:strCache>
            </c:strRef>
          </c:tx>
          <c:spPr>
            <a:ln w="28575" cap="rnd">
              <a:solidFill>
                <a:schemeClr val="accent6">
                  <a:lumMod val="80000"/>
                  <a:lumOff val="2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'50..800_F'!$S$5:$S$123</c:f>
              <c:numCache>
                <c:formatCode>General</c:formatCode>
                <c:ptCount val="118"/>
                <c:pt idx="0">
                  <c:v>198.37</c:v>
                </c:pt>
                <c:pt idx="1">
                  <c:v>199.9</c:v>
                </c:pt>
                <c:pt idx="2">
                  <c:v>201.8</c:v>
                </c:pt>
                <c:pt idx="3">
                  <c:v>203.92</c:v>
                </c:pt>
                <c:pt idx="4">
                  <c:v>206.23</c:v>
                </c:pt>
                <c:pt idx="5">
                  <c:v>208.74</c:v>
                </c:pt>
                <c:pt idx="6">
                  <c:v>211.49</c:v>
                </c:pt>
                <c:pt idx="7">
                  <c:v>214.51</c:v>
                </c:pt>
                <c:pt idx="8">
                  <c:v>217.81</c:v>
                </c:pt>
                <c:pt idx="9">
                  <c:v>221.45</c:v>
                </c:pt>
                <c:pt idx="10">
                  <c:v>225.45</c:v>
                </c:pt>
                <c:pt idx="11">
                  <c:v>229.88</c:v>
                </c:pt>
                <c:pt idx="12">
                  <c:v>234.77</c:v>
                </c:pt>
                <c:pt idx="13">
                  <c:v>240.2</c:v>
                </c:pt>
                <c:pt idx="14">
                  <c:v>246.23</c:v>
                </c:pt>
                <c:pt idx="15">
                  <c:v>252.94</c:v>
                </c:pt>
                <c:pt idx="16">
                  <c:v>260.41000000000003</c:v>
                </c:pt>
                <c:pt idx="17">
                  <c:v>268.74</c:v>
                </c:pt>
                <c:pt idx="18">
                  <c:v>278.02999999999997</c:v>
                </c:pt>
                <c:pt idx="19">
                  <c:v>288.39</c:v>
                </c:pt>
                <c:pt idx="20">
                  <c:v>299.94</c:v>
                </c:pt>
                <c:pt idx="21">
                  <c:v>312.77999999999997</c:v>
                </c:pt>
                <c:pt idx="22">
                  <c:v>327.04000000000002</c:v>
                </c:pt>
                <c:pt idx="23">
                  <c:v>342.83</c:v>
                </c:pt>
                <c:pt idx="24">
                  <c:v>360.25</c:v>
                </c:pt>
                <c:pt idx="25">
                  <c:v>379.42</c:v>
                </c:pt>
                <c:pt idx="26">
                  <c:v>400.42</c:v>
                </c:pt>
                <c:pt idx="27">
                  <c:v>423.38</c:v>
                </c:pt>
                <c:pt idx="28">
                  <c:v>448.42</c:v>
                </c:pt>
                <c:pt idx="29">
                  <c:v>475.73</c:v>
                </c:pt>
                <c:pt idx="30">
                  <c:v>505.55</c:v>
                </c:pt>
                <c:pt idx="31">
                  <c:v>538.26</c:v>
                </c:pt>
                <c:pt idx="32">
                  <c:v>574.37</c:v>
                </c:pt>
                <c:pt idx="33">
                  <c:v>614.61</c:v>
                </c:pt>
                <c:pt idx="34">
                  <c:v>659.99</c:v>
                </c:pt>
                <c:pt idx="35">
                  <c:v>711.8</c:v>
                </c:pt>
                <c:pt idx="36">
                  <c:v>771.71</c:v>
                </c:pt>
                <c:pt idx="37">
                  <c:v>841.73</c:v>
                </c:pt>
                <c:pt idx="38">
                  <c:v>924.15</c:v>
                </c:pt>
                <c:pt idx="39">
                  <c:v>1021.33</c:v>
                </c:pt>
                <c:pt idx="40">
                  <c:v>1135.27</c:v>
                </c:pt>
                <c:pt idx="41">
                  <c:v>1267.0999999999999</c:v>
                </c:pt>
                <c:pt idx="42">
                  <c:v>1416.11</c:v>
                </c:pt>
                <c:pt idx="43">
                  <c:v>1577.94</c:v>
                </c:pt>
                <c:pt idx="44">
                  <c:v>1739.22</c:v>
                </c:pt>
                <c:pt idx="45">
                  <c:v>1877.53</c:v>
                </c:pt>
                <c:pt idx="46">
                  <c:v>1978.8</c:v>
                </c:pt>
                <c:pt idx="47">
                  <c:v>2032.94</c:v>
                </c:pt>
                <c:pt idx="48">
                  <c:v>2029.91</c:v>
                </c:pt>
                <c:pt idx="49">
                  <c:v>1964.66</c:v>
                </c:pt>
                <c:pt idx="50">
                  <c:v>1840.52</c:v>
                </c:pt>
                <c:pt idx="51">
                  <c:v>1667.42</c:v>
                </c:pt>
                <c:pt idx="52">
                  <c:v>1468.46</c:v>
                </c:pt>
                <c:pt idx="53">
                  <c:v>1270.53</c:v>
                </c:pt>
                <c:pt idx="54">
                  <c:v>1086.17</c:v>
                </c:pt>
                <c:pt idx="55">
                  <c:v>920.99</c:v>
                </c:pt>
                <c:pt idx="56">
                  <c:v>777.27</c:v>
                </c:pt>
                <c:pt idx="57">
                  <c:v>654.9</c:v>
                </c:pt>
                <c:pt idx="58">
                  <c:v>552.29999999999995</c:v>
                </c:pt>
                <c:pt idx="59">
                  <c:v>467.18</c:v>
                </c:pt>
                <c:pt idx="60">
                  <c:v>397.1</c:v>
                </c:pt>
                <c:pt idx="61">
                  <c:v>339.68</c:v>
                </c:pt>
                <c:pt idx="62">
                  <c:v>292.79000000000002</c:v>
                </c:pt>
                <c:pt idx="63">
                  <c:v>254.59</c:v>
                </c:pt>
                <c:pt idx="64">
                  <c:v>223.5</c:v>
                </c:pt>
                <c:pt idx="65">
                  <c:v>198.21</c:v>
                </c:pt>
                <c:pt idx="66">
                  <c:v>177.59</c:v>
                </c:pt>
                <c:pt idx="67">
                  <c:v>160.72</c:v>
                </c:pt>
                <c:pt idx="68">
                  <c:v>146.82</c:v>
                </c:pt>
                <c:pt idx="69">
                  <c:v>135.25</c:v>
                </c:pt>
                <c:pt idx="70">
                  <c:v>125.47</c:v>
                </c:pt>
                <c:pt idx="71">
                  <c:v>117.07</c:v>
                </c:pt>
                <c:pt idx="72">
                  <c:v>109.71</c:v>
                </c:pt>
                <c:pt idx="73">
                  <c:v>103.14</c:v>
                </c:pt>
                <c:pt idx="74">
                  <c:v>97.19</c:v>
                </c:pt>
                <c:pt idx="75">
                  <c:v>91.72</c:v>
                </c:pt>
                <c:pt idx="76">
                  <c:v>86.64</c:v>
                </c:pt>
                <c:pt idx="77">
                  <c:v>81.91</c:v>
                </c:pt>
                <c:pt idx="78">
                  <c:v>77.47</c:v>
                </c:pt>
                <c:pt idx="79">
                  <c:v>73.3</c:v>
                </c:pt>
                <c:pt idx="80">
                  <c:v>69.39</c:v>
                </c:pt>
                <c:pt idx="81">
                  <c:v>65.72</c:v>
                </c:pt>
                <c:pt idx="82">
                  <c:v>62.29</c:v>
                </c:pt>
                <c:pt idx="83">
                  <c:v>59.09</c:v>
                </c:pt>
                <c:pt idx="84">
                  <c:v>56.11</c:v>
                </c:pt>
                <c:pt idx="85">
                  <c:v>53.35</c:v>
                </c:pt>
                <c:pt idx="86">
                  <c:v>50.8</c:v>
                </c:pt>
                <c:pt idx="87">
                  <c:v>48.44</c:v>
                </c:pt>
                <c:pt idx="88">
                  <c:v>46.28</c:v>
                </c:pt>
                <c:pt idx="89">
                  <c:v>44.3</c:v>
                </c:pt>
                <c:pt idx="90">
                  <c:v>42.5</c:v>
                </c:pt>
                <c:pt idx="91">
                  <c:v>40.85</c:v>
                </c:pt>
                <c:pt idx="92">
                  <c:v>39.36</c:v>
                </c:pt>
                <c:pt idx="93">
                  <c:v>38</c:v>
                </c:pt>
                <c:pt idx="94">
                  <c:v>36.78</c:v>
                </c:pt>
                <c:pt idx="95">
                  <c:v>35.67</c:v>
                </c:pt>
                <c:pt idx="96">
                  <c:v>34.68</c:v>
                </c:pt>
                <c:pt idx="97">
                  <c:v>33.78</c:v>
                </c:pt>
                <c:pt idx="98">
                  <c:v>32.979999999999997</c:v>
                </c:pt>
                <c:pt idx="99">
                  <c:v>32.26</c:v>
                </c:pt>
                <c:pt idx="100">
                  <c:v>31.62</c:v>
                </c:pt>
                <c:pt idx="101">
                  <c:v>31.05</c:v>
                </c:pt>
                <c:pt idx="102">
                  <c:v>30.55</c:v>
                </c:pt>
                <c:pt idx="103">
                  <c:v>30.1</c:v>
                </c:pt>
                <c:pt idx="104">
                  <c:v>29.71</c:v>
                </c:pt>
                <c:pt idx="105">
                  <c:v>29.36</c:v>
                </c:pt>
                <c:pt idx="106">
                  <c:v>29.06</c:v>
                </c:pt>
                <c:pt idx="107">
                  <c:v>28.81</c:v>
                </c:pt>
                <c:pt idx="108">
                  <c:v>28.59</c:v>
                </c:pt>
                <c:pt idx="109">
                  <c:v>28.41</c:v>
                </c:pt>
                <c:pt idx="110">
                  <c:v>28.26</c:v>
                </c:pt>
                <c:pt idx="111">
                  <c:v>28.14</c:v>
                </c:pt>
                <c:pt idx="112">
                  <c:v>28.05</c:v>
                </c:pt>
                <c:pt idx="113">
                  <c:v>27.99</c:v>
                </c:pt>
                <c:pt idx="114">
                  <c:v>27.95</c:v>
                </c:pt>
                <c:pt idx="115">
                  <c:v>27.93</c:v>
                </c:pt>
                <c:pt idx="116">
                  <c:v>27.94</c:v>
                </c:pt>
                <c:pt idx="117">
                  <c:v>27.99</c:v>
                </c:pt>
              </c:numCache>
            </c:numRef>
          </c:val>
          <c:smooth val="0"/>
          <c:extLst>
            <c:ext xmlns:c16="http://schemas.microsoft.com/office/drawing/2014/chart" uri="{C3380CC4-5D6E-409C-BE32-E72D297353CC}">
              <c16:uniqueId val="{00000011-9A1C-40BE-9AAC-3242D8215002}"/>
            </c:ext>
          </c:extLst>
        </c:ser>
        <c:ser>
          <c:idx val="18"/>
          <c:order val="18"/>
          <c:tx>
            <c:strRef>
              <c:f>'50..800_F'!$T$3:$T$4</c:f>
              <c:strCache>
                <c:ptCount val="1"/>
                <c:pt idx="0">
                  <c:v>B10</c:v>
                </c:pt>
              </c:strCache>
            </c:strRef>
          </c:tx>
          <c:spPr>
            <a:ln w="28575" cap="rnd">
              <a:solidFill>
                <a:schemeClr val="accent1">
                  <a:lumMod val="8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'50..800_F'!$T$5:$T$123</c:f>
              <c:numCache>
                <c:formatCode>General</c:formatCode>
                <c:ptCount val="118"/>
                <c:pt idx="0">
                  <c:v>173.25</c:v>
                </c:pt>
                <c:pt idx="1">
                  <c:v>174.66</c:v>
                </c:pt>
                <c:pt idx="2">
                  <c:v>176.45</c:v>
                </c:pt>
                <c:pt idx="3">
                  <c:v>178.46</c:v>
                </c:pt>
                <c:pt idx="4">
                  <c:v>180.67</c:v>
                </c:pt>
                <c:pt idx="5">
                  <c:v>183.1</c:v>
                </c:pt>
                <c:pt idx="6">
                  <c:v>185.78</c:v>
                </c:pt>
                <c:pt idx="7">
                  <c:v>188.73</c:v>
                </c:pt>
                <c:pt idx="8">
                  <c:v>192.01</c:v>
                </c:pt>
                <c:pt idx="9">
                  <c:v>195.63</c:v>
                </c:pt>
                <c:pt idx="10">
                  <c:v>199.66</c:v>
                </c:pt>
                <c:pt idx="11">
                  <c:v>204.14</c:v>
                </c:pt>
                <c:pt idx="12">
                  <c:v>209.13</c:v>
                </c:pt>
                <c:pt idx="13">
                  <c:v>214.71</c:v>
                </c:pt>
                <c:pt idx="14">
                  <c:v>220.96</c:v>
                </c:pt>
                <c:pt idx="15">
                  <c:v>227.95</c:v>
                </c:pt>
                <c:pt idx="16">
                  <c:v>235.79</c:v>
                </c:pt>
                <c:pt idx="17">
                  <c:v>244.58</c:v>
                </c:pt>
                <c:pt idx="18">
                  <c:v>254.43</c:v>
                </c:pt>
                <c:pt idx="19">
                  <c:v>265.47000000000003</c:v>
                </c:pt>
                <c:pt idx="20">
                  <c:v>277.81</c:v>
                </c:pt>
                <c:pt idx="21">
                  <c:v>291.57</c:v>
                </c:pt>
                <c:pt idx="22">
                  <c:v>306.87</c:v>
                </c:pt>
                <c:pt idx="23">
                  <c:v>323.8</c:v>
                </c:pt>
                <c:pt idx="24">
                  <c:v>342.45</c:v>
                </c:pt>
                <c:pt idx="25">
                  <c:v>362.9</c:v>
                </c:pt>
                <c:pt idx="26">
                  <c:v>385.22</c:v>
                </c:pt>
                <c:pt idx="27">
                  <c:v>409.47</c:v>
                </c:pt>
                <c:pt idx="28">
                  <c:v>435.72</c:v>
                </c:pt>
                <c:pt idx="29">
                  <c:v>464.1</c:v>
                </c:pt>
                <c:pt idx="30">
                  <c:v>494.76</c:v>
                </c:pt>
                <c:pt idx="31">
                  <c:v>527.98</c:v>
                </c:pt>
                <c:pt idx="32">
                  <c:v>564.20000000000005</c:v>
                </c:pt>
                <c:pt idx="33">
                  <c:v>604.04</c:v>
                </c:pt>
                <c:pt idx="34">
                  <c:v>648.4</c:v>
                </c:pt>
                <c:pt idx="35">
                  <c:v>698.53</c:v>
                </c:pt>
                <c:pt idx="36">
                  <c:v>756.04</c:v>
                </c:pt>
                <c:pt idx="37">
                  <c:v>822.99</c:v>
                </c:pt>
                <c:pt idx="38">
                  <c:v>901.72</c:v>
                </c:pt>
                <c:pt idx="39">
                  <c:v>994.67</c:v>
                </c:pt>
                <c:pt idx="40">
                  <c:v>1103.9000000000001</c:v>
                </c:pt>
                <c:pt idx="41">
                  <c:v>1230.46</c:v>
                </c:pt>
                <c:pt idx="42">
                  <c:v>1373.75</c:v>
                </c:pt>
                <c:pt idx="43">
                  <c:v>1530.43</c:v>
                </c:pt>
                <c:pt idx="44">
                  <c:v>1691.1</c:v>
                </c:pt>
                <c:pt idx="45">
                  <c:v>1835.37</c:v>
                </c:pt>
                <c:pt idx="46">
                  <c:v>1944.59</c:v>
                </c:pt>
                <c:pt idx="47">
                  <c:v>2006.69</c:v>
                </c:pt>
                <c:pt idx="48">
                  <c:v>2010.55</c:v>
                </c:pt>
                <c:pt idx="49">
                  <c:v>1950.86</c:v>
                </c:pt>
                <c:pt idx="50">
                  <c:v>1831.68</c:v>
                </c:pt>
                <c:pt idx="51">
                  <c:v>1664.54</c:v>
                </c:pt>
                <c:pt idx="52">
                  <c:v>1469.43</c:v>
                </c:pt>
                <c:pt idx="53">
                  <c:v>1273.26</c:v>
                </c:pt>
                <c:pt idx="54">
                  <c:v>1090.08</c:v>
                </c:pt>
                <c:pt idx="55">
                  <c:v>925.21</c:v>
                </c:pt>
                <c:pt idx="56">
                  <c:v>780.93</c:v>
                </c:pt>
                <c:pt idx="57">
                  <c:v>657.51</c:v>
                </c:pt>
                <c:pt idx="58">
                  <c:v>553.75</c:v>
                </c:pt>
                <c:pt idx="59">
                  <c:v>467.63</c:v>
                </c:pt>
                <c:pt idx="60">
                  <c:v>396.78</c:v>
                </c:pt>
                <c:pt idx="61">
                  <c:v>338.83</c:v>
                </c:pt>
                <c:pt idx="62">
                  <c:v>291.57</c:v>
                </c:pt>
                <c:pt idx="63">
                  <c:v>253.07</c:v>
                </c:pt>
                <c:pt idx="64">
                  <c:v>221.69</c:v>
                </c:pt>
                <c:pt idx="65">
                  <c:v>196.09</c:v>
                </c:pt>
                <c:pt idx="66">
                  <c:v>175.13</c:v>
                </c:pt>
                <c:pt idx="67">
                  <c:v>157.9</c:v>
                </c:pt>
                <c:pt idx="68">
                  <c:v>143.63</c:v>
                </c:pt>
                <c:pt idx="69">
                  <c:v>131.69999999999999</c:v>
                </c:pt>
                <c:pt idx="70">
                  <c:v>121.6</c:v>
                </c:pt>
                <c:pt idx="71">
                  <c:v>112.91</c:v>
                </c:pt>
                <c:pt idx="72">
                  <c:v>105.32</c:v>
                </c:pt>
                <c:pt idx="73">
                  <c:v>98.59</c:v>
                </c:pt>
                <c:pt idx="74">
                  <c:v>92.52</c:v>
                </c:pt>
                <c:pt idx="75">
                  <c:v>87</c:v>
                </c:pt>
                <c:pt idx="76">
                  <c:v>81.93</c:v>
                </c:pt>
                <c:pt idx="77">
                  <c:v>77.23</c:v>
                </c:pt>
                <c:pt idx="78">
                  <c:v>72.87</c:v>
                </c:pt>
                <c:pt idx="79">
                  <c:v>68.81</c:v>
                </c:pt>
                <c:pt idx="80">
                  <c:v>65.02</c:v>
                </c:pt>
                <c:pt idx="81">
                  <c:v>61.49</c:v>
                </c:pt>
                <c:pt idx="82">
                  <c:v>58.21</c:v>
                </c:pt>
                <c:pt idx="83">
                  <c:v>55.16</c:v>
                </c:pt>
                <c:pt idx="84">
                  <c:v>52.33</c:v>
                </c:pt>
                <c:pt idx="85">
                  <c:v>49.72</c:v>
                </c:pt>
                <c:pt idx="86">
                  <c:v>47.32</c:v>
                </c:pt>
                <c:pt idx="87">
                  <c:v>45.11</c:v>
                </c:pt>
                <c:pt idx="88">
                  <c:v>43.1</c:v>
                </c:pt>
                <c:pt idx="89">
                  <c:v>41.25</c:v>
                </c:pt>
                <c:pt idx="90">
                  <c:v>39.58</c:v>
                </c:pt>
                <c:pt idx="91">
                  <c:v>38.06</c:v>
                </c:pt>
                <c:pt idx="92">
                  <c:v>36.68</c:v>
                </c:pt>
                <c:pt idx="93">
                  <c:v>35.44</c:v>
                </c:pt>
                <c:pt idx="94">
                  <c:v>34.32</c:v>
                </c:pt>
                <c:pt idx="95">
                  <c:v>33.32</c:v>
                </c:pt>
                <c:pt idx="96">
                  <c:v>32.42</c:v>
                </c:pt>
                <c:pt idx="97">
                  <c:v>31.61</c:v>
                </c:pt>
                <c:pt idx="98">
                  <c:v>30.9</c:v>
                </c:pt>
                <c:pt idx="99">
                  <c:v>30.26</c:v>
                </c:pt>
                <c:pt idx="100">
                  <c:v>29.69</c:v>
                </c:pt>
                <c:pt idx="101">
                  <c:v>29.2</c:v>
                </c:pt>
                <c:pt idx="102">
                  <c:v>28.76</c:v>
                </c:pt>
                <c:pt idx="103">
                  <c:v>28.37</c:v>
                </c:pt>
                <c:pt idx="104">
                  <c:v>28.04</c:v>
                </c:pt>
                <c:pt idx="105">
                  <c:v>27.75</c:v>
                </c:pt>
                <c:pt idx="106">
                  <c:v>27.51</c:v>
                </c:pt>
                <c:pt idx="107">
                  <c:v>27.3</c:v>
                </c:pt>
                <c:pt idx="108">
                  <c:v>27.13</c:v>
                </c:pt>
                <c:pt idx="109">
                  <c:v>26.99</c:v>
                </c:pt>
                <c:pt idx="110">
                  <c:v>26.88</c:v>
                </c:pt>
                <c:pt idx="111">
                  <c:v>26.8</c:v>
                </c:pt>
                <c:pt idx="112">
                  <c:v>26.75</c:v>
                </c:pt>
                <c:pt idx="113">
                  <c:v>26.72</c:v>
                </c:pt>
                <c:pt idx="114">
                  <c:v>26.71</c:v>
                </c:pt>
                <c:pt idx="115">
                  <c:v>26.73</c:v>
                </c:pt>
                <c:pt idx="116">
                  <c:v>26.76</c:v>
                </c:pt>
                <c:pt idx="117">
                  <c:v>26.82</c:v>
                </c:pt>
              </c:numCache>
            </c:numRef>
          </c:val>
          <c:smooth val="0"/>
          <c:extLst>
            <c:ext xmlns:c16="http://schemas.microsoft.com/office/drawing/2014/chart" uri="{C3380CC4-5D6E-409C-BE32-E72D297353CC}">
              <c16:uniqueId val="{00000012-9A1C-40BE-9AAC-3242D8215002}"/>
            </c:ext>
          </c:extLst>
        </c:ser>
        <c:ser>
          <c:idx val="19"/>
          <c:order val="19"/>
          <c:tx>
            <c:strRef>
              <c:f>'50..800_F'!$U$3:$U$4</c:f>
              <c:strCache>
                <c:ptCount val="1"/>
                <c:pt idx="0">
                  <c:v>B11</c:v>
                </c:pt>
              </c:strCache>
            </c:strRef>
          </c:tx>
          <c:spPr>
            <a:ln w="28575" cap="rnd">
              <a:solidFill>
                <a:schemeClr val="accent2">
                  <a:lumMod val="8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'50..800_F'!$U$5:$U$123</c:f>
              <c:numCache>
                <c:formatCode>General</c:formatCode>
                <c:ptCount val="118"/>
                <c:pt idx="0">
                  <c:v>153.5</c:v>
                </c:pt>
                <c:pt idx="1">
                  <c:v>154.68</c:v>
                </c:pt>
                <c:pt idx="2">
                  <c:v>156.16</c:v>
                </c:pt>
                <c:pt idx="3">
                  <c:v>157.82</c:v>
                </c:pt>
                <c:pt idx="4">
                  <c:v>159.65</c:v>
                </c:pt>
                <c:pt idx="5">
                  <c:v>161.68</c:v>
                </c:pt>
                <c:pt idx="6">
                  <c:v>163.91</c:v>
                </c:pt>
                <c:pt idx="7">
                  <c:v>166.39</c:v>
                </c:pt>
                <c:pt idx="8">
                  <c:v>169.15</c:v>
                </c:pt>
                <c:pt idx="9">
                  <c:v>172.21</c:v>
                </c:pt>
                <c:pt idx="10">
                  <c:v>175.63</c:v>
                </c:pt>
                <c:pt idx="11">
                  <c:v>179.45</c:v>
                </c:pt>
                <c:pt idx="12">
                  <c:v>183.74</c:v>
                </c:pt>
                <c:pt idx="13">
                  <c:v>188.55</c:v>
                </c:pt>
                <c:pt idx="14">
                  <c:v>193.98</c:v>
                </c:pt>
                <c:pt idx="15">
                  <c:v>200.1</c:v>
                </c:pt>
                <c:pt idx="16">
                  <c:v>207.02</c:v>
                </c:pt>
                <c:pt idx="17">
                  <c:v>214.85</c:v>
                </c:pt>
                <c:pt idx="18">
                  <c:v>223.71</c:v>
                </c:pt>
                <c:pt idx="19">
                  <c:v>233.74</c:v>
                </c:pt>
                <c:pt idx="20">
                  <c:v>245.06</c:v>
                </c:pt>
                <c:pt idx="21">
                  <c:v>257.83</c:v>
                </c:pt>
                <c:pt idx="22">
                  <c:v>272.17</c:v>
                </c:pt>
                <c:pt idx="23">
                  <c:v>288.2</c:v>
                </c:pt>
                <c:pt idx="24">
                  <c:v>306.04000000000002</c:v>
                </c:pt>
                <c:pt idx="25">
                  <c:v>325.77999999999997</c:v>
                </c:pt>
                <c:pt idx="26">
                  <c:v>347.52</c:v>
                </c:pt>
                <c:pt idx="27">
                  <c:v>371.34</c:v>
                </c:pt>
                <c:pt idx="28">
                  <c:v>397.36</c:v>
                </c:pt>
                <c:pt idx="29">
                  <c:v>425.73</c:v>
                </c:pt>
                <c:pt idx="30">
                  <c:v>456.71</c:v>
                </c:pt>
                <c:pt idx="31">
                  <c:v>490.66</c:v>
                </c:pt>
                <c:pt idx="32">
                  <c:v>528.11</c:v>
                </c:pt>
                <c:pt idx="33">
                  <c:v>569.78</c:v>
                </c:pt>
                <c:pt idx="34">
                  <c:v>616.63</c:v>
                </c:pt>
                <c:pt idx="35">
                  <c:v>669.93</c:v>
                </c:pt>
                <c:pt idx="36">
                  <c:v>731.23</c:v>
                </c:pt>
                <c:pt idx="37">
                  <c:v>802.44</c:v>
                </c:pt>
                <c:pt idx="38">
                  <c:v>885.75</c:v>
                </c:pt>
                <c:pt idx="39">
                  <c:v>983.48</c:v>
                </c:pt>
                <c:pt idx="40">
                  <c:v>1097.78</c:v>
                </c:pt>
                <c:pt idx="41">
                  <c:v>1229.95</c:v>
                </c:pt>
                <c:pt idx="42">
                  <c:v>1379.45</c:v>
                </c:pt>
                <c:pt idx="43">
                  <c:v>1542</c:v>
                </c:pt>
                <c:pt idx="44">
                  <c:v>1704.63</c:v>
                </c:pt>
                <c:pt idx="45">
                  <c:v>1844.86</c:v>
                </c:pt>
                <c:pt idx="46">
                  <c:v>1947.06</c:v>
                </c:pt>
                <c:pt idx="47">
                  <c:v>1999.63</c:v>
                </c:pt>
                <c:pt idx="48">
                  <c:v>1992.29</c:v>
                </c:pt>
                <c:pt idx="49">
                  <c:v>1921.09</c:v>
                </c:pt>
                <c:pt idx="50">
                  <c:v>1791.42</c:v>
                </c:pt>
                <c:pt idx="51">
                  <c:v>1615.81</c:v>
                </c:pt>
                <c:pt idx="52">
                  <c:v>1418.53</c:v>
                </c:pt>
                <c:pt idx="53">
                  <c:v>1225</c:v>
                </c:pt>
                <c:pt idx="54">
                  <c:v>1046.01</c:v>
                </c:pt>
                <c:pt idx="55">
                  <c:v>886.02</c:v>
                </c:pt>
                <c:pt idx="56">
                  <c:v>746.78</c:v>
                </c:pt>
                <c:pt idx="57">
                  <c:v>628.11</c:v>
                </c:pt>
                <c:pt idx="58">
                  <c:v>528.54</c:v>
                </c:pt>
                <c:pt idx="59">
                  <c:v>445.98</c:v>
                </c:pt>
                <c:pt idx="60">
                  <c:v>378.07</c:v>
                </c:pt>
                <c:pt idx="61">
                  <c:v>322.51</c:v>
                </c:pt>
                <c:pt idx="62">
                  <c:v>277.18</c:v>
                </c:pt>
                <c:pt idx="63">
                  <c:v>240.23</c:v>
                </c:pt>
                <c:pt idx="64">
                  <c:v>210.06</c:v>
                </c:pt>
                <c:pt idx="65">
                  <c:v>185.36</c:v>
                </c:pt>
                <c:pt idx="66">
                  <c:v>165.06</c:v>
                </c:pt>
                <c:pt idx="67">
                  <c:v>148.27000000000001</c:v>
                </c:pt>
                <c:pt idx="68">
                  <c:v>134.28</c:v>
                </c:pt>
                <c:pt idx="69">
                  <c:v>122.51</c:v>
                </c:pt>
                <c:pt idx="70">
                  <c:v>112.5</c:v>
                </c:pt>
                <c:pt idx="71">
                  <c:v>103.87</c:v>
                </c:pt>
                <c:pt idx="72">
                  <c:v>96.34</c:v>
                </c:pt>
                <c:pt idx="73">
                  <c:v>89.68</c:v>
                </c:pt>
                <c:pt idx="74">
                  <c:v>83.74</c:v>
                </c:pt>
                <c:pt idx="75">
                  <c:v>78.37</c:v>
                </c:pt>
                <c:pt idx="76">
                  <c:v>73.489999999999995</c:v>
                </c:pt>
                <c:pt idx="77">
                  <c:v>69.02</c:v>
                </c:pt>
                <c:pt idx="78">
                  <c:v>64.930000000000007</c:v>
                </c:pt>
                <c:pt idx="79">
                  <c:v>61.15</c:v>
                </c:pt>
                <c:pt idx="80">
                  <c:v>57.67</c:v>
                </c:pt>
                <c:pt idx="81">
                  <c:v>54.46</c:v>
                </c:pt>
                <c:pt idx="82">
                  <c:v>51.5</c:v>
                </c:pt>
                <c:pt idx="83">
                  <c:v>48.77</c:v>
                </c:pt>
                <c:pt idx="84">
                  <c:v>46.27</c:v>
                </c:pt>
                <c:pt idx="85">
                  <c:v>43.97</c:v>
                </c:pt>
                <c:pt idx="86">
                  <c:v>41.86</c:v>
                </c:pt>
                <c:pt idx="87">
                  <c:v>39.93</c:v>
                </c:pt>
                <c:pt idx="88">
                  <c:v>38.18</c:v>
                </c:pt>
                <c:pt idx="89">
                  <c:v>36.590000000000003</c:v>
                </c:pt>
                <c:pt idx="90">
                  <c:v>35.14</c:v>
                </c:pt>
                <c:pt idx="91">
                  <c:v>33.840000000000003</c:v>
                </c:pt>
                <c:pt idx="92">
                  <c:v>32.67</c:v>
                </c:pt>
                <c:pt idx="93">
                  <c:v>31.61</c:v>
                </c:pt>
                <c:pt idx="94">
                  <c:v>30.66</c:v>
                </c:pt>
                <c:pt idx="95">
                  <c:v>29.81</c:v>
                </c:pt>
                <c:pt idx="96">
                  <c:v>29.06</c:v>
                </c:pt>
                <c:pt idx="97">
                  <c:v>28.39</c:v>
                </c:pt>
                <c:pt idx="98">
                  <c:v>27.79</c:v>
                </c:pt>
                <c:pt idx="99">
                  <c:v>27.26</c:v>
                </c:pt>
                <c:pt idx="100">
                  <c:v>26.8</c:v>
                </c:pt>
                <c:pt idx="101">
                  <c:v>26.39</c:v>
                </c:pt>
                <c:pt idx="102">
                  <c:v>26.04</c:v>
                </c:pt>
                <c:pt idx="103">
                  <c:v>25.73</c:v>
                </c:pt>
                <c:pt idx="104">
                  <c:v>25.46</c:v>
                </c:pt>
                <c:pt idx="105">
                  <c:v>25.24</c:v>
                </c:pt>
                <c:pt idx="106">
                  <c:v>25.05</c:v>
                </c:pt>
                <c:pt idx="107">
                  <c:v>24.9</c:v>
                </c:pt>
                <c:pt idx="108">
                  <c:v>24.78</c:v>
                </c:pt>
                <c:pt idx="109">
                  <c:v>24.68</c:v>
                </c:pt>
                <c:pt idx="110">
                  <c:v>24.61</c:v>
                </c:pt>
                <c:pt idx="111">
                  <c:v>24.57</c:v>
                </c:pt>
                <c:pt idx="112">
                  <c:v>24.55</c:v>
                </c:pt>
                <c:pt idx="113">
                  <c:v>24.55</c:v>
                </c:pt>
                <c:pt idx="114">
                  <c:v>24.57</c:v>
                </c:pt>
                <c:pt idx="115">
                  <c:v>24.6</c:v>
                </c:pt>
                <c:pt idx="116">
                  <c:v>24.66</c:v>
                </c:pt>
                <c:pt idx="117">
                  <c:v>24.73</c:v>
                </c:pt>
              </c:numCache>
            </c:numRef>
          </c:val>
          <c:smooth val="0"/>
          <c:extLst>
            <c:ext xmlns:c16="http://schemas.microsoft.com/office/drawing/2014/chart" uri="{C3380CC4-5D6E-409C-BE32-E72D297353CC}">
              <c16:uniqueId val="{00000013-9A1C-40BE-9AAC-3242D8215002}"/>
            </c:ext>
          </c:extLst>
        </c:ser>
        <c:ser>
          <c:idx val="20"/>
          <c:order val="20"/>
          <c:tx>
            <c:strRef>
              <c:f>'50..800_F'!$V$3:$V$4</c:f>
              <c:strCache>
                <c:ptCount val="1"/>
                <c:pt idx="0">
                  <c:v>B12</c:v>
                </c:pt>
              </c:strCache>
            </c:strRef>
          </c:tx>
          <c:spPr>
            <a:ln w="28575" cap="rnd">
              <a:solidFill>
                <a:schemeClr val="accent3">
                  <a:lumMod val="8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'50..800_F'!$V$5:$V$123</c:f>
              <c:numCache>
                <c:formatCode>General</c:formatCode>
                <c:ptCount val="118"/>
                <c:pt idx="0">
                  <c:v>61.07</c:v>
                </c:pt>
                <c:pt idx="1">
                  <c:v>61.99</c:v>
                </c:pt>
                <c:pt idx="2">
                  <c:v>63.35</c:v>
                </c:pt>
                <c:pt idx="3">
                  <c:v>64.989999999999995</c:v>
                </c:pt>
                <c:pt idx="4">
                  <c:v>66.89</c:v>
                </c:pt>
                <c:pt idx="5">
                  <c:v>69.099999999999994</c:v>
                </c:pt>
                <c:pt idx="6">
                  <c:v>71.650000000000006</c:v>
                </c:pt>
                <c:pt idx="7">
                  <c:v>74.599999999999994</c:v>
                </c:pt>
                <c:pt idx="8">
                  <c:v>77.989999999999995</c:v>
                </c:pt>
                <c:pt idx="9">
                  <c:v>81.900000000000006</c:v>
                </c:pt>
                <c:pt idx="10">
                  <c:v>86.4</c:v>
                </c:pt>
                <c:pt idx="11">
                  <c:v>91.58</c:v>
                </c:pt>
                <c:pt idx="12">
                  <c:v>97.56</c:v>
                </c:pt>
                <c:pt idx="13">
                  <c:v>104.44</c:v>
                </c:pt>
                <c:pt idx="14">
                  <c:v>112.37</c:v>
                </c:pt>
                <c:pt idx="15">
                  <c:v>121.48</c:v>
                </c:pt>
                <c:pt idx="16">
                  <c:v>131.96</c:v>
                </c:pt>
                <c:pt idx="17">
                  <c:v>143.97</c:v>
                </c:pt>
                <c:pt idx="18">
                  <c:v>157.69999999999999</c:v>
                </c:pt>
                <c:pt idx="19">
                  <c:v>173.33</c:v>
                </c:pt>
                <c:pt idx="20">
                  <c:v>191.03</c:v>
                </c:pt>
                <c:pt idx="21">
                  <c:v>210.92</c:v>
                </c:pt>
                <c:pt idx="22">
                  <c:v>233.1</c:v>
                </c:pt>
                <c:pt idx="23">
                  <c:v>257.60000000000002</c:v>
                </c:pt>
                <c:pt idx="24">
                  <c:v>284.38</c:v>
                </c:pt>
                <c:pt idx="25">
                  <c:v>313.31</c:v>
                </c:pt>
                <c:pt idx="26">
                  <c:v>344.22</c:v>
                </c:pt>
                <c:pt idx="27">
                  <c:v>376.87</c:v>
                </c:pt>
                <c:pt idx="28">
                  <c:v>411.02</c:v>
                </c:pt>
                <c:pt idx="29">
                  <c:v>446.48</c:v>
                </c:pt>
                <c:pt idx="30">
                  <c:v>483.17</c:v>
                </c:pt>
                <c:pt idx="31">
                  <c:v>521.23</c:v>
                </c:pt>
                <c:pt idx="32">
                  <c:v>561.04999999999995</c:v>
                </c:pt>
                <c:pt idx="33">
                  <c:v>603.38</c:v>
                </c:pt>
                <c:pt idx="34">
                  <c:v>649.38</c:v>
                </c:pt>
                <c:pt idx="35">
                  <c:v>700.64</c:v>
                </c:pt>
                <c:pt idx="36">
                  <c:v>759.19</c:v>
                </c:pt>
                <c:pt idx="37">
                  <c:v>827.48</c:v>
                </c:pt>
                <c:pt idx="38">
                  <c:v>908.33</c:v>
                </c:pt>
                <c:pt idx="39">
                  <c:v>1004.76</c:v>
                </c:pt>
                <c:pt idx="40">
                  <c:v>1119.68</c:v>
                </c:pt>
                <c:pt idx="41">
                  <c:v>1255.18</c:v>
                </c:pt>
                <c:pt idx="42">
                  <c:v>1411.48</c:v>
                </c:pt>
                <c:pt idx="43">
                  <c:v>1585.49</c:v>
                </c:pt>
                <c:pt idx="44">
                  <c:v>1766.83</c:v>
                </c:pt>
                <c:pt idx="45">
                  <c:v>1931.75</c:v>
                </c:pt>
                <c:pt idx="46">
                  <c:v>2058.39</c:v>
                </c:pt>
                <c:pt idx="47">
                  <c:v>2133.84</c:v>
                </c:pt>
                <c:pt idx="48">
                  <c:v>2146.7199999999998</c:v>
                </c:pt>
                <c:pt idx="49">
                  <c:v>2091.1999999999998</c:v>
                </c:pt>
                <c:pt idx="50">
                  <c:v>1971.16</c:v>
                </c:pt>
                <c:pt idx="51">
                  <c:v>1798.76</c:v>
                </c:pt>
                <c:pt idx="52">
                  <c:v>1594.85</c:v>
                </c:pt>
                <c:pt idx="53">
                  <c:v>1387.27</c:v>
                </c:pt>
                <c:pt idx="54">
                  <c:v>1191.07</c:v>
                </c:pt>
                <c:pt idx="55">
                  <c:v>1012.74</c:v>
                </c:pt>
                <c:pt idx="56">
                  <c:v>855.58</c:v>
                </c:pt>
                <c:pt idx="57">
                  <c:v>720.4</c:v>
                </c:pt>
                <c:pt idx="58">
                  <c:v>606.22</c:v>
                </c:pt>
                <c:pt idx="59">
                  <c:v>510.99</c:v>
                </c:pt>
                <c:pt idx="60">
                  <c:v>432.24</c:v>
                </c:pt>
                <c:pt idx="61">
                  <c:v>367.48</c:v>
                </c:pt>
                <c:pt idx="62">
                  <c:v>314.38</c:v>
                </c:pt>
                <c:pt idx="63">
                  <c:v>270.87</c:v>
                </c:pt>
                <c:pt idx="64">
                  <c:v>235.18</c:v>
                </c:pt>
                <c:pt idx="65">
                  <c:v>205.85</c:v>
                </c:pt>
                <c:pt idx="66">
                  <c:v>181.66</c:v>
                </c:pt>
                <c:pt idx="67">
                  <c:v>161.6</c:v>
                </c:pt>
                <c:pt idx="68">
                  <c:v>144.86000000000001</c:v>
                </c:pt>
                <c:pt idx="69">
                  <c:v>130.78</c:v>
                </c:pt>
                <c:pt idx="70">
                  <c:v>118.82</c:v>
                </c:pt>
                <c:pt idx="71">
                  <c:v>108.55</c:v>
                </c:pt>
                <c:pt idx="72">
                  <c:v>99.65</c:v>
                </c:pt>
                <c:pt idx="73">
                  <c:v>91.85</c:v>
                </c:pt>
                <c:pt idx="74">
                  <c:v>84.94</c:v>
                </c:pt>
                <c:pt idx="75">
                  <c:v>78.760000000000005</c:v>
                </c:pt>
                <c:pt idx="76">
                  <c:v>73.19</c:v>
                </c:pt>
                <c:pt idx="77">
                  <c:v>68.14</c:v>
                </c:pt>
                <c:pt idx="78">
                  <c:v>63.5</c:v>
                </c:pt>
                <c:pt idx="79">
                  <c:v>59.23</c:v>
                </c:pt>
                <c:pt idx="80">
                  <c:v>55.26</c:v>
                </c:pt>
                <c:pt idx="81">
                  <c:v>51.54</c:v>
                </c:pt>
                <c:pt idx="82">
                  <c:v>48.04</c:v>
                </c:pt>
                <c:pt idx="83">
                  <c:v>44.73</c:v>
                </c:pt>
                <c:pt idx="84">
                  <c:v>41.6</c:v>
                </c:pt>
                <c:pt idx="85">
                  <c:v>38.619999999999997</c:v>
                </c:pt>
                <c:pt idx="86">
                  <c:v>35.79</c:v>
                </c:pt>
                <c:pt idx="87">
                  <c:v>33.11</c:v>
                </c:pt>
                <c:pt idx="88">
                  <c:v>30.58</c:v>
                </c:pt>
                <c:pt idx="89">
                  <c:v>28.18</c:v>
                </c:pt>
                <c:pt idx="90">
                  <c:v>25.92</c:v>
                </c:pt>
                <c:pt idx="91">
                  <c:v>23.81</c:v>
                </c:pt>
                <c:pt idx="92">
                  <c:v>21.83</c:v>
                </c:pt>
                <c:pt idx="93">
                  <c:v>19.98</c:v>
                </c:pt>
                <c:pt idx="94">
                  <c:v>18.27</c:v>
                </c:pt>
                <c:pt idx="95">
                  <c:v>16.68</c:v>
                </c:pt>
                <c:pt idx="96">
                  <c:v>15.21</c:v>
                </c:pt>
                <c:pt idx="97">
                  <c:v>13.86</c:v>
                </c:pt>
                <c:pt idx="98">
                  <c:v>12.61</c:v>
                </c:pt>
                <c:pt idx="99">
                  <c:v>11.47</c:v>
                </c:pt>
                <c:pt idx="100">
                  <c:v>10.42</c:v>
                </c:pt>
                <c:pt idx="101">
                  <c:v>9.4700000000000006</c:v>
                </c:pt>
                <c:pt idx="102">
                  <c:v>8.59</c:v>
                </c:pt>
                <c:pt idx="103">
                  <c:v>7.79</c:v>
                </c:pt>
                <c:pt idx="104">
                  <c:v>7.07</c:v>
                </c:pt>
                <c:pt idx="105">
                  <c:v>6.41</c:v>
                </c:pt>
                <c:pt idx="106">
                  <c:v>5.82</c:v>
                </c:pt>
                <c:pt idx="107">
                  <c:v>5.28</c:v>
                </c:pt>
                <c:pt idx="108">
                  <c:v>4.79</c:v>
                </c:pt>
                <c:pt idx="109">
                  <c:v>4.3600000000000003</c:v>
                </c:pt>
                <c:pt idx="110">
                  <c:v>3.97</c:v>
                </c:pt>
                <c:pt idx="111">
                  <c:v>3.63</c:v>
                </c:pt>
                <c:pt idx="112">
                  <c:v>3.32</c:v>
                </c:pt>
                <c:pt idx="113">
                  <c:v>3.05</c:v>
                </c:pt>
                <c:pt idx="114">
                  <c:v>2.82</c:v>
                </c:pt>
                <c:pt idx="115">
                  <c:v>2.62</c:v>
                </c:pt>
                <c:pt idx="116">
                  <c:v>2.46</c:v>
                </c:pt>
                <c:pt idx="117">
                  <c:v>2.37</c:v>
                </c:pt>
              </c:numCache>
            </c:numRef>
          </c:val>
          <c:smooth val="0"/>
          <c:extLst>
            <c:ext xmlns:c16="http://schemas.microsoft.com/office/drawing/2014/chart" uri="{C3380CC4-5D6E-409C-BE32-E72D297353CC}">
              <c16:uniqueId val="{00000014-9A1C-40BE-9AAC-3242D8215002}"/>
            </c:ext>
          </c:extLst>
        </c:ser>
        <c:ser>
          <c:idx val="21"/>
          <c:order val="21"/>
          <c:tx>
            <c:strRef>
              <c:f>'50..800_F'!$W$3:$W$4</c:f>
              <c:strCache>
                <c:ptCount val="1"/>
                <c:pt idx="0">
                  <c:v>C02</c:v>
                </c:pt>
              </c:strCache>
            </c:strRef>
          </c:tx>
          <c:spPr>
            <a:ln w="28575" cap="rnd">
              <a:solidFill>
                <a:schemeClr val="accent4">
                  <a:lumMod val="8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'50..800_F'!$W$5:$W$123</c:f>
              <c:numCache>
                <c:formatCode>General</c:formatCode>
                <c:ptCount val="118"/>
                <c:pt idx="0">
                  <c:v>234.77</c:v>
                </c:pt>
                <c:pt idx="1">
                  <c:v>237.26</c:v>
                </c:pt>
                <c:pt idx="2">
                  <c:v>240.52</c:v>
                </c:pt>
                <c:pt idx="3">
                  <c:v>244.07</c:v>
                </c:pt>
                <c:pt idx="4">
                  <c:v>247.81</c:v>
                </c:pt>
                <c:pt idx="5">
                  <c:v>251.74</c:v>
                </c:pt>
                <c:pt idx="6">
                  <c:v>255.87</c:v>
                </c:pt>
                <c:pt idx="7">
                  <c:v>260.22000000000003</c:v>
                </c:pt>
                <c:pt idx="8">
                  <c:v>264.79000000000002</c:v>
                </c:pt>
                <c:pt idx="9">
                  <c:v>269.60000000000002</c:v>
                </c:pt>
                <c:pt idx="10">
                  <c:v>274.66000000000003</c:v>
                </c:pt>
                <c:pt idx="11">
                  <c:v>279.98</c:v>
                </c:pt>
                <c:pt idx="12">
                  <c:v>285.57</c:v>
                </c:pt>
                <c:pt idx="13">
                  <c:v>291.45</c:v>
                </c:pt>
                <c:pt idx="14">
                  <c:v>297.63</c:v>
                </c:pt>
                <c:pt idx="15">
                  <c:v>304.13</c:v>
                </c:pt>
                <c:pt idx="16">
                  <c:v>310.95</c:v>
                </c:pt>
                <c:pt idx="17">
                  <c:v>318.11</c:v>
                </c:pt>
                <c:pt idx="18">
                  <c:v>325.61</c:v>
                </c:pt>
                <c:pt idx="19">
                  <c:v>333.48</c:v>
                </c:pt>
                <c:pt idx="20">
                  <c:v>341.71</c:v>
                </c:pt>
                <c:pt idx="21">
                  <c:v>350.32</c:v>
                </c:pt>
                <c:pt idx="22">
                  <c:v>359.3</c:v>
                </c:pt>
                <c:pt idx="23">
                  <c:v>368.67</c:v>
                </c:pt>
                <c:pt idx="24">
                  <c:v>378.42</c:v>
                </c:pt>
                <c:pt idx="25">
                  <c:v>388.54</c:v>
                </c:pt>
                <c:pt idx="26">
                  <c:v>399.03</c:v>
                </c:pt>
                <c:pt idx="27">
                  <c:v>409.86</c:v>
                </c:pt>
                <c:pt idx="28">
                  <c:v>421.02</c:v>
                </c:pt>
                <c:pt idx="29">
                  <c:v>432.48</c:v>
                </c:pt>
                <c:pt idx="30">
                  <c:v>444.2</c:v>
                </c:pt>
                <c:pt idx="31">
                  <c:v>456.14</c:v>
                </c:pt>
                <c:pt idx="32">
                  <c:v>468.26</c:v>
                </c:pt>
                <c:pt idx="33">
                  <c:v>480.49</c:v>
                </c:pt>
                <c:pt idx="34">
                  <c:v>492.77</c:v>
                </c:pt>
                <c:pt idx="35">
                  <c:v>505.05</c:v>
                </c:pt>
                <c:pt idx="36">
                  <c:v>517.24</c:v>
                </c:pt>
                <c:pt idx="37">
                  <c:v>529.29</c:v>
                </c:pt>
                <c:pt idx="38">
                  <c:v>541.13</c:v>
                </c:pt>
                <c:pt idx="39">
                  <c:v>552.69000000000005</c:v>
                </c:pt>
                <c:pt idx="40">
                  <c:v>563.91999999999996</c:v>
                </c:pt>
                <c:pt idx="41">
                  <c:v>574.79</c:v>
                </c:pt>
                <c:pt idx="42">
                  <c:v>585.28</c:v>
                </c:pt>
                <c:pt idx="43">
                  <c:v>595.39</c:v>
                </c:pt>
                <c:pt idx="44">
                  <c:v>605.16999999999996</c:v>
                </c:pt>
                <c:pt idx="45">
                  <c:v>614.66999999999996</c:v>
                </c:pt>
                <c:pt idx="46">
                  <c:v>624</c:v>
                </c:pt>
                <c:pt idx="47">
                  <c:v>633.33000000000004</c:v>
                </c:pt>
                <c:pt idx="48">
                  <c:v>642.85</c:v>
                </c:pt>
                <c:pt idx="49">
                  <c:v>652.83000000000004</c:v>
                </c:pt>
                <c:pt idx="50">
                  <c:v>663.59</c:v>
                </c:pt>
                <c:pt idx="51">
                  <c:v>675.49</c:v>
                </c:pt>
                <c:pt idx="52">
                  <c:v>689</c:v>
                </c:pt>
                <c:pt idx="53">
                  <c:v>704.6</c:v>
                </c:pt>
                <c:pt idx="54">
                  <c:v>722.86</c:v>
                </c:pt>
                <c:pt idx="55">
                  <c:v>744.4</c:v>
                </c:pt>
                <c:pt idx="56">
                  <c:v>769.89</c:v>
                </c:pt>
                <c:pt idx="57">
                  <c:v>800.07</c:v>
                </c:pt>
                <c:pt idx="58">
                  <c:v>835.68</c:v>
                </c:pt>
                <c:pt idx="59">
                  <c:v>877.51</c:v>
                </c:pt>
                <c:pt idx="60">
                  <c:v>926.35</c:v>
                </c:pt>
                <c:pt idx="61">
                  <c:v>982.98</c:v>
                </c:pt>
                <c:pt idx="62">
                  <c:v>1048.1199999999999</c:v>
                </c:pt>
                <c:pt idx="63">
                  <c:v>1122.44</c:v>
                </c:pt>
                <c:pt idx="64">
                  <c:v>1206.58</c:v>
                </c:pt>
                <c:pt idx="65">
                  <c:v>1301.19</c:v>
                </c:pt>
                <c:pt idx="66">
                  <c:v>1407.09</c:v>
                </c:pt>
                <c:pt idx="67">
                  <c:v>1525.47</c:v>
                </c:pt>
                <c:pt idx="68">
                  <c:v>1658.13</c:v>
                </c:pt>
                <c:pt idx="69">
                  <c:v>1807.62</c:v>
                </c:pt>
                <c:pt idx="70">
                  <c:v>1977.08</c:v>
                </c:pt>
                <c:pt idx="71">
                  <c:v>2170.0500000000002</c:v>
                </c:pt>
                <c:pt idx="72">
                  <c:v>2390.64</c:v>
                </c:pt>
                <c:pt idx="73">
                  <c:v>2645.49</c:v>
                </c:pt>
                <c:pt idx="74">
                  <c:v>2948.9</c:v>
                </c:pt>
                <c:pt idx="75">
                  <c:v>3331.3</c:v>
                </c:pt>
                <c:pt idx="76">
                  <c:v>3835.22</c:v>
                </c:pt>
                <c:pt idx="77">
                  <c:v>4421.1000000000004</c:v>
                </c:pt>
                <c:pt idx="78">
                  <c:v>4923.01</c:v>
                </c:pt>
                <c:pt idx="79">
                  <c:v>5138.2700000000004</c:v>
                </c:pt>
                <c:pt idx="80">
                  <c:v>4906.92</c:v>
                </c:pt>
                <c:pt idx="81">
                  <c:v>4209.88</c:v>
                </c:pt>
                <c:pt idx="82">
                  <c:v>3217.46</c:v>
                </c:pt>
                <c:pt idx="83">
                  <c:v>2246.44</c:v>
                </c:pt>
                <c:pt idx="84">
                  <c:v>1524.48</c:v>
                </c:pt>
                <c:pt idx="85">
                  <c:v>1046.53</c:v>
                </c:pt>
                <c:pt idx="86">
                  <c:v>736.72</c:v>
                </c:pt>
                <c:pt idx="87">
                  <c:v>534.25</c:v>
                </c:pt>
                <c:pt idx="88">
                  <c:v>399.29</c:v>
                </c:pt>
                <c:pt idx="89">
                  <c:v>307.12</c:v>
                </c:pt>
                <c:pt idx="90">
                  <c:v>242.56</c:v>
                </c:pt>
                <c:pt idx="91">
                  <c:v>196.19</c:v>
                </c:pt>
                <c:pt idx="92">
                  <c:v>162.09</c:v>
                </c:pt>
                <c:pt idx="93">
                  <c:v>136.44999999999999</c:v>
                </c:pt>
                <c:pt idx="94">
                  <c:v>116.79</c:v>
                </c:pt>
                <c:pt idx="95">
                  <c:v>101.44</c:v>
                </c:pt>
                <c:pt idx="96">
                  <c:v>89.27</c:v>
                </c:pt>
                <c:pt idx="97">
                  <c:v>79.489999999999995</c:v>
                </c:pt>
                <c:pt idx="98">
                  <c:v>71.56</c:v>
                </c:pt>
                <c:pt idx="99">
                  <c:v>65.069999999999993</c:v>
                </c:pt>
                <c:pt idx="100">
                  <c:v>59.74</c:v>
                </c:pt>
                <c:pt idx="101">
                  <c:v>55.36</c:v>
                </c:pt>
                <c:pt idx="102">
                  <c:v>51.75</c:v>
                </c:pt>
                <c:pt idx="103">
                  <c:v>48.8</c:v>
                </c:pt>
                <c:pt idx="104">
                  <c:v>46.39</c:v>
                </c:pt>
                <c:pt idx="105">
                  <c:v>44.44</c:v>
                </c:pt>
                <c:pt idx="106">
                  <c:v>42.87</c:v>
                </c:pt>
                <c:pt idx="107">
                  <c:v>41.64</c:v>
                </c:pt>
                <c:pt idx="108">
                  <c:v>40.68</c:v>
                </c:pt>
                <c:pt idx="109">
                  <c:v>39.97</c:v>
                </c:pt>
                <c:pt idx="110">
                  <c:v>39.47</c:v>
                </c:pt>
                <c:pt idx="111">
                  <c:v>39.15</c:v>
                </c:pt>
                <c:pt idx="112">
                  <c:v>39</c:v>
                </c:pt>
                <c:pt idx="113">
                  <c:v>38.979999999999997</c:v>
                </c:pt>
                <c:pt idx="114">
                  <c:v>39.1</c:v>
                </c:pt>
                <c:pt idx="115">
                  <c:v>39.340000000000003</c:v>
                </c:pt>
                <c:pt idx="116">
                  <c:v>39.659999999999997</c:v>
                </c:pt>
                <c:pt idx="117">
                  <c:v>39.96</c:v>
                </c:pt>
              </c:numCache>
            </c:numRef>
          </c:val>
          <c:smooth val="0"/>
          <c:extLst>
            <c:ext xmlns:c16="http://schemas.microsoft.com/office/drawing/2014/chart" uri="{C3380CC4-5D6E-409C-BE32-E72D297353CC}">
              <c16:uniqueId val="{00000016-9A1C-40BE-9AAC-3242D8215002}"/>
            </c:ext>
          </c:extLst>
        </c:ser>
        <c:ser>
          <c:idx val="22"/>
          <c:order val="22"/>
          <c:tx>
            <c:strRef>
              <c:f>'50..800_F'!$X$3:$X$4</c:f>
              <c:strCache>
                <c:ptCount val="1"/>
                <c:pt idx="0">
                  <c:v>C03</c:v>
                </c:pt>
              </c:strCache>
            </c:strRef>
          </c:tx>
          <c:spPr>
            <a:ln w="28575" cap="rnd">
              <a:solidFill>
                <a:schemeClr val="accent5">
                  <a:lumMod val="8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'50..800_F'!$X$5:$X$123</c:f>
              <c:numCache>
                <c:formatCode>General</c:formatCode>
                <c:ptCount val="118"/>
                <c:pt idx="0">
                  <c:v>234.68</c:v>
                </c:pt>
                <c:pt idx="1">
                  <c:v>237.02</c:v>
                </c:pt>
                <c:pt idx="2">
                  <c:v>240.05</c:v>
                </c:pt>
                <c:pt idx="3">
                  <c:v>243.33</c:v>
                </c:pt>
                <c:pt idx="4">
                  <c:v>246.77</c:v>
                </c:pt>
                <c:pt idx="5">
                  <c:v>250.39</c:v>
                </c:pt>
                <c:pt idx="6">
                  <c:v>254.17</c:v>
                </c:pt>
                <c:pt idx="7">
                  <c:v>258.14999999999998</c:v>
                </c:pt>
                <c:pt idx="8">
                  <c:v>262.32</c:v>
                </c:pt>
                <c:pt idx="9">
                  <c:v>266.69</c:v>
                </c:pt>
                <c:pt idx="10">
                  <c:v>271.27999999999997</c:v>
                </c:pt>
                <c:pt idx="11">
                  <c:v>276.08999999999997</c:v>
                </c:pt>
                <c:pt idx="12">
                  <c:v>281.13</c:v>
                </c:pt>
                <c:pt idx="13">
                  <c:v>286.42</c:v>
                </c:pt>
                <c:pt idx="14">
                  <c:v>291.95999999999998</c:v>
                </c:pt>
                <c:pt idx="15">
                  <c:v>297.76</c:v>
                </c:pt>
                <c:pt idx="16">
                  <c:v>303.83999999999997</c:v>
                </c:pt>
                <c:pt idx="17">
                  <c:v>310.2</c:v>
                </c:pt>
                <c:pt idx="18">
                  <c:v>316.83999999999997</c:v>
                </c:pt>
                <c:pt idx="19">
                  <c:v>323.77999999999997</c:v>
                </c:pt>
                <c:pt idx="20">
                  <c:v>331.02</c:v>
                </c:pt>
                <c:pt idx="21">
                  <c:v>338.57</c:v>
                </c:pt>
                <c:pt idx="22">
                  <c:v>346.43</c:v>
                </c:pt>
                <c:pt idx="23">
                  <c:v>354.59</c:v>
                </c:pt>
                <c:pt idx="24">
                  <c:v>363.05</c:v>
                </c:pt>
                <c:pt idx="25">
                  <c:v>371.82</c:v>
                </c:pt>
                <c:pt idx="26">
                  <c:v>380.87</c:v>
                </c:pt>
                <c:pt idx="27">
                  <c:v>390.2</c:v>
                </c:pt>
                <c:pt idx="28">
                  <c:v>399.79</c:v>
                </c:pt>
                <c:pt idx="29">
                  <c:v>409.62</c:v>
                </c:pt>
                <c:pt idx="30">
                  <c:v>419.66</c:v>
                </c:pt>
                <c:pt idx="31">
                  <c:v>429.88</c:v>
                </c:pt>
                <c:pt idx="32">
                  <c:v>440.25</c:v>
                </c:pt>
                <c:pt idx="33">
                  <c:v>450.74</c:v>
                </c:pt>
                <c:pt idx="34">
                  <c:v>461.3</c:v>
                </c:pt>
                <c:pt idx="35">
                  <c:v>471.91</c:v>
                </c:pt>
                <c:pt idx="36">
                  <c:v>482.52</c:v>
                </c:pt>
                <c:pt idx="37">
                  <c:v>493.1</c:v>
                </c:pt>
                <c:pt idx="38">
                  <c:v>503.63</c:v>
                </c:pt>
                <c:pt idx="39">
                  <c:v>514.08000000000004</c:v>
                </c:pt>
                <c:pt idx="40">
                  <c:v>524.44000000000005</c:v>
                </c:pt>
                <c:pt idx="41">
                  <c:v>534.72</c:v>
                </c:pt>
                <c:pt idx="42">
                  <c:v>544.92999999999995</c:v>
                </c:pt>
                <c:pt idx="43">
                  <c:v>555.11</c:v>
                </c:pt>
                <c:pt idx="44">
                  <c:v>565.32000000000005</c:v>
                </c:pt>
                <c:pt idx="45">
                  <c:v>575.63</c:v>
                </c:pt>
                <c:pt idx="46">
                  <c:v>586.16</c:v>
                </c:pt>
                <c:pt idx="47">
                  <c:v>597.03</c:v>
                </c:pt>
                <c:pt idx="48">
                  <c:v>608.42999999999995</c:v>
                </c:pt>
                <c:pt idx="49">
                  <c:v>620.55999999999995</c:v>
                </c:pt>
                <c:pt idx="50">
                  <c:v>633.65</c:v>
                </c:pt>
                <c:pt idx="51">
                  <c:v>647.98</c:v>
                </c:pt>
                <c:pt idx="52">
                  <c:v>663.88</c:v>
                </c:pt>
                <c:pt idx="53">
                  <c:v>681.71</c:v>
                </c:pt>
                <c:pt idx="54">
                  <c:v>701.87</c:v>
                </c:pt>
                <c:pt idx="55">
                  <c:v>724.83</c:v>
                </c:pt>
                <c:pt idx="56">
                  <c:v>751.09</c:v>
                </c:pt>
                <c:pt idx="57">
                  <c:v>781.25</c:v>
                </c:pt>
                <c:pt idx="58">
                  <c:v>815.96</c:v>
                </c:pt>
                <c:pt idx="59">
                  <c:v>855.97</c:v>
                </c:pt>
                <c:pt idx="60">
                  <c:v>902.16</c:v>
                </c:pt>
                <c:pt idx="61">
                  <c:v>955.49</c:v>
                </c:pt>
                <c:pt idx="62">
                  <c:v>1017.07</c:v>
                </c:pt>
                <c:pt idx="63">
                  <c:v>1088.1300000000001</c:v>
                </c:pt>
                <c:pt idx="64">
                  <c:v>1169.98</c:v>
                </c:pt>
                <c:pt idx="65">
                  <c:v>1263.95</c:v>
                </c:pt>
                <c:pt idx="66">
                  <c:v>1371.31</c:v>
                </c:pt>
                <c:pt idx="67">
                  <c:v>1493.21</c:v>
                </c:pt>
                <c:pt idx="68">
                  <c:v>1630.68</c:v>
                </c:pt>
                <c:pt idx="69">
                  <c:v>1784.9</c:v>
                </c:pt>
                <c:pt idx="70">
                  <c:v>1957.5</c:v>
                </c:pt>
                <c:pt idx="71">
                  <c:v>2150.84</c:v>
                </c:pt>
                <c:pt idx="72">
                  <c:v>2368.33</c:v>
                </c:pt>
                <c:pt idx="73">
                  <c:v>2616.14</c:v>
                </c:pt>
                <c:pt idx="74">
                  <c:v>2908.64</c:v>
                </c:pt>
                <c:pt idx="75">
                  <c:v>3276.9</c:v>
                </c:pt>
                <c:pt idx="76">
                  <c:v>3760.32</c:v>
                </c:pt>
                <c:pt idx="77">
                  <c:v>4311.8599999999997</c:v>
                </c:pt>
                <c:pt idx="78">
                  <c:v>4763.4399999999996</c:v>
                </c:pt>
                <c:pt idx="79">
                  <c:v>4919.21</c:v>
                </c:pt>
                <c:pt idx="80">
                  <c:v>4636.72</c:v>
                </c:pt>
                <c:pt idx="81">
                  <c:v>3918.55</c:v>
                </c:pt>
                <c:pt idx="82">
                  <c:v>2947.83</c:v>
                </c:pt>
                <c:pt idx="83">
                  <c:v>2032.98</c:v>
                </c:pt>
                <c:pt idx="84">
                  <c:v>1370.62</c:v>
                </c:pt>
                <c:pt idx="85">
                  <c:v>937.67</c:v>
                </c:pt>
                <c:pt idx="86">
                  <c:v>658.65</c:v>
                </c:pt>
                <c:pt idx="87">
                  <c:v>476.77</c:v>
                </c:pt>
                <c:pt idx="88">
                  <c:v>355.7</c:v>
                </c:pt>
                <c:pt idx="89">
                  <c:v>273.10000000000002</c:v>
                </c:pt>
                <c:pt idx="90">
                  <c:v>215.32</c:v>
                </c:pt>
                <c:pt idx="91">
                  <c:v>173.89</c:v>
                </c:pt>
                <c:pt idx="92">
                  <c:v>143.47999999999999</c:v>
                </c:pt>
                <c:pt idx="93">
                  <c:v>120.64</c:v>
                </c:pt>
                <c:pt idx="94">
                  <c:v>103.14</c:v>
                </c:pt>
                <c:pt idx="95">
                  <c:v>89.46</c:v>
                </c:pt>
                <c:pt idx="96">
                  <c:v>78.59</c:v>
                </c:pt>
                <c:pt idx="97">
                  <c:v>69.849999999999994</c:v>
                </c:pt>
                <c:pt idx="98">
                  <c:v>62.74</c:v>
                </c:pt>
                <c:pt idx="99">
                  <c:v>56.94</c:v>
                </c:pt>
                <c:pt idx="100">
                  <c:v>52.2</c:v>
                </c:pt>
                <c:pt idx="101">
                  <c:v>48.32</c:v>
                </c:pt>
                <c:pt idx="102">
                  <c:v>45.16</c:v>
                </c:pt>
                <c:pt idx="103">
                  <c:v>42.59</c:v>
                </c:pt>
                <c:pt idx="104">
                  <c:v>40.53</c:v>
                </c:pt>
                <c:pt idx="105">
                  <c:v>38.880000000000003</c:v>
                </c:pt>
                <c:pt idx="106">
                  <c:v>37.590000000000003</c:v>
                </c:pt>
                <c:pt idx="107">
                  <c:v>36.590000000000003</c:v>
                </c:pt>
                <c:pt idx="108">
                  <c:v>35.85</c:v>
                </c:pt>
                <c:pt idx="109">
                  <c:v>35.32</c:v>
                </c:pt>
                <c:pt idx="110">
                  <c:v>34.979999999999997</c:v>
                </c:pt>
                <c:pt idx="111">
                  <c:v>34.79</c:v>
                </c:pt>
                <c:pt idx="112">
                  <c:v>34.75</c:v>
                </c:pt>
                <c:pt idx="113">
                  <c:v>34.840000000000003</c:v>
                </c:pt>
                <c:pt idx="114">
                  <c:v>35.04</c:v>
                </c:pt>
                <c:pt idx="115">
                  <c:v>35.340000000000003</c:v>
                </c:pt>
                <c:pt idx="116">
                  <c:v>35.71</c:v>
                </c:pt>
                <c:pt idx="117">
                  <c:v>36.04</c:v>
                </c:pt>
              </c:numCache>
            </c:numRef>
          </c:val>
          <c:smooth val="0"/>
          <c:extLst>
            <c:ext xmlns:c16="http://schemas.microsoft.com/office/drawing/2014/chart" uri="{C3380CC4-5D6E-409C-BE32-E72D297353CC}">
              <c16:uniqueId val="{00000017-9A1C-40BE-9AAC-3242D8215002}"/>
            </c:ext>
          </c:extLst>
        </c:ser>
        <c:ser>
          <c:idx val="23"/>
          <c:order val="23"/>
          <c:tx>
            <c:strRef>
              <c:f>'50..800_F'!$Y$3:$Y$4</c:f>
              <c:strCache>
                <c:ptCount val="1"/>
                <c:pt idx="0">
                  <c:v>C04</c:v>
                </c:pt>
              </c:strCache>
            </c:strRef>
          </c:tx>
          <c:spPr>
            <a:ln w="28575" cap="rnd">
              <a:solidFill>
                <a:schemeClr val="accent6">
                  <a:lumMod val="8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'50..800_F'!$Y$5:$Y$123</c:f>
              <c:numCache>
                <c:formatCode>General</c:formatCode>
                <c:ptCount val="118"/>
                <c:pt idx="0">
                  <c:v>148.41999999999999</c:v>
                </c:pt>
                <c:pt idx="1">
                  <c:v>150.22</c:v>
                </c:pt>
                <c:pt idx="2">
                  <c:v>152.65</c:v>
                </c:pt>
                <c:pt idx="3">
                  <c:v>155.32</c:v>
                </c:pt>
                <c:pt idx="4">
                  <c:v>158.15</c:v>
                </c:pt>
                <c:pt idx="5">
                  <c:v>161.16</c:v>
                </c:pt>
                <c:pt idx="6">
                  <c:v>164.34</c:v>
                </c:pt>
                <c:pt idx="7">
                  <c:v>167.72</c:v>
                </c:pt>
                <c:pt idx="8">
                  <c:v>171.3</c:v>
                </c:pt>
                <c:pt idx="9">
                  <c:v>175.08</c:v>
                </c:pt>
                <c:pt idx="10">
                  <c:v>179.1</c:v>
                </c:pt>
                <c:pt idx="11">
                  <c:v>183.35</c:v>
                </c:pt>
                <c:pt idx="12">
                  <c:v>187.85</c:v>
                </c:pt>
                <c:pt idx="13">
                  <c:v>192.61</c:v>
                </c:pt>
                <c:pt idx="14">
                  <c:v>197.66</c:v>
                </c:pt>
                <c:pt idx="15">
                  <c:v>202.99</c:v>
                </c:pt>
                <c:pt idx="16">
                  <c:v>208.63</c:v>
                </c:pt>
                <c:pt idx="17">
                  <c:v>214.6</c:v>
                </c:pt>
                <c:pt idx="18">
                  <c:v>220.9</c:v>
                </c:pt>
                <c:pt idx="19">
                  <c:v>227.55</c:v>
                </c:pt>
                <c:pt idx="20">
                  <c:v>234.58</c:v>
                </c:pt>
                <c:pt idx="21">
                  <c:v>241.98</c:v>
                </c:pt>
                <c:pt idx="22">
                  <c:v>249.79</c:v>
                </c:pt>
                <c:pt idx="23">
                  <c:v>258</c:v>
                </c:pt>
                <c:pt idx="24">
                  <c:v>266.64</c:v>
                </c:pt>
                <c:pt idx="25">
                  <c:v>275.72000000000003</c:v>
                </c:pt>
                <c:pt idx="26">
                  <c:v>285.24</c:v>
                </c:pt>
                <c:pt idx="27">
                  <c:v>295.20999999999998</c:v>
                </c:pt>
                <c:pt idx="28">
                  <c:v>305.63</c:v>
                </c:pt>
                <c:pt idx="29">
                  <c:v>316.51</c:v>
                </c:pt>
                <c:pt idx="30">
                  <c:v>327.85</c:v>
                </c:pt>
                <c:pt idx="31">
                  <c:v>339.63</c:v>
                </c:pt>
                <c:pt idx="32">
                  <c:v>351.86</c:v>
                </c:pt>
                <c:pt idx="33">
                  <c:v>364.52</c:v>
                </c:pt>
                <c:pt idx="34">
                  <c:v>377.6</c:v>
                </c:pt>
                <c:pt idx="35">
                  <c:v>391.07</c:v>
                </c:pt>
                <c:pt idx="36">
                  <c:v>404.93</c:v>
                </c:pt>
                <c:pt idx="37">
                  <c:v>419.14</c:v>
                </c:pt>
                <c:pt idx="38">
                  <c:v>433.7</c:v>
                </c:pt>
                <c:pt idx="39">
                  <c:v>448.58</c:v>
                </c:pt>
                <c:pt idx="40">
                  <c:v>463.76</c:v>
                </c:pt>
                <c:pt idx="41">
                  <c:v>479.25</c:v>
                </c:pt>
                <c:pt idx="42">
                  <c:v>495.03</c:v>
                </c:pt>
                <c:pt idx="43">
                  <c:v>511.11</c:v>
                </c:pt>
                <c:pt idx="44">
                  <c:v>527.51</c:v>
                </c:pt>
                <c:pt idx="45">
                  <c:v>544.26</c:v>
                </c:pt>
                <c:pt idx="46">
                  <c:v>561.41</c:v>
                </c:pt>
                <c:pt idx="47">
                  <c:v>579.04</c:v>
                </c:pt>
                <c:pt idx="48">
                  <c:v>597.26</c:v>
                </c:pt>
                <c:pt idx="49">
                  <c:v>616.21</c:v>
                </c:pt>
                <c:pt idx="50">
                  <c:v>636.1</c:v>
                </c:pt>
                <c:pt idx="51">
                  <c:v>657.2</c:v>
                </c:pt>
                <c:pt idx="52">
                  <c:v>679.87</c:v>
                </c:pt>
                <c:pt idx="53">
                  <c:v>704.55</c:v>
                </c:pt>
                <c:pt idx="54">
                  <c:v>731.8</c:v>
                </c:pt>
                <c:pt idx="55">
                  <c:v>762.26</c:v>
                </c:pt>
                <c:pt idx="56">
                  <c:v>796.66</c:v>
                </c:pt>
                <c:pt idx="57">
                  <c:v>835.79</c:v>
                </c:pt>
                <c:pt idx="58">
                  <c:v>880.41</c:v>
                </c:pt>
                <c:pt idx="59">
                  <c:v>931.25</c:v>
                </c:pt>
                <c:pt idx="60">
                  <c:v>988.89</c:v>
                </c:pt>
                <c:pt idx="61">
                  <c:v>1053.81</c:v>
                </c:pt>
                <c:pt idx="62">
                  <c:v>1126.3800000000001</c:v>
                </c:pt>
                <c:pt idx="63">
                  <c:v>1206.99</c:v>
                </c:pt>
                <c:pt idx="64">
                  <c:v>1296.1500000000001</c:v>
                </c:pt>
                <c:pt idx="65">
                  <c:v>1394.75</c:v>
                </c:pt>
                <c:pt idx="66">
                  <c:v>1504.22</c:v>
                </c:pt>
                <c:pt idx="67">
                  <c:v>1626.66</c:v>
                </c:pt>
                <c:pt idx="68">
                  <c:v>1764.79</c:v>
                </c:pt>
                <c:pt idx="69">
                  <c:v>1921.8</c:v>
                </c:pt>
                <c:pt idx="70">
                  <c:v>2101.14</c:v>
                </c:pt>
                <c:pt idx="71">
                  <c:v>2306.36</c:v>
                </c:pt>
                <c:pt idx="72">
                  <c:v>2541.59</c:v>
                </c:pt>
                <c:pt idx="73">
                  <c:v>2813.63</c:v>
                </c:pt>
                <c:pt idx="74">
                  <c:v>3137.28</c:v>
                </c:pt>
                <c:pt idx="75">
                  <c:v>3543.35</c:v>
                </c:pt>
                <c:pt idx="76">
                  <c:v>4068.95</c:v>
                </c:pt>
                <c:pt idx="77">
                  <c:v>4661.07</c:v>
                </c:pt>
                <c:pt idx="78">
                  <c:v>5142.22</c:v>
                </c:pt>
                <c:pt idx="79">
                  <c:v>5304.93</c:v>
                </c:pt>
                <c:pt idx="80">
                  <c:v>4997.4399999999996</c:v>
                </c:pt>
                <c:pt idx="81">
                  <c:v>4222.57</c:v>
                </c:pt>
                <c:pt idx="82">
                  <c:v>3176.93</c:v>
                </c:pt>
                <c:pt idx="83">
                  <c:v>2192.06</c:v>
                </c:pt>
                <c:pt idx="84">
                  <c:v>1479.21</c:v>
                </c:pt>
                <c:pt idx="85">
                  <c:v>1013.4</c:v>
                </c:pt>
                <c:pt idx="86">
                  <c:v>713.39</c:v>
                </c:pt>
                <c:pt idx="87">
                  <c:v>517.98</c:v>
                </c:pt>
                <c:pt idx="88">
                  <c:v>387.93</c:v>
                </c:pt>
                <c:pt idx="89">
                  <c:v>299.19</c:v>
                </c:pt>
                <c:pt idx="90">
                  <c:v>237.06</c:v>
                </c:pt>
                <c:pt idx="91">
                  <c:v>192.45</c:v>
                </c:pt>
                <c:pt idx="92">
                  <c:v>159.66</c:v>
                </c:pt>
                <c:pt idx="93">
                  <c:v>135.01</c:v>
                </c:pt>
                <c:pt idx="94">
                  <c:v>116.11</c:v>
                </c:pt>
                <c:pt idx="95">
                  <c:v>101.35</c:v>
                </c:pt>
                <c:pt idx="96">
                  <c:v>89.65</c:v>
                </c:pt>
                <c:pt idx="97">
                  <c:v>80.25</c:v>
                </c:pt>
                <c:pt idx="98">
                  <c:v>72.61</c:v>
                </c:pt>
                <c:pt idx="99">
                  <c:v>66.36</c:v>
                </c:pt>
                <c:pt idx="100">
                  <c:v>61.23</c:v>
                </c:pt>
                <c:pt idx="101">
                  <c:v>57</c:v>
                </c:pt>
                <c:pt idx="102">
                  <c:v>53.52</c:v>
                </c:pt>
                <c:pt idx="103">
                  <c:v>50.66</c:v>
                </c:pt>
                <c:pt idx="104">
                  <c:v>48.33</c:v>
                </c:pt>
                <c:pt idx="105">
                  <c:v>46.43</c:v>
                </c:pt>
                <c:pt idx="106">
                  <c:v>44.91</c:v>
                </c:pt>
                <c:pt idx="107">
                  <c:v>43.71</c:v>
                </c:pt>
                <c:pt idx="108">
                  <c:v>42.78</c:v>
                </c:pt>
                <c:pt idx="109">
                  <c:v>42.09</c:v>
                </c:pt>
                <c:pt idx="110">
                  <c:v>41.6</c:v>
                </c:pt>
                <c:pt idx="111">
                  <c:v>41.3</c:v>
                </c:pt>
                <c:pt idx="112">
                  <c:v>41.15</c:v>
                </c:pt>
                <c:pt idx="113">
                  <c:v>41.15</c:v>
                </c:pt>
                <c:pt idx="114">
                  <c:v>41.28</c:v>
                </c:pt>
                <c:pt idx="115">
                  <c:v>41.52</c:v>
                </c:pt>
                <c:pt idx="116">
                  <c:v>41.85</c:v>
                </c:pt>
                <c:pt idx="117">
                  <c:v>42.16</c:v>
                </c:pt>
              </c:numCache>
            </c:numRef>
          </c:val>
          <c:smooth val="0"/>
          <c:extLst>
            <c:ext xmlns:c16="http://schemas.microsoft.com/office/drawing/2014/chart" uri="{C3380CC4-5D6E-409C-BE32-E72D297353CC}">
              <c16:uniqueId val="{00000018-9A1C-40BE-9AAC-3242D8215002}"/>
            </c:ext>
          </c:extLst>
        </c:ser>
        <c:ser>
          <c:idx val="24"/>
          <c:order val="24"/>
          <c:tx>
            <c:strRef>
              <c:f>'50..800_F'!$Z$3:$Z$4</c:f>
              <c:strCache>
                <c:ptCount val="1"/>
                <c:pt idx="0">
                  <c:v>C05</c:v>
                </c:pt>
              </c:strCache>
            </c:strRef>
          </c:tx>
          <c:spPr>
            <a:ln w="28575" cap="rnd">
              <a:solidFill>
                <a:schemeClr val="accent1">
                  <a:lumMod val="60000"/>
                  <a:lumOff val="4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'50..800_F'!$Z$5:$Z$123</c:f>
              <c:numCache>
                <c:formatCode>General</c:formatCode>
                <c:ptCount val="118"/>
                <c:pt idx="0">
                  <c:v>219.54</c:v>
                </c:pt>
                <c:pt idx="1">
                  <c:v>221.83</c:v>
                </c:pt>
                <c:pt idx="2">
                  <c:v>224.82</c:v>
                </c:pt>
                <c:pt idx="3">
                  <c:v>228.07</c:v>
                </c:pt>
                <c:pt idx="4">
                  <c:v>231.48</c:v>
                </c:pt>
                <c:pt idx="5">
                  <c:v>235.06</c:v>
                </c:pt>
                <c:pt idx="6">
                  <c:v>238.82</c:v>
                </c:pt>
                <c:pt idx="7">
                  <c:v>242.78</c:v>
                </c:pt>
                <c:pt idx="8">
                  <c:v>246.93</c:v>
                </c:pt>
                <c:pt idx="9">
                  <c:v>251.28</c:v>
                </c:pt>
                <c:pt idx="10">
                  <c:v>255.86</c:v>
                </c:pt>
                <c:pt idx="11">
                  <c:v>260.67</c:v>
                </c:pt>
                <c:pt idx="12">
                  <c:v>265.70999999999998</c:v>
                </c:pt>
                <c:pt idx="13">
                  <c:v>271</c:v>
                </c:pt>
                <c:pt idx="14">
                  <c:v>276.55</c:v>
                </c:pt>
                <c:pt idx="15">
                  <c:v>282.37</c:v>
                </c:pt>
                <c:pt idx="16">
                  <c:v>288.45999999999998</c:v>
                </c:pt>
                <c:pt idx="17">
                  <c:v>294.83999999999997</c:v>
                </c:pt>
                <c:pt idx="18">
                  <c:v>301.51</c:v>
                </c:pt>
                <c:pt idx="19">
                  <c:v>308.48</c:v>
                </c:pt>
                <c:pt idx="20">
                  <c:v>315.76</c:v>
                </c:pt>
                <c:pt idx="21">
                  <c:v>323.33999999999997</c:v>
                </c:pt>
                <c:pt idx="22">
                  <c:v>331.23</c:v>
                </c:pt>
                <c:pt idx="23">
                  <c:v>339.42</c:v>
                </c:pt>
                <c:pt idx="24">
                  <c:v>347.92</c:v>
                </c:pt>
                <c:pt idx="25">
                  <c:v>356.7</c:v>
                </c:pt>
                <c:pt idx="26">
                  <c:v>365.76</c:v>
                </c:pt>
                <c:pt idx="27">
                  <c:v>375.08</c:v>
                </c:pt>
                <c:pt idx="28">
                  <c:v>384.63</c:v>
                </c:pt>
                <c:pt idx="29">
                  <c:v>394.39</c:v>
                </c:pt>
                <c:pt idx="30">
                  <c:v>404.33</c:v>
                </c:pt>
                <c:pt idx="31">
                  <c:v>414.4</c:v>
                </c:pt>
                <c:pt idx="32">
                  <c:v>424.57</c:v>
                </c:pt>
                <c:pt idx="33">
                  <c:v>434.78</c:v>
                </c:pt>
                <c:pt idx="34">
                  <c:v>445</c:v>
                </c:pt>
                <c:pt idx="35">
                  <c:v>455.18</c:v>
                </c:pt>
                <c:pt idx="36">
                  <c:v>465.27</c:v>
                </c:pt>
                <c:pt idx="37">
                  <c:v>475.22</c:v>
                </c:pt>
                <c:pt idx="38">
                  <c:v>485.01</c:v>
                </c:pt>
                <c:pt idx="39">
                  <c:v>494.61</c:v>
                </c:pt>
                <c:pt idx="40">
                  <c:v>504.01</c:v>
                </c:pt>
                <c:pt idx="41">
                  <c:v>513.21</c:v>
                </c:pt>
                <c:pt idx="42">
                  <c:v>522.24</c:v>
                </c:pt>
                <c:pt idx="43">
                  <c:v>531.14</c:v>
                </c:pt>
                <c:pt idx="44">
                  <c:v>539.97</c:v>
                </c:pt>
                <c:pt idx="45">
                  <c:v>548.84</c:v>
                </c:pt>
                <c:pt idx="46">
                  <c:v>557.85</c:v>
                </c:pt>
                <c:pt idx="47">
                  <c:v>567.17999999999995</c:v>
                </c:pt>
                <c:pt idx="48">
                  <c:v>577</c:v>
                </c:pt>
                <c:pt idx="49">
                  <c:v>587.54</c:v>
                </c:pt>
                <c:pt idx="50">
                  <c:v>599.09</c:v>
                </c:pt>
                <c:pt idx="51">
                  <c:v>611.97</c:v>
                </c:pt>
                <c:pt idx="52">
                  <c:v>626.54999999999995</c:v>
                </c:pt>
                <c:pt idx="53">
                  <c:v>643.28</c:v>
                </c:pt>
                <c:pt idx="54">
                  <c:v>662.67</c:v>
                </c:pt>
                <c:pt idx="55">
                  <c:v>685.26</c:v>
                </c:pt>
                <c:pt idx="56">
                  <c:v>711.69</c:v>
                </c:pt>
                <c:pt idx="57">
                  <c:v>742.64</c:v>
                </c:pt>
                <c:pt idx="58">
                  <c:v>778.82</c:v>
                </c:pt>
                <c:pt idx="59">
                  <c:v>820.96</c:v>
                </c:pt>
                <c:pt idx="60">
                  <c:v>869.81</c:v>
                </c:pt>
                <c:pt idx="61">
                  <c:v>926.05</c:v>
                </c:pt>
                <c:pt idx="62">
                  <c:v>990.33</c:v>
                </c:pt>
                <c:pt idx="63">
                  <c:v>1063.23</c:v>
                </c:pt>
                <c:pt idx="64">
                  <c:v>1145.25</c:v>
                </c:pt>
                <c:pt idx="65">
                  <c:v>1236.93</c:v>
                </c:pt>
                <c:pt idx="66">
                  <c:v>1338.89</c:v>
                </c:pt>
                <c:pt idx="67">
                  <c:v>1452.12</c:v>
                </c:pt>
                <c:pt idx="68">
                  <c:v>1578.13</c:v>
                </c:pt>
                <c:pt idx="69">
                  <c:v>1719.11</c:v>
                </c:pt>
                <c:pt idx="70">
                  <c:v>1877.83</c:v>
                </c:pt>
                <c:pt idx="71">
                  <c:v>2057.34</c:v>
                </c:pt>
                <c:pt idx="72">
                  <c:v>2260.89</c:v>
                </c:pt>
                <c:pt idx="73">
                  <c:v>2493.31</c:v>
                </c:pt>
                <c:pt idx="74">
                  <c:v>2765.38</c:v>
                </c:pt>
                <c:pt idx="75">
                  <c:v>3101.41</c:v>
                </c:pt>
                <c:pt idx="76">
                  <c:v>3540.75</c:v>
                </c:pt>
                <c:pt idx="77">
                  <c:v>4071.82</c:v>
                </c:pt>
                <c:pt idx="78">
                  <c:v>4551.6499999999996</c:v>
                </c:pt>
                <c:pt idx="79">
                  <c:v>4785.42</c:v>
                </c:pt>
                <c:pt idx="80">
                  <c:v>4614.21</c:v>
                </c:pt>
                <c:pt idx="81">
                  <c:v>4003.6</c:v>
                </c:pt>
                <c:pt idx="82">
                  <c:v>3091.36</c:v>
                </c:pt>
                <c:pt idx="83">
                  <c:v>2158.34</c:v>
                </c:pt>
                <c:pt idx="84">
                  <c:v>1449.85</c:v>
                </c:pt>
                <c:pt idx="85">
                  <c:v>983.65</c:v>
                </c:pt>
                <c:pt idx="86">
                  <c:v>684.89</c:v>
                </c:pt>
                <c:pt idx="87">
                  <c:v>491.84</c:v>
                </c:pt>
                <c:pt idx="88">
                  <c:v>364.54</c:v>
                </c:pt>
                <c:pt idx="89">
                  <c:v>278.52</c:v>
                </c:pt>
                <c:pt idx="90">
                  <c:v>218.94</c:v>
                </c:pt>
                <c:pt idx="91">
                  <c:v>176.65</c:v>
                </c:pt>
                <c:pt idx="92">
                  <c:v>145.94</c:v>
                </c:pt>
                <c:pt idx="93">
                  <c:v>123.13</c:v>
                </c:pt>
                <c:pt idx="94">
                  <c:v>105.81</c:v>
                </c:pt>
                <c:pt idx="95">
                  <c:v>92.39</c:v>
                </c:pt>
                <c:pt idx="96">
                  <c:v>81.81</c:v>
                </c:pt>
                <c:pt idx="97">
                  <c:v>73.33</c:v>
                </c:pt>
                <c:pt idx="98">
                  <c:v>66.44</c:v>
                </c:pt>
                <c:pt idx="99">
                  <c:v>60.81</c:v>
                </c:pt>
                <c:pt idx="100">
                  <c:v>56.18</c:v>
                </c:pt>
                <c:pt idx="101">
                  <c:v>52.36</c:v>
                </c:pt>
                <c:pt idx="102">
                  <c:v>49.23</c:v>
                </c:pt>
                <c:pt idx="103">
                  <c:v>46.66</c:v>
                </c:pt>
                <c:pt idx="104">
                  <c:v>44.57</c:v>
                </c:pt>
                <c:pt idx="105">
                  <c:v>42.89</c:v>
                </c:pt>
                <c:pt idx="106">
                  <c:v>41.55</c:v>
                </c:pt>
                <c:pt idx="107">
                  <c:v>40.5</c:v>
                </c:pt>
                <c:pt idx="108">
                  <c:v>39.700000000000003</c:v>
                </c:pt>
                <c:pt idx="109">
                  <c:v>39.119999999999997</c:v>
                </c:pt>
                <c:pt idx="110">
                  <c:v>38.729999999999997</c:v>
                </c:pt>
                <c:pt idx="111">
                  <c:v>38.49</c:v>
                </c:pt>
                <c:pt idx="112">
                  <c:v>38.409999999999997</c:v>
                </c:pt>
                <c:pt idx="113">
                  <c:v>38.450000000000003</c:v>
                </c:pt>
                <c:pt idx="114">
                  <c:v>38.6</c:v>
                </c:pt>
                <c:pt idx="115">
                  <c:v>38.86</c:v>
                </c:pt>
                <c:pt idx="116">
                  <c:v>39.200000000000003</c:v>
                </c:pt>
                <c:pt idx="117">
                  <c:v>39.5</c:v>
                </c:pt>
              </c:numCache>
            </c:numRef>
          </c:val>
          <c:smooth val="0"/>
          <c:extLst>
            <c:ext xmlns:c16="http://schemas.microsoft.com/office/drawing/2014/chart" uri="{C3380CC4-5D6E-409C-BE32-E72D297353CC}">
              <c16:uniqueId val="{00000019-9A1C-40BE-9AAC-3242D8215002}"/>
            </c:ext>
          </c:extLst>
        </c:ser>
        <c:ser>
          <c:idx val="25"/>
          <c:order val="25"/>
          <c:tx>
            <c:strRef>
              <c:f>'50..800_F'!$AA$3:$AA$4</c:f>
              <c:strCache>
                <c:ptCount val="1"/>
                <c:pt idx="0">
                  <c:v>C06</c:v>
                </c:pt>
              </c:strCache>
            </c:strRef>
          </c:tx>
          <c:spPr>
            <a:ln w="28575" cap="rnd">
              <a:solidFill>
                <a:schemeClr val="accent2">
                  <a:lumMod val="60000"/>
                  <a:lumOff val="4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'50..800_F'!$AA$5:$AA$123</c:f>
              <c:numCache>
                <c:formatCode>General</c:formatCode>
                <c:ptCount val="118"/>
                <c:pt idx="0">
                  <c:v>300.91000000000003</c:v>
                </c:pt>
                <c:pt idx="1">
                  <c:v>303.72000000000003</c:v>
                </c:pt>
                <c:pt idx="2">
                  <c:v>307.29000000000002</c:v>
                </c:pt>
                <c:pt idx="3">
                  <c:v>311.13</c:v>
                </c:pt>
                <c:pt idx="4">
                  <c:v>315.14999999999998</c:v>
                </c:pt>
                <c:pt idx="5">
                  <c:v>319.33999999999997</c:v>
                </c:pt>
                <c:pt idx="6">
                  <c:v>323.70999999999998</c:v>
                </c:pt>
                <c:pt idx="7">
                  <c:v>328.28</c:v>
                </c:pt>
                <c:pt idx="8">
                  <c:v>333.05</c:v>
                </c:pt>
                <c:pt idx="9">
                  <c:v>338.02</c:v>
                </c:pt>
                <c:pt idx="10">
                  <c:v>343.21</c:v>
                </c:pt>
                <c:pt idx="11">
                  <c:v>348.63</c:v>
                </c:pt>
                <c:pt idx="12">
                  <c:v>354.28</c:v>
                </c:pt>
                <c:pt idx="13">
                  <c:v>360.18</c:v>
                </c:pt>
                <c:pt idx="14">
                  <c:v>366.32</c:v>
                </c:pt>
                <c:pt idx="15">
                  <c:v>372.71</c:v>
                </c:pt>
                <c:pt idx="16">
                  <c:v>379.37</c:v>
                </c:pt>
                <c:pt idx="17">
                  <c:v>386.29</c:v>
                </c:pt>
                <c:pt idx="18">
                  <c:v>393.48</c:v>
                </c:pt>
                <c:pt idx="19">
                  <c:v>400.94</c:v>
                </c:pt>
                <c:pt idx="20">
                  <c:v>408.67</c:v>
                </c:pt>
                <c:pt idx="21">
                  <c:v>416.67</c:v>
                </c:pt>
                <c:pt idx="22">
                  <c:v>424.92</c:v>
                </c:pt>
                <c:pt idx="23">
                  <c:v>433.44</c:v>
                </c:pt>
                <c:pt idx="24">
                  <c:v>442.19</c:v>
                </c:pt>
                <c:pt idx="25">
                  <c:v>451.17</c:v>
                </c:pt>
                <c:pt idx="26">
                  <c:v>460.35</c:v>
                </c:pt>
                <c:pt idx="27">
                  <c:v>469.71</c:v>
                </c:pt>
                <c:pt idx="28">
                  <c:v>479.24</c:v>
                </c:pt>
                <c:pt idx="29">
                  <c:v>488.88</c:v>
                </c:pt>
                <c:pt idx="30">
                  <c:v>498.61</c:v>
                </c:pt>
                <c:pt idx="31">
                  <c:v>508.39</c:v>
                </c:pt>
                <c:pt idx="32">
                  <c:v>518.17999999999995</c:v>
                </c:pt>
                <c:pt idx="33">
                  <c:v>527.92999999999995</c:v>
                </c:pt>
                <c:pt idx="34">
                  <c:v>537.62</c:v>
                </c:pt>
                <c:pt idx="35">
                  <c:v>547.19000000000005</c:v>
                </c:pt>
                <c:pt idx="36">
                  <c:v>556.62</c:v>
                </c:pt>
                <c:pt idx="37">
                  <c:v>565.89</c:v>
                </c:pt>
                <c:pt idx="38">
                  <c:v>574.99</c:v>
                </c:pt>
                <c:pt idx="39">
                  <c:v>583.9</c:v>
                </c:pt>
                <c:pt idx="40">
                  <c:v>592.64</c:v>
                </c:pt>
                <c:pt idx="41">
                  <c:v>601.25</c:v>
                </c:pt>
                <c:pt idx="42">
                  <c:v>609.78</c:v>
                </c:pt>
                <c:pt idx="43">
                  <c:v>618.29</c:v>
                </c:pt>
                <c:pt idx="44">
                  <c:v>626.89</c:v>
                </c:pt>
                <c:pt idx="45">
                  <c:v>635.70000000000005</c:v>
                </c:pt>
                <c:pt idx="46">
                  <c:v>644.87</c:v>
                </c:pt>
                <c:pt idx="47">
                  <c:v>654.59</c:v>
                </c:pt>
                <c:pt idx="48">
                  <c:v>665.08</c:v>
                </c:pt>
                <c:pt idx="49">
                  <c:v>676.59</c:v>
                </c:pt>
                <c:pt idx="50">
                  <c:v>689.44</c:v>
                </c:pt>
                <c:pt idx="51">
                  <c:v>703.97</c:v>
                </c:pt>
                <c:pt idx="52">
                  <c:v>720.56</c:v>
                </c:pt>
                <c:pt idx="53">
                  <c:v>739.66</c:v>
                </c:pt>
                <c:pt idx="54">
                  <c:v>761.76</c:v>
                </c:pt>
                <c:pt idx="55">
                  <c:v>787.38</c:v>
                </c:pt>
                <c:pt idx="56">
                  <c:v>817.09</c:v>
                </c:pt>
                <c:pt idx="57">
                  <c:v>851.5</c:v>
                </c:pt>
                <c:pt idx="58">
                  <c:v>891.24</c:v>
                </c:pt>
                <c:pt idx="59">
                  <c:v>936.94</c:v>
                </c:pt>
                <c:pt idx="60">
                  <c:v>989.22</c:v>
                </c:pt>
                <c:pt idx="61">
                  <c:v>1048.7</c:v>
                </c:pt>
                <c:pt idx="62">
                  <c:v>1115.98</c:v>
                </c:pt>
                <c:pt idx="63">
                  <c:v>1191.6600000000001</c:v>
                </c:pt>
                <c:pt idx="64">
                  <c:v>1276.4000000000001</c:v>
                </c:pt>
                <c:pt idx="65">
                  <c:v>1371.02</c:v>
                </c:pt>
                <c:pt idx="66">
                  <c:v>1476.67</c:v>
                </c:pt>
                <c:pt idx="67">
                  <c:v>1594.95</c:v>
                </c:pt>
                <c:pt idx="68">
                  <c:v>1728.06</c:v>
                </c:pt>
                <c:pt idx="69">
                  <c:v>1878.78</c:v>
                </c:pt>
                <c:pt idx="70">
                  <c:v>2050.2199999999998</c:v>
                </c:pt>
                <c:pt idx="71">
                  <c:v>2245.48</c:v>
                </c:pt>
                <c:pt idx="72">
                  <c:v>2467.7600000000002</c:v>
                </c:pt>
                <c:pt idx="73">
                  <c:v>2722.07</c:v>
                </c:pt>
                <c:pt idx="74">
                  <c:v>3020.61</c:v>
                </c:pt>
                <c:pt idx="75">
                  <c:v>3393.24</c:v>
                </c:pt>
                <c:pt idx="76">
                  <c:v>3888.12</c:v>
                </c:pt>
                <c:pt idx="77">
                  <c:v>4476.1899999999996</c:v>
                </c:pt>
                <c:pt idx="78">
                  <c:v>4996.87</c:v>
                </c:pt>
                <c:pt idx="79">
                  <c:v>5245.22</c:v>
                </c:pt>
                <c:pt idx="80">
                  <c:v>5050.09</c:v>
                </c:pt>
                <c:pt idx="81">
                  <c:v>4376.12</c:v>
                </c:pt>
                <c:pt idx="82">
                  <c:v>3381.24</c:v>
                </c:pt>
                <c:pt idx="83">
                  <c:v>2382.89</c:v>
                </c:pt>
                <c:pt idx="84">
                  <c:v>1626.96</c:v>
                </c:pt>
                <c:pt idx="85">
                  <c:v>1121.23</c:v>
                </c:pt>
                <c:pt idx="86">
                  <c:v>791.05</c:v>
                </c:pt>
                <c:pt idx="87">
                  <c:v>574.15</c:v>
                </c:pt>
                <c:pt idx="88">
                  <c:v>429.06</c:v>
                </c:pt>
                <c:pt idx="89">
                  <c:v>329.75</c:v>
                </c:pt>
                <c:pt idx="90">
                  <c:v>260.12</c:v>
                </c:pt>
                <c:pt idx="91">
                  <c:v>210.12</c:v>
                </c:pt>
                <c:pt idx="92">
                  <c:v>173.43</c:v>
                </c:pt>
                <c:pt idx="93">
                  <c:v>145.93</c:v>
                </c:pt>
                <c:pt idx="94">
                  <c:v>124.93</c:v>
                </c:pt>
                <c:pt idx="95">
                  <c:v>108.6</c:v>
                </c:pt>
                <c:pt idx="96">
                  <c:v>95.68</c:v>
                </c:pt>
                <c:pt idx="97">
                  <c:v>85.33</c:v>
                </c:pt>
                <c:pt idx="98">
                  <c:v>76.94</c:v>
                </c:pt>
                <c:pt idx="99">
                  <c:v>70.08</c:v>
                </c:pt>
                <c:pt idx="100">
                  <c:v>64.45</c:v>
                </c:pt>
                <c:pt idx="101">
                  <c:v>59.83</c:v>
                </c:pt>
                <c:pt idx="102">
                  <c:v>56.03</c:v>
                </c:pt>
                <c:pt idx="103">
                  <c:v>52.94</c:v>
                </c:pt>
                <c:pt idx="104">
                  <c:v>50.42</c:v>
                </c:pt>
                <c:pt idx="105">
                  <c:v>48.4</c:v>
                </c:pt>
                <c:pt idx="106">
                  <c:v>46.78</c:v>
                </c:pt>
                <c:pt idx="107">
                  <c:v>45.52</c:v>
                </c:pt>
                <c:pt idx="108">
                  <c:v>44.56</c:v>
                </c:pt>
                <c:pt idx="109">
                  <c:v>43.85</c:v>
                </c:pt>
                <c:pt idx="110">
                  <c:v>43.37</c:v>
                </c:pt>
                <c:pt idx="111">
                  <c:v>43.07</c:v>
                </c:pt>
                <c:pt idx="112">
                  <c:v>42.95</c:v>
                </c:pt>
                <c:pt idx="113">
                  <c:v>42.97</c:v>
                </c:pt>
                <c:pt idx="114">
                  <c:v>43.12</c:v>
                </c:pt>
                <c:pt idx="115">
                  <c:v>43.4</c:v>
                </c:pt>
                <c:pt idx="116">
                  <c:v>43.77</c:v>
                </c:pt>
                <c:pt idx="117">
                  <c:v>44.1</c:v>
                </c:pt>
              </c:numCache>
            </c:numRef>
          </c:val>
          <c:smooth val="0"/>
          <c:extLst>
            <c:ext xmlns:c16="http://schemas.microsoft.com/office/drawing/2014/chart" uri="{C3380CC4-5D6E-409C-BE32-E72D297353CC}">
              <c16:uniqueId val="{0000001A-9A1C-40BE-9AAC-3242D8215002}"/>
            </c:ext>
          </c:extLst>
        </c:ser>
        <c:ser>
          <c:idx val="26"/>
          <c:order val="26"/>
          <c:tx>
            <c:strRef>
              <c:f>'50..800_F'!$AB$3:$AB$4</c:f>
              <c:strCache>
                <c:ptCount val="1"/>
                <c:pt idx="0">
                  <c:v>C07</c:v>
                </c:pt>
              </c:strCache>
            </c:strRef>
          </c:tx>
          <c:spPr>
            <a:ln w="28575" cap="rnd">
              <a:solidFill>
                <a:schemeClr val="accent3">
                  <a:lumMod val="60000"/>
                  <a:lumOff val="4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'50..800_F'!$AB$5:$AB$123</c:f>
              <c:numCache>
                <c:formatCode>General</c:formatCode>
                <c:ptCount val="118"/>
                <c:pt idx="0">
                  <c:v>269.08999999999997</c:v>
                </c:pt>
                <c:pt idx="1">
                  <c:v>271.68</c:v>
                </c:pt>
                <c:pt idx="2">
                  <c:v>275</c:v>
                </c:pt>
                <c:pt idx="3">
                  <c:v>278.58999999999997</c:v>
                </c:pt>
                <c:pt idx="4">
                  <c:v>282.33999999999997</c:v>
                </c:pt>
                <c:pt idx="5">
                  <c:v>286.27</c:v>
                </c:pt>
                <c:pt idx="6">
                  <c:v>290.38</c:v>
                </c:pt>
                <c:pt idx="7">
                  <c:v>294.68</c:v>
                </c:pt>
                <c:pt idx="8">
                  <c:v>299.18</c:v>
                </c:pt>
                <c:pt idx="9">
                  <c:v>303.89</c:v>
                </c:pt>
                <c:pt idx="10">
                  <c:v>308.82</c:v>
                </c:pt>
                <c:pt idx="11">
                  <c:v>313.98</c:v>
                </c:pt>
                <c:pt idx="12">
                  <c:v>319.37</c:v>
                </c:pt>
                <c:pt idx="13">
                  <c:v>325.01</c:v>
                </c:pt>
                <c:pt idx="14">
                  <c:v>330.9</c:v>
                </c:pt>
                <c:pt idx="15">
                  <c:v>337.06</c:v>
                </c:pt>
                <c:pt idx="16">
                  <c:v>343.49</c:v>
                </c:pt>
                <c:pt idx="17">
                  <c:v>350.19</c:v>
                </c:pt>
                <c:pt idx="18">
                  <c:v>357.19</c:v>
                </c:pt>
                <c:pt idx="19">
                  <c:v>364.47</c:v>
                </c:pt>
                <c:pt idx="20">
                  <c:v>372.04</c:v>
                </c:pt>
                <c:pt idx="21">
                  <c:v>379.91</c:v>
                </c:pt>
                <c:pt idx="22">
                  <c:v>388.07</c:v>
                </c:pt>
                <c:pt idx="23">
                  <c:v>396.52</c:v>
                </c:pt>
                <c:pt idx="24">
                  <c:v>405.25</c:v>
                </c:pt>
                <c:pt idx="25">
                  <c:v>414.26</c:v>
                </c:pt>
                <c:pt idx="26">
                  <c:v>423.52</c:v>
                </c:pt>
                <c:pt idx="27">
                  <c:v>433.01</c:v>
                </c:pt>
                <c:pt idx="28">
                  <c:v>442.72</c:v>
                </c:pt>
                <c:pt idx="29">
                  <c:v>452.62</c:v>
                </c:pt>
                <c:pt idx="30">
                  <c:v>462.66</c:v>
                </c:pt>
                <c:pt idx="31">
                  <c:v>472.83</c:v>
                </c:pt>
                <c:pt idx="32">
                  <c:v>483.08</c:v>
                </c:pt>
                <c:pt idx="33">
                  <c:v>493.36</c:v>
                </c:pt>
                <c:pt idx="34">
                  <c:v>503.64</c:v>
                </c:pt>
                <c:pt idx="35">
                  <c:v>513.87</c:v>
                </c:pt>
                <c:pt idx="36">
                  <c:v>524.02</c:v>
                </c:pt>
                <c:pt idx="37">
                  <c:v>534.04</c:v>
                </c:pt>
                <c:pt idx="38">
                  <c:v>543.91</c:v>
                </c:pt>
                <c:pt idx="39">
                  <c:v>553.63</c:v>
                </c:pt>
                <c:pt idx="40">
                  <c:v>563.16999999999996</c:v>
                </c:pt>
                <c:pt idx="41">
                  <c:v>572.54999999999995</c:v>
                </c:pt>
                <c:pt idx="42">
                  <c:v>581.79999999999995</c:v>
                </c:pt>
                <c:pt idx="43">
                  <c:v>590.97</c:v>
                </c:pt>
                <c:pt idx="44">
                  <c:v>600.14</c:v>
                </c:pt>
                <c:pt idx="45">
                  <c:v>609.38</c:v>
                </c:pt>
                <c:pt idx="46">
                  <c:v>618.83000000000004</c:v>
                </c:pt>
                <c:pt idx="47">
                  <c:v>628.64</c:v>
                </c:pt>
                <c:pt idx="48">
                  <c:v>638.98</c:v>
                </c:pt>
                <c:pt idx="49">
                  <c:v>650.07000000000005</c:v>
                </c:pt>
                <c:pt idx="50">
                  <c:v>662.14</c:v>
                </c:pt>
                <c:pt idx="51">
                  <c:v>675.47</c:v>
                </c:pt>
                <c:pt idx="52">
                  <c:v>690.38</c:v>
                </c:pt>
                <c:pt idx="53">
                  <c:v>707.2</c:v>
                </c:pt>
                <c:pt idx="54">
                  <c:v>726.33</c:v>
                </c:pt>
                <c:pt idx="55">
                  <c:v>748.2</c:v>
                </c:pt>
                <c:pt idx="56">
                  <c:v>773.32</c:v>
                </c:pt>
                <c:pt idx="57">
                  <c:v>802.23</c:v>
                </c:pt>
                <c:pt idx="58">
                  <c:v>835.58</c:v>
                </c:pt>
                <c:pt idx="59">
                  <c:v>874.09</c:v>
                </c:pt>
                <c:pt idx="60">
                  <c:v>918.59</c:v>
                </c:pt>
                <c:pt idx="61">
                  <c:v>970.07</c:v>
                </c:pt>
                <c:pt idx="62">
                  <c:v>1029.6300000000001</c:v>
                </c:pt>
                <c:pt idx="63">
                  <c:v>1098.58</c:v>
                </c:pt>
                <c:pt idx="64">
                  <c:v>1178.3900000000001</c:v>
                </c:pt>
                <c:pt idx="65">
                  <c:v>1270.67</c:v>
                </c:pt>
                <c:pt idx="66">
                  <c:v>1377.11</c:v>
                </c:pt>
                <c:pt idx="67">
                  <c:v>1499.32</c:v>
                </c:pt>
                <c:pt idx="68">
                  <c:v>1638.76</c:v>
                </c:pt>
                <c:pt idx="69">
                  <c:v>1796.69</c:v>
                </c:pt>
                <c:pt idx="70">
                  <c:v>1974.32</c:v>
                </c:pt>
                <c:pt idx="71">
                  <c:v>2173.0100000000002</c:v>
                </c:pt>
                <c:pt idx="72">
                  <c:v>2394.7600000000002</c:v>
                </c:pt>
                <c:pt idx="73">
                  <c:v>2644.06</c:v>
                </c:pt>
                <c:pt idx="74">
                  <c:v>2933.21</c:v>
                </c:pt>
                <c:pt idx="75">
                  <c:v>3291.47</c:v>
                </c:pt>
                <c:pt idx="76">
                  <c:v>3761.28</c:v>
                </c:pt>
                <c:pt idx="77">
                  <c:v>4306.2</c:v>
                </c:pt>
                <c:pt idx="78">
                  <c:v>4768.05</c:v>
                </c:pt>
                <c:pt idx="79">
                  <c:v>4954.04</c:v>
                </c:pt>
                <c:pt idx="80">
                  <c:v>4713.43</c:v>
                </c:pt>
                <c:pt idx="81">
                  <c:v>4030.74</c:v>
                </c:pt>
                <c:pt idx="82">
                  <c:v>3071.37</c:v>
                </c:pt>
                <c:pt idx="83">
                  <c:v>2139.61</c:v>
                </c:pt>
                <c:pt idx="84">
                  <c:v>1450.27</c:v>
                </c:pt>
                <c:pt idx="85">
                  <c:v>994.89</c:v>
                </c:pt>
                <c:pt idx="86">
                  <c:v>699.8</c:v>
                </c:pt>
                <c:pt idx="87">
                  <c:v>506.84</c:v>
                </c:pt>
                <c:pt idx="88">
                  <c:v>378.19</c:v>
                </c:pt>
                <c:pt idx="89">
                  <c:v>290.39</c:v>
                </c:pt>
                <c:pt idx="90">
                  <c:v>228.99</c:v>
                </c:pt>
                <c:pt idx="91">
                  <c:v>184.98</c:v>
                </c:pt>
                <c:pt idx="92">
                  <c:v>152.66</c:v>
                </c:pt>
                <c:pt idx="93">
                  <c:v>128.38</c:v>
                </c:pt>
                <c:pt idx="94">
                  <c:v>109.72</c:v>
                </c:pt>
                <c:pt idx="95">
                  <c:v>95.12</c:v>
                </c:pt>
                <c:pt idx="96">
                  <c:v>83.49</c:v>
                </c:pt>
                <c:pt idx="97">
                  <c:v>74.11</c:v>
                </c:pt>
                <c:pt idx="98">
                  <c:v>66.459999999999994</c:v>
                </c:pt>
                <c:pt idx="99">
                  <c:v>60.19</c:v>
                </c:pt>
                <c:pt idx="100">
                  <c:v>55.04</c:v>
                </c:pt>
                <c:pt idx="101">
                  <c:v>50.8</c:v>
                </c:pt>
                <c:pt idx="102">
                  <c:v>47.33</c:v>
                </c:pt>
                <c:pt idx="103">
                  <c:v>44.51</c:v>
                </c:pt>
                <c:pt idx="104">
                  <c:v>42.22</c:v>
                </c:pt>
                <c:pt idx="105">
                  <c:v>40.380000000000003</c:v>
                </c:pt>
                <c:pt idx="106">
                  <c:v>38.93</c:v>
                </c:pt>
                <c:pt idx="107">
                  <c:v>37.799999999999997</c:v>
                </c:pt>
                <c:pt idx="108">
                  <c:v>36.950000000000003</c:v>
                </c:pt>
                <c:pt idx="109">
                  <c:v>36.340000000000003</c:v>
                </c:pt>
                <c:pt idx="110">
                  <c:v>35.92</c:v>
                </c:pt>
                <c:pt idx="111">
                  <c:v>35.68</c:v>
                </c:pt>
                <c:pt idx="112">
                  <c:v>35.6</c:v>
                </c:pt>
                <c:pt idx="113">
                  <c:v>35.65</c:v>
                </c:pt>
                <c:pt idx="114">
                  <c:v>35.82</c:v>
                </c:pt>
                <c:pt idx="115">
                  <c:v>36.1</c:v>
                </c:pt>
                <c:pt idx="116">
                  <c:v>36.46</c:v>
                </c:pt>
                <c:pt idx="117">
                  <c:v>36.78</c:v>
                </c:pt>
              </c:numCache>
            </c:numRef>
          </c:val>
          <c:smooth val="0"/>
          <c:extLst>
            <c:ext xmlns:c16="http://schemas.microsoft.com/office/drawing/2014/chart" uri="{C3380CC4-5D6E-409C-BE32-E72D297353CC}">
              <c16:uniqueId val="{0000001B-9A1C-40BE-9AAC-3242D8215002}"/>
            </c:ext>
          </c:extLst>
        </c:ser>
        <c:ser>
          <c:idx val="27"/>
          <c:order val="27"/>
          <c:tx>
            <c:strRef>
              <c:f>'50..800_F'!$AC$3:$AC$4</c:f>
              <c:strCache>
                <c:ptCount val="1"/>
                <c:pt idx="0">
                  <c:v>C08</c:v>
                </c:pt>
              </c:strCache>
            </c:strRef>
          </c:tx>
          <c:spPr>
            <a:ln w="28575" cap="rnd">
              <a:solidFill>
                <a:schemeClr val="accent4">
                  <a:lumMod val="60000"/>
                  <a:lumOff val="4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'50..800_F'!$AC$5:$AC$123</c:f>
              <c:numCache>
                <c:formatCode>General</c:formatCode>
                <c:ptCount val="118"/>
                <c:pt idx="0">
                  <c:v>307.91000000000003</c:v>
                </c:pt>
                <c:pt idx="1">
                  <c:v>310.69</c:v>
                </c:pt>
                <c:pt idx="2">
                  <c:v>314.19</c:v>
                </c:pt>
                <c:pt idx="3">
                  <c:v>317.95999999999998</c:v>
                </c:pt>
                <c:pt idx="4">
                  <c:v>321.89999999999998</c:v>
                </c:pt>
                <c:pt idx="5">
                  <c:v>326</c:v>
                </c:pt>
                <c:pt idx="6">
                  <c:v>330.29</c:v>
                </c:pt>
                <c:pt idx="7">
                  <c:v>334.75</c:v>
                </c:pt>
                <c:pt idx="8">
                  <c:v>339.42</c:v>
                </c:pt>
                <c:pt idx="9">
                  <c:v>344.28</c:v>
                </c:pt>
                <c:pt idx="10">
                  <c:v>349.36</c:v>
                </c:pt>
                <c:pt idx="11">
                  <c:v>354.65</c:v>
                </c:pt>
                <c:pt idx="12">
                  <c:v>360.18</c:v>
                </c:pt>
                <c:pt idx="13">
                  <c:v>365.94</c:v>
                </c:pt>
                <c:pt idx="14">
                  <c:v>371.94</c:v>
                </c:pt>
                <c:pt idx="15">
                  <c:v>378.2</c:v>
                </c:pt>
                <c:pt idx="16">
                  <c:v>384.71</c:v>
                </c:pt>
                <c:pt idx="17">
                  <c:v>391.49</c:v>
                </c:pt>
                <c:pt idx="18">
                  <c:v>398.53</c:v>
                </c:pt>
                <c:pt idx="19">
                  <c:v>405.84</c:v>
                </c:pt>
                <c:pt idx="20">
                  <c:v>413.43</c:v>
                </c:pt>
                <c:pt idx="21">
                  <c:v>421.28</c:v>
                </c:pt>
                <c:pt idx="22">
                  <c:v>429.39</c:v>
                </c:pt>
                <c:pt idx="23">
                  <c:v>437.77</c:v>
                </c:pt>
                <c:pt idx="24">
                  <c:v>446.39</c:v>
                </c:pt>
                <c:pt idx="25">
                  <c:v>455.25</c:v>
                </c:pt>
                <c:pt idx="26">
                  <c:v>464.32</c:v>
                </c:pt>
                <c:pt idx="27">
                  <c:v>473.59</c:v>
                </c:pt>
                <c:pt idx="28">
                  <c:v>483.02</c:v>
                </c:pt>
                <c:pt idx="29">
                  <c:v>492.59</c:v>
                </c:pt>
                <c:pt idx="30">
                  <c:v>502.26</c:v>
                </c:pt>
                <c:pt idx="31">
                  <c:v>511.99</c:v>
                </c:pt>
                <c:pt idx="32">
                  <c:v>521.74</c:v>
                </c:pt>
                <c:pt idx="33">
                  <c:v>531.46</c:v>
                </c:pt>
                <c:pt idx="34">
                  <c:v>541.12</c:v>
                </c:pt>
                <c:pt idx="35">
                  <c:v>550.66999999999996</c:v>
                </c:pt>
                <c:pt idx="36">
                  <c:v>560.07000000000005</c:v>
                </c:pt>
                <c:pt idx="37">
                  <c:v>569.29</c:v>
                </c:pt>
                <c:pt idx="38">
                  <c:v>578.30999999999995</c:v>
                </c:pt>
                <c:pt idx="39">
                  <c:v>587.12</c:v>
                </c:pt>
                <c:pt idx="40">
                  <c:v>595.71</c:v>
                </c:pt>
                <c:pt idx="41">
                  <c:v>604.11</c:v>
                </c:pt>
                <c:pt idx="42">
                  <c:v>612.35</c:v>
                </c:pt>
                <c:pt idx="43">
                  <c:v>620.5</c:v>
                </c:pt>
                <c:pt idx="44">
                  <c:v>628.63</c:v>
                </c:pt>
                <c:pt idx="45">
                  <c:v>636.86</c:v>
                </c:pt>
                <c:pt idx="46">
                  <c:v>645.33000000000004</c:v>
                </c:pt>
                <c:pt idx="47">
                  <c:v>654.19000000000005</c:v>
                </c:pt>
                <c:pt idx="48">
                  <c:v>663.65</c:v>
                </c:pt>
                <c:pt idx="49">
                  <c:v>673.95</c:v>
                </c:pt>
                <c:pt idx="50">
                  <c:v>685.35</c:v>
                </c:pt>
                <c:pt idx="51">
                  <c:v>698.16</c:v>
                </c:pt>
                <c:pt idx="52">
                  <c:v>712.73</c:v>
                </c:pt>
                <c:pt idx="53">
                  <c:v>729.46</c:v>
                </c:pt>
                <c:pt idx="54">
                  <c:v>748.77</c:v>
                </c:pt>
                <c:pt idx="55">
                  <c:v>771.16</c:v>
                </c:pt>
                <c:pt idx="56">
                  <c:v>797.17</c:v>
                </c:pt>
                <c:pt idx="57">
                  <c:v>827.41</c:v>
                </c:pt>
                <c:pt idx="58">
                  <c:v>862.54</c:v>
                </c:pt>
                <c:pt idx="59">
                  <c:v>903.31</c:v>
                </c:pt>
                <c:pt idx="60">
                  <c:v>950.53</c:v>
                </c:pt>
                <c:pt idx="61">
                  <c:v>1005.12</c:v>
                </c:pt>
                <c:pt idx="62">
                  <c:v>1068.08</c:v>
                </c:pt>
                <c:pt idx="63">
                  <c:v>1140.49</c:v>
                </c:pt>
                <c:pt idx="64">
                  <c:v>1223.51</c:v>
                </c:pt>
                <c:pt idx="65">
                  <c:v>1318.36</c:v>
                </c:pt>
                <c:pt idx="66">
                  <c:v>1426.29</c:v>
                </c:pt>
                <c:pt idx="67">
                  <c:v>1548.53</c:v>
                </c:pt>
                <c:pt idx="68">
                  <c:v>1686.41</c:v>
                </c:pt>
                <c:pt idx="69">
                  <c:v>1841.44</c:v>
                </c:pt>
                <c:pt idx="70">
                  <c:v>2015.68</c:v>
                </c:pt>
                <c:pt idx="71">
                  <c:v>2211.89</c:v>
                </c:pt>
                <c:pt idx="72">
                  <c:v>2433.91</c:v>
                </c:pt>
                <c:pt idx="73">
                  <c:v>2688.31</c:v>
                </c:pt>
                <c:pt idx="74">
                  <c:v>2989.25</c:v>
                </c:pt>
                <c:pt idx="75">
                  <c:v>3367.38</c:v>
                </c:pt>
                <c:pt idx="76">
                  <c:v>3865.39</c:v>
                </c:pt>
                <c:pt idx="77">
                  <c:v>4443.01</c:v>
                </c:pt>
                <c:pt idx="78">
                  <c:v>4933.78</c:v>
                </c:pt>
                <c:pt idx="79">
                  <c:v>5135.55</c:v>
                </c:pt>
                <c:pt idx="80">
                  <c:v>4890.51</c:v>
                </c:pt>
                <c:pt idx="81">
                  <c:v>4183.05</c:v>
                </c:pt>
                <c:pt idx="82">
                  <c:v>3186.84</c:v>
                </c:pt>
                <c:pt idx="83">
                  <c:v>2219.46</c:v>
                </c:pt>
                <c:pt idx="84">
                  <c:v>1504.2</c:v>
                </c:pt>
                <c:pt idx="85">
                  <c:v>1031.99</c:v>
                </c:pt>
                <c:pt idx="86">
                  <c:v>726.23</c:v>
                </c:pt>
                <c:pt idx="87">
                  <c:v>526.45000000000005</c:v>
                </c:pt>
                <c:pt idx="88">
                  <c:v>393.33</c:v>
                </c:pt>
                <c:pt idx="89">
                  <c:v>302.52</c:v>
                </c:pt>
                <c:pt idx="90">
                  <c:v>239.01</c:v>
                </c:pt>
                <c:pt idx="91">
                  <c:v>193.48</c:v>
                </c:pt>
                <c:pt idx="92">
                  <c:v>160.04</c:v>
                </c:pt>
                <c:pt idx="93">
                  <c:v>134.93</c:v>
                </c:pt>
                <c:pt idx="94">
                  <c:v>115.68</c:v>
                </c:pt>
                <c:pt idx="95">
                  <c:v>100.66</c:v>
                </c:pt>
                <c:pt idx="96">
                  <c:v>88.73</c:v>
                </c:pt>
                <c:pt idx="97">
                  <c:v>79.150000000000006</c:v>
                </c:pt>
                <c:pt idx="98">
                  <c:v>71.36</c:v>
                </c:pt>
                <c:pt idx="99">
                  <c:v>64.989999999999995</c:v>
                </c:pt>
                <c:pt idx="100">
                  <c:v>59.76</c:v>
                </c:pt>
                <c:pt idx="101">
                  <c:v>55.45</c:v>
                </c:pt>
                <c:pt idx="102">
                  <c:v>51.92</c:v>
                </c:pt>
                <c:pt idx="103">
                  <c:v>49.03</c:v>
                </c:pt>
                <c:pt idx="104">
                  <c:v>46.67</c:v>
                </c:pt>
                <c:pt idx="105">
                  <c:v>44.77</c:v>
                </c:pt>
                <c:pt idx="106">
                  <c:v>43.26</c:v>
                </c:pt>
                <c:pt idx="107">
                  <c:v>42.07</c:v>
                </c:pt>
                <c:pt idx="108">
                  <c:v>41.15</c:v>
                </c:pt>
                <c:pt idx="109">
                  <c:v>40.479999999999997</c:v>
                </c:pt>
                <c:pt idx="110">
                  <c:v>40.01</c:v>
                </c:pt>
                <c:pt idx="111">
                  <c:v>39.72</c:v>
                </c:pt>
                <c:pt idx="112">
                  <c:v>39.6</c:v>
                </c:pt>
                <c:pt idx="113">
                  <c:v>39.61</c:v>
                </c:pt>
                <c:pt idx="114">
                  <c:v>39.75</c:v>
                </c:pt>
                <c:pt idx="115">
                  <c:v>40</c:v>
                </c:pt>
                <c:pt idx="116">
                  <c:v>40.340000000000003</c:v>
                </c:pt>
                <c:pt idx="117">
                  <c:v>40.65</c:v>
                </c:pt>
              </c:numCache>
            </c:numRef>
          </c:val>
          <c:smooth val="0"/>
          <c:extLst>
            <c:ext xmlns:c16="http://schemas.microsoft.com/office/drawing/2014/chart" uri="{C3380CC4-5D6E-409C-BE32-E72D297353CC}">
              <c16:uniqueId val="{0000001C-9A1C-40BE-9AAC-3242D8215002}"/>
            </c:ext>
          </c:extLst>
        </c:ser>
        <c:ser>
          <c:idx val="28"/>
          <c:order val="28"/>
          <c:tx>
            <c:strRef>
              <c:f>'50..800_F'!$AD$3:$AD$4</c:f>
              <c:strCache>
                <c:ptCount val="1"/>
                <c:pt idx="0">
                  <c:v>C09</c:v>
                </c:pt>
              </c:strCache>
            </c:strRef>
          </c:tx>
          <c:spPr>
            <a:ln w="28575" cap="rnd">
              <a:solidFill>
                <a:schemeClr val="accent5">
                  <a:lumMod val="60000"/>
                  <a:lumOff val="4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'50..800_F'!$AD$5:$AD$123</c:f>
              <c:numCache>
                <c:formatCode>General</c:formatCode>
                <c:ptCount val="118"/>
                <c:pt idx="0">
                  <c:v>235.35</c:v>
                </c:pt>
                <c:pt idx="1">
                  <c:v>237.56</c:v>
                </c:pt>
                <c:pt idx="2">
                  <c:v>240.39</c:v>
                </c:pt>
                <c:pt idx="3">
                  <c:v>243.44</c:v>
                </c:pt>
                <c:pt idx="4">
                  <c:v>246.63</c:v>
                </c:pt>
                <c:pt idx="5">
                  <c:v>249.96</c:v>
                </c:pt>
                <c:pt idx="6">
                  <c:v>253.45</c:v>
                </c:pt>
                <c:pt idx="7">
                  <c:v>257.11</c:v>
                </c:pt>
                <c:pt idx="8">
                  <c:v>260.92</c:v>
                </c:pt>
                <c:pt idx="9">
                  <c:v>264.92</c:v>
                </c:pt>
                <c:pt idx="10">
                  <c:v>269.10000000000002</c:v>
                </c:pt>
                <c:pt idx="11">
                  <c:v>273.47000000000003</c:v>
                </c:pt>
                <c:pt idx="12">
                  <c:v>278.02999999999997</c:v>
                </c:pt>
                <c:pt idx="13">
                  <c:v>282.81</c:v>
                </c:pt>
                <c:pt idx="14">
                  <c:v>287.8</c:v>
                </c:pt>
                <c:pt idx="15">
                  <c:v>293</c:v>
                </c:pt>
                <c:pt idx="16">
                  <c:v>298.44</c:v>
                </c:pt>
                <c:pt idx="17">
                  <c:v>304.11</c:v>
                </c:pt>
                <c:pt idx="18">
                  <c:v>310.01</c:v>
                </c:pt>
                <c:pt idx="19">
                  <c:v>316.16000000000003</c:v>
                </c:pt>
                <c:pt idx="20">
                  <c:v>322.55</c:v>
                </c:pt>
                <c:pt idx="21">
                  <c:v>329.18</c:v>
                </c:pt>
                <c:pt idx="22">
                  <c:v>336.05</c:v>
                </c:pt>
                <c:pt idx="23">
                  <c:v>343.16</c:v>
                </c:pt>
                <c:pt idx="24">
                  <c:v>350.5</c:v>
                </c:pt>
                <c:pt idx="25">
                  <c:v>358.06</c:v>
                </c:pt>
                <c:pt idx="26">
                  <c:v>365.83</c:v>
                </c:pt>
                <c:pt idx="27">
                  <c:v>373.78</c:v>
                </c:pt>
                <c:pt idx="28">
                  <c:v>381.91</c:v>
                </c:pt>
                <c:pt idx="29">
                  <c:v>390.18</c:v>
                </c:pt>
                <c:pt idx="30">
                  <c:v>398.56</c:v>
                </c:pt>
                <c:pt idx="31">
                  <c:v>407.02</c:v>
                </c:pt>
                <c:pt idx="32">
                  <c:v>415.53</c:v>
                </c:pt>
                <c:pt idx="33">
                  <c:v>424.04</c:v>
                </c:pt>
                <c:pt idx="34">
                  <c:v>432.52</c:v>
                </c:pt>
                <c:pt idx="35">
                  <c:v>440.94</c:v>
                </c:pt>
                <c:pt idx="36">
                  <c:v>449.24</c:v>
                </c:pt>
                <c:pt idx="37">
                  <c:v>457.4</c:v>
                </c:pt>
                <c:pt idx="38">
                  <c:v>465.39</c:v>
                </c:pt>
                <c:pt idx="39">
                  <c:v>473.19</c:v>
                </c:pt>
                <c:pt idx="40">
                  <c:v>480.8</c:v>
                </c:pt>
                <c:pt idx="41">
                  <c:v>488.22</c:v>
                </c:pt>
                <c:pt idx="42">
                  <c:v>495.48</c:v>
                </c:pt>
                <c:pt idx="43">
                  <c:v>502.61</c:v>
                </c:pt>
                <c:pt idx="44">
                  <c:v>509.68</c:v>
                </c:pt>
                <c:pt idx="45">
                  <c:v>516.78</c:v>
                </c:pt>
                <c:pt idx="46">
                  <c:v>524.02</c:v>
                </c:pt>
                <c:pt idx="47">
                  <c:v>531.55999999999995</c:v>
                </c:pt>
                <c:pt idx="48">
                  <c:v>539.57000000000005</c:v>
                </c:pt>
                <c:pt idx="49">
                  <c:v>548.28</c:v>
                </c:pt>
                <c:pt idx="50">
                  <c:v>557.92999999999995</c:v>
                </c:pt>
                <c:pt idx="51">
                  <c:v>568.83000000000004</c:v>
                </c:pt>
                <c:pt idx="52">
                  <c:v>581.32000000000005</c:v>
                </c:pt>
                <c:pt idx="53">
                  <c:v>595.79</c:v>
                </c:pt>
                <c:pt idx="54">
                  <c:v>612.69000000000005</c:v>
                </c:pt>
                <c:pt idx="55">
                  <c:v>632.52</c:v>
                </c:pt>
                <c:pt idx="56">
                  <c:v>655.83</c:v>
                </c:pt>
                <c:pt idx="57">
                  <c:v>683.24</c:v>
                </c:pt>
                <c:pt idx="58">
                  <c:v>715.45</c:v>
                </c:pt>
                <c:pt idx="59">
                  <c:v>753.2</c:v>
                </c:pt>
                <c:pt idx="60">
                  <c:v>797.35</c:v>
                </c:pt>
                <c:pt idx="61">
                  <c:v>848.77</c:v>
                </c:pt>
                <c:pt idx="62">
                  <c:v>908.45</c:v>
                </c:pt>
                <c:pt idx="63">
                  <c:v>977.41</c:v>
                </c:pt>
                <c:pt idx="64">
                  <c:v>1056.67</c:v>
                </c:pt>
                <c:pt idx="65">
                  <c:v>1147.3</c:v>
                </c:pt>
                <c:pt idx="66">
                  <c:v>1250.27</c:v>
                </c:pt>
                <c:pt idx="67">
                  <c:v>1366.52</c:v>
                </c:pt>
                <c:pt idx="68">
                  <c:v>1496.93</c:v>
                </c:pt>
                <c:pt idx="69">
                  <c:v>1642.45</c:v>
                </c:pt>
                <c:pt idx="70">
                  <c:v>1804.31</c:v>
                </c:pt>
                <c:pt idx="71">
                  <c:v>1984.25</c:v>
                </c:pt>
                <c:pt idx="72">
                  <c:v>2184.89</c:v>
                </c:pt>
                <c:pt idx="73">
                  <c:v>2410.62</c:v>
                </c:pt>
                <c:pt idx="74">
                  <c:v>2670.82</c:v>
                </c:pt>
                <c:pt idx="75">
                  <c:v>2987.49</c:v>
                </c:pt>
                <c:pt idx="76">
                  <c:v>3403.05</c:v>
                </c:pt>
                <c:pt idx="77">
                  <c:v>3923.79</c:v>
                </c:pt>
                <c:pt idx="78">
                  <c:v>4428.54</c:v>
                </c:pt>
                <c:pt idx="79">
                  <c:v>4734.33</c:v>
                </c:pt>
                <c:pt idx="80">
                  <c:v>4671.93</c:v>
                </c:pt>
                <c:pt idx="81">
                  <c:v>4170.7700000000004</c:v>
                </c:pt>
                <c:pt idx="82">
                  <c:v>3324.28</c:v>
                </c:pt>
                <c:pt idx="83">
                  <c:v>2387.31</c:v>
                </c:pt>
                <c:pt idx="84">
                  <c:v>1629.77</c:v>
                </c:pt>
                <c:pt idx="85">
                  <c:v>1113.69</c:v>
                </c:pt>
                <c:pt idx="86">
                  <c:v>777.19</c:v>
                </c:pt>
                <c:pt idx="87">
                  <c:v>557.63</c:v>
                </c:pt>
                <c:pt idx="88">
                  <c:v>412.12</c:v>
                </c:pt>
                <c:pt idx="89">
                  <c:v>313.55</c:v>
                </c:pt>
                <c:pt idx="90">
                  <c:v>245.16</c:v>
                </c:pt>
                <c:pt idx="91">
                  <c:v>196.56</c:v>
                </c:pt>
                <c:pt idx="92">
                  <c:v>161.19</c:v>
                </c:pt>
                <c:pt idx="93">
                  <c:v>134.88</c:v>
                </c:pt>
                <c:pt idx="94">
                  <c:v>114.87</c:v>
                </c:pt>
                <c:pt idx="95">
                  <c:v>99.36</c:v>
                </c:pt>
                <c:pt idx="96">
                  <c:v>87.12</c:v>
                </c:pt>
                <c:pt idx="97">
                  <c:v>77.319999999999993</c:v>
                </c:pt>
                <c:pt idx="98">
                  <c:v>69.38</c:v>
                </c:pt>
                <c:pt idx="99">
                  <c:v>62.92</c:v>
                </c:pt>
                <c:pt idx="100">
                  <c:v>57.63</c:v>
                </c:pt>
                <c:pt idx="101">
                  <c:v>53.3</c:v>
                </c:pt>
                <c:pt idx="102">
                  <c:v>49.76</c:v>
                </c:pt>
                <c:pt idx="103">
                  <c:v>46.88</c:v>
                </c:pt>
                <c:pt idx="104">
                  <c:v>44.56</c:v>
                </c:pt>
                <c:pt idx="105">
                  <c:v>42.7</c:v>
                </c:pt>
                <c:pt idx="106">
                  <c:v>41.22</c:v>
                </c:pt>
                <c:pt idx="107">
                  <c:v>40.07</c:v>
                </c:pt>
                <c:pt idx="108">
                  <c:v>39.200000000000003</c:v>
                </c:pt>
                <c:pt idx="109">
                  <c:v>38.57</c:v>
                </c:pt>
                <c:pt idx="110">
                  <c:v>38.14</c:v>
                </c:pt>
                <c:pt idx="111">
                  <c:v>37.880000000000003</c:v>
                </c:pt>
                <c:pt idx="112">
                  <c:v>37.78</c:v>
                </c:pt>
                <c:pt idx="113">
                  <c:v>37.82</c:v>
                </c:pt>
                <c:pt idx="114">
                  <c:v>37.979999999999997</c:v>
                </c:pt>
                <c:pt idx="115">
                  <c:v>38.24</c:v>
                </c:pt>
                <c:pt idx="116">
                  <c:v>38.590000000000003</c:v>
                </c:pt>
                <c:pt idx="117">
                  <c:v>38.9</c:v>
                </c:pt>
              </c:numCache>
            </c:numRef>
          </c:val>
          <c:smooth val="0"/>
          <c:extLst>
            <c:ext xmlns:c16="http://schemas.microsoft.com/office/drawing/2014/chart" uri="{C3380CC4-5D6E-409C-BE32-E72D297353CC}">
              <c16:uniqueId val="{0000001D-9A1C-40BE-9AAC-3242D8215002}"/>
            </c:ext>
          </c:extLst>
        </c:ser>
        <c:ser>
          <c:idx val="29"/>
          <c:order val="29"/>
          <c:tx>
            <c:strRef>
              <c:f>'50..800_F'!$AE$3:$AE$4</c:f>
              <c:strCache>
                <c:ptCount val="1"/>
                <c:pt idx="0">
                  <c:v>C10</c:v>
                </c:pt>
              </c:strCache>
            </c:strRef>
          </c:tx>
          <c:spPr>
            <a:ln w="28575" cap="rnd">
              <a:solidFill>
                <a:schemeClr val="accent6">
                  <a:lumMod val="60000"/>
                  <a:lumOff val="4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'50..800_F'!$AE$5:$AE$123</c:f>
              <c:numCache>
                <c:formatCode>General</c:formatCode>
                <c:ptCount val="118"/>
                <c:pt idx="0">
                  <c:v>250.62</c:v>
                </c:pt>
                <c:pt idx="1">
                  <c:v>253.14</c:v>
                </c:pt>
                <c:pt idx="2">
                  <c:v>256.39999999999998</c:v>
                </c:pt>
                <c:pt idx="3">
                  <c:v>259.93</c:v>
                </c:pt>
                <c:pt idx="4">
                  <c:v>263.63</c:v>
                </c:pt>
                <c:pt idx="5">
                  <c:v>267.5</c:v>
                </c:pt>
                <c:pt idx="6">
                  <c:v>271.55</c:v>
                </c:pt>
                <c:pt idx="7">
                  <c:v>275.8</c:v>
                </c:pt>
                <c:pt idx="8">
                  <c:v>280.25</c:v>
                </c:pt>
                <c:pt idx="9">
                  <c:v>284.91000000000003</c:v>
                </c:pt>
                <c:pt idx="10">
                  <c:v>289.79000000000002</c:v>
                </c:pt>
                <c:pt idx="11">
                  <c:v>294.89999999999998</c:v>
                </c:pt>
                <c:pt idx="12">
                  <c:v>300.24</c:v>
                </c:pt>
                <c:pt idx="13">
                  <c:v>305.83999999999997</c:v>
                </c:pt>
                <c:pt idx="14">
                  <c:v>311.68</c:v>
                </c:pt>
                <c:pt idx="15">
                  <c:v>317.79000000000002</c:v>
                </c:pt>
                <c:pt idx="16">
                  <c:v>324.18</c:v>
                </c:pt>
                <c:pt idx="17">
                  <c:v>330.84</c:v>
                </c:pt>
                <c:pt idx="18">
                  <c:v>337.78</c:v>
                </c:pt>
                <c:pt idx="19">
                  <c:v>345.01</c:v>
                </c:pt>
                <c:pt idx="20">
                  <c:v>352.53</c:v>
                </c:pt>
                <c:pt idx="21">
                  <c:v>360.33</c:v>
                </c:pt>
                <c:pt idx="22">
                  <c:v>368.43</c:v>
                </c:pt>
                <c:pt idx="23">
                  <c:v>376.8</c:v>
                </c:pt>
                <c:pt idx="24">
                  <c:v>385.45</c:v>
                </c:pt>
                <c:pt idx="25">
                  <c:v>394.35</c:v>
                </c:pt>
                <c:pt idx="26">
                  <c:v>403.5</c:v>
                </c:pt>
                <c:pt idx="27">
                  <c:v>412.86</c:v>
                </c:pt>
                <c:pt idx="28">
                  <c:v>422.43</c:v>
                </c:pt>
                <c:pt idx="29">
                  <c:v>432.15</c:v>
                </c:pt>
                <c:pt idx="30">
                  <c:v>442</c:v>
                </c:pt>
                <c:pt idx="31">
                  <c:v>451.94</c:v>
                </c:pt>
                <c:pt idx="32">
                  <c:v>461.93</c:v>
                </c:pt>
                <c:pt idx="33">
                  <c:v>471.91</c:v>
                </c:pt>
                <c:pt idx="34">
                  <c:v>481.85</c:v>
                </c:pt>
                <c:pt idx="35">
                  <c:v>491.7</c:v>
                </c:pt>
                <c:pt idx="36">
                  <c:v>501.41</c:v>
                </c:pt>
                <c:pt idx="37">
                  <c:v>510.96</c:v>
                </c:pt>
                <c:pt idx="38">
                  <c:v>520.30999999999995</c:v>
                </c:pt>
                <c:pt idx="39">
                  <c:v>529.45000000000005</c:v>
                </c:pt>
                <c:pt idx="40">
                  <c:v>538.37</c:v>
                </c:pt>
                <c:pt idx="41">
                  <c:v>547.1</c:v>
                </c:pt>
                <c:pt idx="42">
                  <c:v>555.66999999999996</c:v>
                </c:pt>
                <c:pt idx="43">
                  <c:v>564.15</c:v>
                </c:pt>
                <c:pt idx="44">
                  <c:v>572.6</c:v>
                </c:pt>
                <c:pt idx="45">
                  <c:v>581.16</c:v>
                </c:pt>
                <c:pt idx="46">
                  <c:v>589.95000000000005</c:v>
                </c:pt>
                <c:pt idx="47">
                  <c:v>599.16</c:v>
                </c:pt>
                <c:pt idx="48">
                  <c:v>609</c:v>
                </c:pt>
                <c:pt idx="49">
                  <c:v>619.70000000000005</c:v>
                </c:pt>
                <c:pt idx="50">
                  <c:v>631.54999999999995</c:v>
                </c:pt>
                <c:pt idx="51">
                  <c:v>644.86</c:v>
                </c:pt>
                <c:pt idx="52">
                  <c:v>659.99</c:v>
                </c:pt>
                <c:pt idx="53">
                  <c:v>677.33</c:v>
                </c:pt>
                <c:pt idx="54">
                  <c:v>697.31</c:v>
                </c:pt>
                <c:pt idx="55">
                  <c:v>720.4</c:v>
                </c:pt>
                <c:pt idx="56">
                  <c:v>747.1</c:v>
                </c:pt>
                <c:pt idx="57">
                  <c:v>777.96</c:v>
                </c:pt>
                <c:pt idx="58">
                  <c:v>813.57</c:v>
                </c:pt>
                <c:pt idx="59">
                  <c:v>854.55</c:v>
                </c:pt>
                <c:pt idx="60">
                  <c:v>901.57</c:v>
                </c:pt>
                <c:pt idx="61">
                  <c:v>955.38</c:v>
                </c:pt>
                <c:pt idx="62">
                  <c:v>1016.73</c:v>
                </c:pt>
                <c:pt idx="63">
                  <c:v>1086.47</c:v>
                </c:pt>
                <c:pt idx="64">
                  <c:v>1165.46</c:v>
                </c:pt>
                <c:pt idx="65">
                  <c:v>1254.68</c:v>
                </c:pt>
                <c:pt idx="66">
                  <c:v>1355.17</c:v>
                </c:pt>
                <c:pt idx="67">
                  <c:v>1468.24</c:v>
                </c:pt>
                <c:pt idx="68">
                  <c:v>1595.49</c:v>
                </c:pt>
                <c:pt idx="69">
                  <c:v>1739.09</c:v>
                </c:pt>
                <c:pt idx="70">
                  <c:v>1901.71</c:v>
                </c:pt>
                <c:pt idx="71">
                  <c:v>2086.48</c:v>
                </c:pt>
                <c:pt idx="72">
                  <c:v>2296.63</c:v>
                </c:pt>
                <c:pt idx="73">
                  <c:v>2536.12</c:v>
                </c:pt>
                <c:pt idx="74">
                  <c:v>2813.13</c:v>
                </c:pt>
                <c:pt idx="75">
                  <c:v>3148.46</c:v>
                </c:pt>
                <c:pt idx="76">
                  <c:v>3582.68</c:v>
                </c:pt>
                <c:pt idx="77">
                  <c:v>4118.51</c:v>
                </c:pt>
                <c:pt idx="78">
                  <c:v>4632.8500000000004</c:v>
                </c:pt>
                <c:pt idx="79">
                  <c:v>4941.67</c:v>
                </c:pt>
                <c:pt idx="80">
                  <c:v>4873.25</c:v>
                </c:pt>
                <c:pt idx="81">
                  <c:v>4353.95</c:v>
                </c:pt>
                <c:pt idx="82">
                  <c:v>3476.85</c:v>
                </c:pt>
                <c:pt idx="83">
                  <c:v>2502.37</c:v>
                </c:pt>
                <c:pt idx="84">
                  <c:v>1710.71</c:v>
                </c:pt>
                <c:pt idx="85">
                  <c:v>1169.33</c:v>
                </c:pt>
                <c:pt idx="86">
                  <c:v>815.48</c:v>
                </c:pt>
                <c:pt idx="87">
                  <c:v>584.32000000000005</c:v>
                </c:pt>
                <c:pt idx="88">
                  <c:v>431.05</c:v>
                </c:pt>
                <c:pt idx="89">
                  <c:v>327.24</c:v>
                </c:pt>
                <c:pt idx="90">
                  <c:v>255.25</c:v>
                </c:pt>
                <c:pt idx="91">
                  <c:v>204.11</c:v>
                </c:pt>
                <c:pt idx="92">
                  <c:v>166.92</c:v>
                </c:pt>
                <c:pt idx="93">
                  <c:v>139.26</c:v>
                </c:pt>
                <c:pt idx="94">
                  <c:v>118.23</c:v>
                </c:pt>
                <c:pt idx="95">
                  <c:v>101.92</c:v>
                </c:pt>
                <c:pt idx="96">
                  <c:v>89.04</c:v>
                </c:pt>
                <c:pt idx="97">
                  <c:v>78.7</c:v>
                </c:pt>
                <c:pt idx="98">
                  <c:v>70.31</c:v>
                </c:pt>
                <c:pt idx="99">
                  <c:v>63.44</c:v>
                </c:pt>
                <c:pt idx="100">
                  <c:v>57.79</c:v>
                </c:pt>
                <c:pt idx="101">
                  <c:v>53.15</c:v>
                </c:pt>
                <c:pt idx="102">
                  <c:v>49.35</c:v>
                </c:pt>
                <c:pt idx="103">
                  <c:v>46.26</c:v>
                </c:pt>
                <c:pt idx="104">
                  <c:v>43.76</c:v>
                </c:pt>
                <c:pt idx="105">
                  <c:v>41.75</c:v>
                </c:pt>
                <c:pt idx="106">
                  <c:v>40.17</c:v>
                </c:pt>
                <c:pt idx="107">
                  <c:v>38.94</c:v>
                </c:pt>
                <c:pt idx="108">
                  <c:v>38.01</c:v>
                </c:pt>
                <c:pt idx="109">
                  <c:v>37.340000000000003</c:v>
                </c:pt>
                <c:pt idx="110">
                  <c:v>36.880000000000003</c:v>
                </c:pt>
                <c:pt idx="111">
                  <c:v>36.619999999999997</c:v>
                </c:pt>
                <c:pt idx="112">
                  <c:v>36.51</c:v>
                </c:pt>
                <c:pt idx="113">
                  <c:v>36.56</c:v>
                </c:pt>
                <c:pt idx="114">
                  <c:v>36.729999999999997</c:v>
                </c:pt>
                <c:pt idx="115">
                  <c:v>37.020000000000003</c:v>
                </c:pt>
                <c:pt idx="116">
                  <c:v>37.39</c:v>
                </c:pt>
                <c:pt idx="117">
                  <c:v>37.72</c:v>
                </c:pt>
              </c:numCache>
            </c:numRef>
          </c:val>
          <c:smooth val="0"/>
          <c:extLst>
            <c:ext xmlns:c16="http://schemas.microsoft.com/office/drawing/2014/chart" uri="{C3380CC4-5D6E-409C-BE32-E72D297353CC}">
              <c16:uniqueId val="{0000001E-9A1C-40BE-9AAC-3242D8215002}"/>
            </c:ext>
          </c:extLst>
        </c:ser>
        <c:ser>
          <c:idx val="30"/>
          <c:order val="30"/>
          <c:tx>
            <c:strRef>
              <c:f>'50..800_F'!$AF$3:$AF$4</c:f>
              <c:strCache>
                <c:ptCount val="1"/>
                <c:pt idx="0">
                  <c:v>C11</c:v>
                </c:pt>
              </c:strCache>
            </c:strRef>
          </c:tx>
          <c:spPr>
            <a:ln w="28575" cap="rnd">
              <a:solidFill>
                <a:schemeClr val="accent1">
                  <a:lumMod val="5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'50..800_F'!$AF$5:$AF$123</c:f>
              <c:numCache>
                <c:formatCode>General</c:formatCode>
                <c:ptCount val="118"/>
                <c:pt idx="0">
                  <c:v>287</c:v>
                </c:pt>
                <c:pt idx="1">
                  <c:v>289.82</c:v>
                </c:pt>
                <c:pt idx="2">
                  <c:v>293.45</c:v>
                </c:pt>
                <c:pt idx="3">
                  <c:v>297.37</c:v>
                </c:pt>
                <c:pt idx="4">
                  <c:v>301.49</c:v>
                </c:pt>
                <c:pt idx="5">
                  <c:v>305.8</c:v>
                </c:pt>
                <c:pt idx="6">
                  <c:v>310.32</c:v>
                </c:pt>
                <c:pt idx="7">
                  <c:v>315.04000000000002</c:v>
                </c:pt>
                <c:pt idx="8">
                  <c:v>320</c:v>
                </c:pt>
                <c:pt idx="9">
                  <c:v>325.19</c:v>
                </c:pt>
                <c:pt idx="10">
                  <c:v>330.63</c:v>
                </c:pt>
                <c:pt idx="11">
                  <c:v>336.32</c:v>
                </c:pt>
                <c:pt idx="12">
                  <c:v>342.28</c:v>
                </c:pt>
                <c:pt idx="13">
                  <c:v>348.52</c:v>
                </c:pt>
                <c:pt idx="14">
                  <c:v>355.05</c:v>
                </c:pt>
                <c:pt idx="15">
                  <c:v>361.87</c:v>
                </c:pt>
                <c:pt idx="16">
                  <c:v>369.01</c:v>
                </c:pt>
                <c:pt idx="17">
                  <c:v>376.45</c:v>
                </c:pt>
                <c:pt idx="18">
                  <c:v>384.22</c:v>
                </c:pt>
                <c:pt idx="19">
                  <c:v>392.32</c:v>
                </c:pt>
                <c:pt idx="20">
                  <c:v>400.74</c:v>
                </c:pt>
                <c:pt idx="21">
                  <c:v>409.5</c:v>
                </c:pt>
                <c:pt idx="22">
                  <c:v>418.59</c:v>
                </c:pt>
                <c:pt idx="23">
                  <c:v>427.99</c:v>
                </c:pt>
                <c:pt idx="24">
                  <c:v>437.71</c:v>
                </c:pt>
                <c:pt idx="25">
                  <c:v>447.73</c:v>
                </c:pt>
                <c:pt idx="26">
                  <c:v>458.03</c:v>
                </c:pt>
                <c:pt idx="27">
                  <c:v>468.58</c:v>
                </c:pt>
                <c:pt idx="28">
                  <c:v>479.35</c:v>
                </c:pt>
                <c:pt idx="29">
                  <c:v>490.32</c:v>
                </c:pt>
                <c:pt idx="30">
                  <c:v>501.43</c:v>
                </c:pt>
                <c:pt idx="31">
                  <c:v>512.64</c:v>
                </c:pt>
                <c:pt idx="32">
                  <c:v>523.9</c:v>
                </c:pt>
                <c:pt idx="33">
                  <c:v>535.16</c:v>
                </c:pt>
                <c:pt idx="34">
                  <c:v>546.35</c:v>
                </c:pt>
                <c:pt idx="35">
                  <c:v>557.44000000000005</c:v>
                </c:pt>
                <c:pt idx="36">
                  <c:v>568.35</c:v>
                </c:pt>
                <c:pt idx="37">
                  <c:v>579.05999999999995</c:v>
                </c:pt>
                <c:pt idx="38">
                  <c:v>589.52</c:v>
                </c:pt>
                <c:pt idx="39">
                  <c:v>599.71</c:v>
                </c:pt>
                <c:pt idx="40">
                  <c:v>609.63</c:v>
                </c:pt>
                <c:pt idx="41">
                  <c:v>619.29</c:v>
                </c:pt>
                <c:pt idx="42">
                  <c:v>628.73</c:v>
                </c:pt>
                <c:pt idx="43">
                  <c:v>638.01</c:v>
                </c:pt>
                <c:pt idx="44">
                  <c:v>647.23</c:v>
                </c:pt>
                <c:pt idx="45">
                  <c:v>656.5</c:v>
                </c:pt>
                <c:pt idx="46">
                  <c:v>665.98</c:v>
                </c:pt>
                <c:pt idx="47">
                  <c:v>675.86</c:v>
                </c:pt>
                <c:pt idx="48">
                  <c:v>686.36</c:v>
                </c:pt>
                <c:pt idx="49">
                  <c:v>697.73</c:v>
                </c:pt>
                <c:pt idx="50">
                  <c:v>710.27</c:v>
                </c:pt>
                <c:pt idx="51">
                  <c:v>724.3</c:v>
                </c:pt>
                <c:pt idx="52">
                  <c:v>740.2</c:v>
                </c:pt>
                <c:pt idx="53">
                  <c:v>758.38</c:v>
                </c:pt>
                <c:pt idx="54">
                  <c:v>779.27</c:v>
                </c:pt>
                <c:pt idx="55">
                  <c:v>803.38</c:v>
                </c:pt>
                <c:pt idx="56">
                  <c:v>831.25</c:v>
                </c:pt>
                <c:pt idx="57">
                  <c:v>863.49</c:v>
                </c:pt>
                <c:pt idx="58">
                  <c:v>900.75</c:v>
                </c:pt>
                <c:pt idx="59">
                  <c:v>943.79</c:v>
                </c:pt>
                <c:pt idx="60">
                  <c:v>993.46</c:v>
                </c:pt>
                <c:pt idx="61">
                  <c:v>1050.74</c:v>
                </c:pt>
                <c:pt idx="62">
                  <c:v>1116.73</c:v>
                </c:pt>
                <c:pt idx="63">
                  <c:v>1192.76</c:v>
                </c:pt>
                <c:pt idx="64">
                  <c:v>1280.3599999999999</c:v>
                </c:pt>
                <c:pt idx="65">
                  <c:v>1381.29</c:v>
                </c:pt>
                <c:pt idx="66">
                  <c:v>1497.55</c:v>
                </c:pt>
                <c:pt idx="67">
                  <c:v>1631.35</c:v>
                </c:pt>
                <c:pt idx="68">
                  <c:v>1785.04</c:v>
                </c:pt>
                <c:pt idx="69">
                  <c:v>1961.08</c:v>
                </c:pt>
                <c:pt idx="70">
                  <c:v>2161.9699999999998</c:v>
                </c:pt>
                <c:pt idx="71">
                  <c:v>2390.3000000000002</c:v>
                </c:pt>
                <c:pt idx="72">
                  <c:v>2649.24</c:v>
                </c:pt>
                <c:pt idx="73">
                  <c:v>2944.89</c:v>
                </c:pt>
                <c:pt idx="74">
                  <c:v>3292.2</c:v>
                </c:pt>
                <c:pt idx="75">
                  <c:v>3724.33</c:v>
                </c:pt>
                <c:pt idx="76">
                  <c:v>4285.21</c:v>
                </c:pt>
                <c:pt idx="77">
                  <c:v>4923.68</c:v>
                </c:pt>
                <c:pt idx="78">
                  <c:v>5449.16</c:v>
                </c:pt>
                <c:pt idx="79">
                  <c:v>5636.04</c:v>
                </c:pt>
                <c:pt idx="80">
                  <c:v>5318.6</c:v>
                </c:pt>
                <c:pt idx="81">
                  <c:v>4497.99</c:v>
                </c:pt>
                <c:pt idx="82">
                  <c:v>3384.25</c:v>
                </c:pt>
                <c:pt idx="83">
                  <c:v>2333.17</c:v>
                </c:pt>
                <c:pt idx="84">
                  <c:v>1572.33</c:v>
                </c:pt>
                <c:pt idx="85">
                  <c:v>1075.3800000000001</c:v>
                </c:pt>
                <c:pt idx="86">
                  <c:v>755.35</c:v>
                </c:pt>
                <c:pt idx="87">
                  <c:v>546.9</c:v>
                </c:pt>
                <c:pt idx="88">
                  <c:v>408.25</c:v>
                </c:pt>
                <c:pt idx="89">
                  <c:v>313.73</c:v>
                </c:pt>
                <c:pt idx="90">
                  <c:v>247.64</c:v>
                </c:pt>
                <c:pt idx="91">
                  <c:v>200.25</c:v>
                </c:pt>
                <c:pt idx="92">
                  <c:v>165.45</c:v>
                </c:pt>
                <c:pt idx="93">
                  <c:v>139.30000000000001</c:v>
                </c:pt>
                <c:pt idx="94">
                  <c:v>119.25</c:v>
                </c:pt>
                <c:pt idx="95">
                  <c:v>103.58</c:v>
                </c:pt>
                <c:pt idx="96">
                  <c:v>91.12</c:v>
                </c:pt>
                <c:pt idx="97">
                  <c:v>81.069999999999993</c:v>
                </c:pt>
                <c:pt idx="98">
                  <c:v>72.88</c:v>
                </c:pt>
                <c:pt idx="99">
                  <c:v>66.17</c:v>
                </c:pt>
                <c:pt idx="100">
                  <c:v>60.65</c:v>
                </c:pt>
                <c:pt idx="101">
                  <c:v>56.12</c:v>
                </c:pt>
                <c:pt idx="102">
                  <c:v>52.4</c:v>
                </c:pt>
                <c:pt idx="103">
                  <c:v>49.37</c:v>
                </c:pt>
                <c:pt idx="104">
                  <c:v>46.91</c:v>
                </c:pt>
                <c:pt idx="105">
                  <c:v>44.95</c:v>
                </c:pt>
                <c:pt idx="106">
                  <c:v>43.4</c:v>
                </c:pt>
                <c:pt idx="107">
                  <c:v>42.19</c:v>
                </c:pt>
                <c:pt idx="108">
                  <c:v>41.29</c:v>
                </c:pt>
                <c:pt idx="109">
                  <c:v>40.630000000000003</c:v>
                </c:pt>
                <c:pt idx="110">
                  <c:v>40.200000000000003</c:v>
                </c:pt>
                <c:pt idx="111">
                  <c:v>39.96</c:v>
                </c:pt>
                <c:pt idx="112">
                  <c:v>39.880000000000003</c:v>
                </c:pt>
                <c:pt idx="113">
                  <c:v>39.950000000000003</c:v>
                </c:pt>
                <c:pt idx="114">
                  <c:v>40.159999999999997</c:v>
                </c:pt>
                <c:pt idx="115">
                  <c:v>40.479999999999997</c:v>
                </c:pt>
                <c:pt idx="116">
                  <c:v>40.89</c:v>
                </c:pt>
                <c:pt idx="117">
                  <c:v>41.25</c:v>
                </c:pt>
              </c:numCache>
            </c:numRef>
          </c:val>
          <c:smooth val="0"/>
          <c:extLst>
            <c:ext xmlns:c16="http://schemas.microsoft.com/office/drawing/2014/chart" uri="{C3380CC4-5D6E-409C-BE32-E72D297353CC}">
              <c16:uniqueId val="{0000001F-9A1C-40BE-9AAC-3242D8215002}"/>
            </c:ext>
          </c:extLst>
        </c:ser>
        <c:ser>
          <c:idx val="31"/>
          <c:order val="31"/>
          <c:tx>
            <c:strRef>
              <c:f>'50..800_F'!$AG$3:$AG$4</c:f>
              <c:strCache>
                <c:ptCount val="1"/>
                <c:pt idx="0">
                  <c:v>C12</c:v>
                </c:pt>
              </c:strCache>
            </c:strRef>
          </c:tx>
          <c:spPr>
            <a:ln w="28575" cap="rnd">
              <a:solidFill>
                <a:schemeClr val="accent2">
                  <a:lumMod val="50000"/>
                </a:schemeClr>
              </a:solidFill>
              <a:round/>
            </a:ln>
            <a:effectLst/>
          </c:spPr>
          <c:marker>
            <c:symbol val="none"/>
          </c:marker>
          <c:cat>
            <c:strRef>
              <c:f>'50..800_F'!$A$5:$A$123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'50..800_F'!$AG$5:$AG$123</c:f>
              <c:numCache>
                <c:formatCode>General</c:formatCode>
                <c:ptCount val="118"/>
                <c:pt idx="0">
                  <c:v>170.47</c:v>
                </c:pt>
                <c:pt idx="1">
                  <c:v>172.55</c:v>
                </c:pt>
                <c:pt idx="2">
                  <c:v>175.36</c:v>
                </c:pt>
                <c:pt idx="3">
                  <c:v>178.44</c:v>
                </c:pt>
                <c:pt idx="4">
                  <c:v>181.7</c:v>
                </c:pt>
                <c:pt idx="5">
                  <c:v>185.15</c:v>
                </c:pt>
                <c:pt idx="6">
                  <c:v>188.81</c:v>
                </c:pt>
                <c:pt idx="7">
                  <c:v>192.67</c:v>
                </c:pt>
                <c:pt idx="8">
                  <c:v>196.76</c:v>
                </c:pt>
                <c:pt idx="9">
                  <c:v>201.09</c:v>
                </c:pt>
                <c:pt idx="10">
                  <c:v>205.66</c:v>
                </c:pt>
                <c:pt idx="11">
                  <c:v>210.5</c:v>
                </c:pt>
                <c:pt idx="12">
                  <c:v>215.61</c:v>
                </c:pt>
                <c:pt idx="13">
                  <c:v>221.01</c:v>
                </c:pt>
                <c:pt idx="14">
                  <c:v>226.72</c:v>
                </c:pt>
                <c:pt idx="15">
                  <c:v>232.75</c:v>
                </c:pt>
                <c:pt idx="16">
                  <c:v>239.11</c:v>
                </c:pt>
                <c:pt idx="17">
                  <c:v>245.82</c:v>
                </c:pt>
                <c:pt idx="18">
                  <c:v>252.89</c:v>
                </c:pt>
                <c:pt idx="19">
                  <c:v>260.33999999999997</c:v>
                </c:pt>
                <c:pt idx="20">
                  <c:v>268.17</c:v>
                </c:pt>
                <c:pt idx="21">
                  <c:v>276.39</c:v>
                </c:pt>
                <c:pt idx="22">
                  <c:v>285.02</c:v>
                </c:pt>
                <c:pt idx="23">
                  <c:v>294.05</c:v>
                </c:pt>
                <c:pt idx="24">
                  <c:v>303.5</c:v>
                </c:pt>
                <c:pt idx="25">
                  <c:v>313.33999999999997</c:v>
                </c:pt>
                <c:pt idx="26">
                  <c:v>323.58</c:v>
                </c:pt>
                <c:pt idx="27">
                  <c:v>334.2</c:v>
                </c:pt>
                <c:pt idx="28">
                  <c:v>345.18</c:v>
                </c:pt>
                <c:pt idx="29">
                  <c:v>356.49</c:v>
                </c:pt>
                <c:pt idx="30">
                  <c:v>368.1</c:v>
                </c:pt>
                <c:pt idx="31">
                  <c:v>379.95</c:v>
                </c:pt>
                <c:pt idx="32">
                  <c:v>392.01</c:v>
                </c:pt>
                <c:pt idx="33">
                  <c:v>404.2</c:v>
                </c:pt>
                <c:pt idx="34">
                  <c:v>416.46</c:v>
                </c:pt>
                <c:pt idx="35">
                  <c:v>428.72</c:v>
                </c:pt>
                <c:pt idx="36">
                  <c:v>440.91</c:v>
                </c:pt>
                <c:pt idx="37">
                  <c:v>452.96</c:v>
                </c:pt>
                <c:pt idx="38">
                  <c:v>464.81</c:v>
                </c:pt>
                <c:pt idx="39">
                  <c:v>476.41</c:v>
                </c:pt>
                <c:pt idx="40">
                  <c:v>487.74</c:v>
                </c:pt>
                <c:pt idx="41">
                  <c:v>498.77</c:v>
                </c:pt>
                <c:pt idx="42">
                  <c:v>509.56</c:v>
                </c:pt>
                <c:pt idx="43">
                  <c:v>520.16999999999996</c:v>
                </c:pt>
                <c:pt idx="44">
                  <c:v>530.72</c:v>
                </c:pt>
                <c:pt idx="45">
                  <c:v>541.38</c:v>
                </c:pt>
                <c:pt idx="46">
                  <c:v>552.38</c:v>
                </c:pt>
                <c:pt idx="47">
                  <c:v>564.02</c:v>
                </c:pt>
                <c:pt idx="48">
                  <c:v>576.61</c:v>
                </c:pt>
                <c:pt idx="49">
                  <c:v>590.54999999999995</c:v>
                </c:pt>
                <c:pt idx="50">
                  <c:v>606.24</c:v>
                </c:pt>
                <c:pt idx="51">
                  <c:v>624.11</c:v>
                </c:pt>
                <c:pt idx="52">
                  <c:v>644.55999999999995</c:v>
                </c:pt>
                <c:pt idx="53">
                  <c:v>667.98</c:v>
                </c:pt>
                <c:pt idx="54">
                  <c:v>694.7</c:v>
                </c:pt>
                <c:pt idx="55">
                  <c:v>724.98</c:v>
                </c:pt>
                <c:pt idx="56">
                  <c:v>759</c:v>
                </c:pt>
                <c:pt idx="57">
                  <c:v>796.9</c:v>
                </c:pt>
                <c:pt idx="58">
                  <c:v>838.73</c:v>
                </c:pt>
                <c:pt idx="59">
                  <c:v>884.6</c:v>
                </c:pt>
                <c:pt idx="60">
                  <c:v>934.67</c:v>
                </c:pt>
                <c:pt idx="61">
                  <c:v>989.27</c:v>
                </c:pt>
                <c:pt idx="62">
                  <c:v>1048.97</c:v>
                </c:pt>
                <c:pt idx="63">
                  <c:v>1114.72</c:v>
                </c:pt>
                <c:pt idx="64">
                  <c:v>1187.8</c:v>
                </c:pt>
                <c:pt idx="65">
                  <c:v>1269.8699999999999</c:v>
                </c:pt>
                <c:pt idx="66">
                  <c:v>1362.87</c:v>
                </c:pt>
                <c:pt idx="67">
                  <c:v>1468.99</c:v>
                </c:pt>
                <c:pt idx="68">
                  <c:v>1590.6</c:v>
                </c:pt>
                <c:pt idx="69">
                  <c:v>1730.22</c:v>
                </c:pt>
                <c:pt idx="70">
                  <c:v>1890.39</c:v>
                </c:pt>
                <c:pt idx="71">
                  <c:v>2073.54</c:v>
                </c:pt>
                <c:pt idx="72">
                  <c:v>2282.21</c:v>
                </c:pt>
                <c:pt idx="73">
                  <c:v>2520.8200000000002</c:v>
                </c:pt>
                <c:pt idx="74">
                  <c:v>2800.83</c:v>
                </c:pt>
                <c:pt idx="75">
                  <c:v>3150.11</c:v>
                </c:pt>
                <c:pt idx="76">
                  <c:v>3612.34</c:v>
                </c:pt>
                <c:pt idx="77">
                  <c:v>4158.17</c:v>
                </c:pt>
                <c:pt idx="78">
                  <c:v>4636.74</c:v>
                </c:pt>
                <c:pt idx="79">
                  <c:v>4856.8999999999996</c:v>
                </c:pt>
                <c:pt idx="80">
                  <c:v>4661.01</c:v>
                </c:pt>
                <c:pt idx="81">
                  <c:v>4020.55</c:v>
                </c:pt>
                <c:pt idx="82">
                  <c:v>3088.41</c:v>
                </c:pt>
                <c:pt idx="83">
                  <c:v>2163.5700000000002</c:v>
                </c:pt>
                <c:pt idx="84">
                  <c:v>1469.96</c:v>
                </c:pt>
                <c:pt idx="85">
                  <c:v>1008.69</c:v>
                </c:pt>
                <c:pt idx="86">
                  <c:v>708.64</c:v>
                </c:pt>
                <c:pt idx="87">
                  <c:v>511.95</c:v>
                </c:pt>
                <c:pt idx="88">
                  <c:v>380.43</c:v>
                </c:pt>
                <c:pt idx="89">
                  <c:v>290</c:v>
                </c:pt>
                <c:pt idx="90">
                  <c:v>225.47</c:v>
                </c:pt>
                <c:pt idx="91">
                  <c:v>177.34</c:v>
                </c:pt>
                <c:pt idx="92">
                  <c:v>139.88</c:v>
                </c:pt>
                <c:pt idx="93">
                  <c:v>109.83</c:v>
                </c:pt>
                <c:pt idx="94">
                  <c:v>85.42</c:v>
                </c:pt>
                <c:pt idx="95">
                  <c:v>65.66</c:v>
                </c:pt>
                <c:pt idx="96">
                  <c:v>49.89</c:v>
                </c:pt>
                <c:pt idx="97">
                  <c:v>37.56</c:v>
                </c:pt>
                <c:pt idx="98">
                  <c:v>28.13</c:v>
                </c:pt>
                <c:pt idx="99">
                  <c:v>21.08</c:v>
                </c:pt>
                <c:pt idx="100">
                  <c:v>15.94</c:v>
                </c:pt>
                <c:pt idx="101">
                  <c:v>12.29</c:v>
                </c:pt>
                <c:pt idx="102">
                  <c:v>9.77</c:v>
                </c:pt>
                <c:pt idx="103">
                  <c:v>8.09</c:v>
                </c:pt>
                <c:pt idx="104">
                  <c:v>7.03</c:v>
                </c:pt>
                <c:pt idx="105">
                  <c:v>6.43</c:v>
                </c:pt>
                <c:pt idx="106">
                  <c:v>6.17</c:v>
                </c:pt>
                <c:pt idx="107">
                  <c:v>6.15</c:v>
                </c:pt>
                <c:pt idx="108">
                  <c:v>6.3</c:v>
                </c:pt>
                <c:pt idx="109">
                  <c:v>6.6</c:v>
                </c:pt>
                <c:pt idx="110">
                  <c:v>7</c:v>
                </c:pt>
                <c:pt idx="111">
                  <c:v>7.48</c:v>
                </c:pt>
                <c:pt idx="112">
                  <c:v>8.0299999999999994</c:v>
                </c:pt>
                <c:pt idx="113">
                  <c:v>8.64</c:v>
                </c:pt>
                <c:pt idx="114">
                  <c:v>9.3000000000000007</c:v>
                </c:pt>
                <c:pt idx="115">
                  <c:v>10</c:v>
                </c:pt>
                <c:pt idx="116">
                  <c:v>10.71</c:v>
                </c:pt>
                <c:pt idx="117">
                  <c:v>11.2</c:v>
                </c:pt>
              </c:numCache>
            </c:numRef>
          </c:val>
          <c:smooth val="0"/>
          <c:extLst>
            <c:ext xmlns:c16="http://schemas.microsoft.com/office/drawing/2014/chart" uri="{C3380CC4-5D6E-409C-BE32-E72D297353CC}">
              <c16:uniqueId val="{00000020-9A1C-40BE-9AAC-3242D8215002}"/>
            </c:ext>
          </c:extLst>
        </c:ser>
        <c:dLbls>
          <c:showLegendKey val="0"/>
          <c:showVal val="0"/>
          <c:showCatName val="0"/>
          <c:showSerName val="0"/>
          <c:showPercent val="0"/>
          <c:showBubbleSize val="0"/>
        </c:dLbls>
        <c:smooth val="0"/>
        <c:axId val="517125471"/>
        <c:axId val="517131295"/>
      </c:lineChart>
      <c:catAx>
        <c:axId val="517125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Sample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31295"/>
        <c:crosses val="autoZero"/>
        <c:auto val="1"/>
        <c:lblAlgn val="ctr"/>
        <c:lblOffset val="100"/>
        <c:noMultiLvlLbl val="0"/>
      </c:catAx>
      <c:valAx>
        <c:axId val="517131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CFU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2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[Exp800.10 Optimal Conc of IAC in Leg pneumo assay.xlsx]50..800_F2!PivotTable3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Melt Curve of IAC (F2, R)</a:t>
            </a:r>
            <a:r>
              <a:rPr lang="en-US" baseline="0"/>
              <a:t> in Presence of 50, 800nM Leg pneumo F Primer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'50..800_F2'!$B$3:$B$4</c:f>
              <c:strCache>
                <c:ptCount val="1"/>
                <c:pt idx="0">
                  <c:v>D02</c:v>
                </c:pt>
              </c:strCache>
            </c:strRef>
          </c:tx>
          <c:spPr>
            <a:ln w="28575" cap="rnd">
              <a:solidFill>
                <a:schemeClr val="accent1"/>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'50..800_F2'!$B$5:$B$123</c:f>
              <c:numCache>
                <c:formatCode>General</c:formatCode>
                <c:ptCount val="118"/>
                <c:pt idx="0">
                  <c:v>287.04000000000002</c:v>
                </c:pt>
                <c:pt idx="1">
                  <c:v>289.47000000000003</c:v>
                </c:pt>
                <c:pt idx="2">
                  <c:v>292.49</c:v>
                </c:pt>
                <c:pt idx="3">
                  <c:v>295.74</c:v>
                </c:pt>
                <c:pt idx="4">
                  <c:v>299.14</c:v>
                </c:pt>
                <c:pt idx="5">
                  <c:v>302.69</c:v>
                </c:pt>
                <c:pt idx="6">
                  <c:v>306.39999999999998</c:v>
                </c:pt>
                <c:pt idx="7">
                  <c:v>310.29000000000002</c:v>
                </c:pt>
                <c:pt idx="8">
                  <c:v>314.36</c:v>
                </c:pt>
                <c:pt idx="9">
                  <c:v>318.61</c:v>
                </c:pt>
                <c:pt idx="10">
                  <c:v>323.07</c:v>
                </c:pt>
                <c:pt idx="11">
                  <c:v>327.75</c:v>
                </c:pt>
                <c:pt idx="12">
                  <c:v>332.64</c:v>
                </c:pt>
                <c:pt idx="13">
                  <c:v>337.77</c:v>
                </c:pt>
                <c:pt idx="14">
                  <c:v>343.15</c:v>
                </c:pt>
                <c:pt idx="15">
                  <c:v>348.79</c:v>
                </c:pt>
                <c:pt idx="16">
                  <c:v>354.7</c:v>
                </c:pt>
                <c:pt idx="17">
                  <c:v>360.89</c:v>
                </c:pt>
                <c:pt idx="18">
                  <c:v>367.38</c:v>
                </c:pt>
                <c:pt idx="19">
                  <c:v>374.17</c:v>
                </c:pt>
                <c:pt idx="20">
                  <c:v>381.27</c:v>
                </c:pt>
                <c:pt idx="21">
                  <c:v>388.7</c:v>
                </c:pt>
                <c:pt idx="22">
                  <c:v>396.47</c:v>
                </c:pt>
                <c:pt idx="23">
                  <c:v>404.57</c:v>
                </c:pt>
                <c:pt idx="24">
                  <c:v>413.01</c:v>
                </c:pt>
                <c:pt idx="25">
                  <c:v>421.79</c:v>
                </c:pt>
                <c:pt idx="26">
                  <c:v>430.9</c:v>
                </c:pt>
                <c:pt idx="27">
                  <c:v>440.35</c:v>
                </c:pt>
                <c:pt idx="28">
                  <c:v>450.11</c:v>
                </c:pt>
                <c:pt idx="29">
                  <c:v>460.16</c:v>
                </c:pt>
                <c:pt idx="30">
                  <c:v>470.48</c:v>
                </c:pt>
                <c:pt idx="31">
                  <c:v>481.03</c:v>
                </c:pt>
                <c:pt idx="32">
                  <c:v>491.77</c:v>
                </c:pt>
                <c:pt idx="33">
                  <c:v>502.65</c:v>
                </c:pt>
                <c:pt idx="34">
                  <c:v>513.61</c:v>
                </c:pt>
                <c:pt idx="35">
                  <c:v>524.58000000000004</c:v>
                </c:pt>
                <c:pt idx="36">
                  <c:v>535.49</c:v>
                </c:pt>
                <c:pt idx="37">
                  <c:v>546.24</c:v>
                </c:pt>
                <c:pt idx="38">
                  <c:v>556.76</c:v>
                </c:pt>
                <c:pt idx="39">
                  <c:v>566.96</c:v>
                </c:pt>
                <c:pt idx="40">
                  <c:v>576.73</c:v>
                </c:pt>
                <c:pt idx="41">
                  <c:v>585.99</c:v>
                </c:pt>
                <c:pt idx="42">
                  <c:v>594.65</c:v>
                </c:pt>
                <c:pt idx="43">
                  <c:v>602.66</c:v>
                </c:pt>
                <c:pt idx="44">
                  <c:v>609.92999999999995</c:v>
                </c:pt>
                <c:pt idx="45">
                  <c:v>616.45000000000005</c:v>
                </c:pt>
                <c:pt idx="46">
                  <c:v>622.17999999999995</c:v>
                </c:pt>
                <c:pt idx="47">
                  <c:v>627.16</c:v>
                </c:pt>
                <c:pt idx="48">
                  <c:v>631.41</c:v>
                </c:pt>
                <c:pt idx="49">
                  <c:v>635.03</c:v>
                </c:pt>
                <c:pt idx="50">
                  <c:v>638.14</c:v>
                </c:pt>
                <c:pt idx="51">
                  <c:v>640.91</c:v>
                </c:pt>
                <c:pt idx="52">
                  <c:v>643.54</c:v>
                </c:pt>
                <c:pt idx="53">
                  <c:v>646.29999999999995</c:v>
                </c:pt>
                <c:pt idx="54">
                  <c:v>649.49</c:v>
                </c:pt>
                <c:pt idx="55">
                  <c:v>653.46</c:v>
                </c:pt>
                <c:pt idx="56">
                  <c:v>658.59</c:v>
                </c:pt>
                <c:pt idx="57">
                  <c:v>665.32</c:v>
                </c:pt>
                <c:pt idx="58">
                  <c:v>674.1</c:v>
                </c:pt>
                <c:pt idx="59">
                  <c:v>685.41</c:v>
                </c:pt>
                <c:pt idx="60">
                  <c:v>699.73</c:v>
                </c:pt>
                <c:pt idx="61">
                  <c:v>717.55</c:v>
                </c:pt>
                <c:pt idx="62">
                  <c:v>739.3</c:v>
                </c:pt>
                <c:pt idx="63">
                  <c:v>765.44</c:v>
                </c:pt>
                <c:pt idx="64">
                  <c:v>796.37</c:v>
                </c:pt>
                <c:pt idx="65">
                  <c:v>832.55</c:v>
                </c:pt>
                <c:pt idx="66">
                  <c:v>874.61</c:v>
                </c:pt>
                <c:pt idx="67">
                  <c:v>923.63</c:v>
                </c:pt>
                <c:pt idx="68">
                  <c:v>981.47</c:v>
                </c:pt>
                <c:pt idx="69">
                  <c:v>1051.44</c:v>
                </c:pt>
                <c:pt idx="70">
                  <c:v>1139.05</c:v>
                </c:pt>
                <c:pt idx="71">
                  <c:v>1252.97</c:v>
                </c:pt>
                <c:pt idx="72">
                  <c:v>1406.05</c:v>
                </c:pt>
                <c:pt idx="73">
                  <c:v>1616.77</c:v>
                </c:pt>
                <c:pt idx="74">
                  <c:v>1911.2</c:v>
                </c:pt>
                <c:pt idx="75">
                  <c:v>2325.85</c:v>
                </c:pt>
                <c:pt idx="76">
                  <c:v>2910.45</c:v>
                </c:pt>
                <c:pt idx="77">
                  <c:v>3727.94</c:v>
                </c:pt>
                <c:pt idx="78">
                  <c:v>4817.67</c:v>
                </c:pt>
                <c:pt idx="79">
                  <c:v>6031.41</c:v>
                </c:pt>
                <c:pt idx="80">
                  <c:v>7035.93</c:v>
                </c:pt>
                <c:pt idx="81">
                  <c:v>7499.84</c:v>
                </c:pt>
                <c:pt idx="82">
                  <c:v>7204.57</c:v>
                </c:pt>
                <c:pt idx="83">
                  <c:v>6166.89</c:v>
                </c:pt>
                <c:pt idx="84">
                  <c:v>4684.3900000000003</c:v>
                </c:pt>
                <c:pt idx="85">
                  <c:v>3253.73</c:v>
                </c:pt>
                <c:pt idx="86">
                  <c:v>2206.12</c:v>
                </c:pt>
                <c:pt idx="87">
                  <c:v>1517.88</c:v>
                </c:pt>
                <c:pt idx="88">
                  <c:v>1071.8900000000001</c:v>
                </c:pt>
                <c:pt idx="89">
                  <c:v>779.22</c:v>
                </c:pt>
                <c:pt idx="90">
                  <c:v>583.02</c:v>
                </c:pt>
                <c:pt idx="91">
                  <c:v>448.29</c:v>
                </c:pt>
                <c:pt idx="92">
                  <c:v>353.48</c:v>
                </c:pt>
                <c:pt idx="93">
                  <c:v>285.14999999999998</c:v>
                </c:pt>
                <c:pt idx="94">
                  <c:v>234.77</c:v>
                </c:pt>
                <c:pt idx="95">
                  <c:v>196.84</c:v>
                </c:pt>
                <c:pt idx="96">
                  <c:v>167.72</c:v>
                </c:pt>
                <c:pt idx="97">
                  <c:v>144.99</c:v>
                </c:pt>
                <c:pt idx="98">
                  <c:v>126.98</c:v>
                </c:pt>
                <c:pt idx="99">
                  <c:v>112.56</c:v>
                </c:pt>
                <c:pt idx="100">
                  <c:v>100.92</c:v>
                </c:pt>
                <c:pt idx="101">
                  <c:v>91.49</c:v>
                </c:pt>
                <c:pt idx="102">
                  <c:v>83.85</c:v>
                </c:pt>
                <c:pt idx="103">
                  <c:v>77.66</c:v>
                </c:pt>
                <c:pt idx="104">
                  <c:v>72.66</c:v>
                </c:pt>
                <c:pt idx="105">
                  <c:v>68.66</c:v>
                </c:pt>
                <c:pt idx="106">
                  <c:v>65.47</c:v>
                </c:pt>
                <c:pt idx="107">
                  <c:v>62.97</c:v>
                </c:pt>
                <c:pt idx="108">
                  <c:v>61.03</c:v>
                </c:pt>
                <c:pt idx="109">
                  <c:v>59.57</c:v>
                </c:pt>
                <c:pt idx="110">
                  <c:v>58.52</c:v>
                </c:pt>
                <c:pt idx="111">
                  <c:v>57.81</c:v>
                </c:pt>
                <c:pt idx="112">
                  <c:v>57.4</c:v>
                </c:pt>
                <c:pt idx="113">
                  <c:v>57.25</c:v>
                </c:pt>
                <c:pt idx="114">
                  <c:v>57.32</c:v>
                </c:pt>
                <c:pt idx="115">
                  <c:v>57.6</c:v>
                </c:pt>
                <c:pt idx="116">
                  <c:v>58.04</c:v>
                </c:pt>
                <c:pt idx="117">
                  <c:v>58.46</c:v>
                </c:pt>
              </c:numCache>
            </c:numRef>
          </c:val>
          <c:smooth val="0"/>
          <c:extLst>
            <c:ext xmlns:c16="http://schemas.microsoft.com/office/drawing/2014/chart" uri="{C3380CC4-5D6E-409C-BE32-E72D297353CC}">
              <c16:uniqueId val="{00000000-20CA-4C1B-A834-BE5B83AD144A}"/>
            </c:ext>
          </c:extLst>
        </c:ser>
        <c:ser>
          <c:idx val="1"/>
          <c:order val="1"/>
          <c:tx>
            <c:strRef>
              <c:f>'50..800_F2'!$C$3:$C$4</c:f>
              <c:strCache>
                <c:ptCount val="1"/>
                <c:pt idx="0">
                  <c:v>D03</c:v>
                </c:pt>
              </c:strCache>
            </c:strRef>
          </c:tx>
          <c:spPr>
            <a:ln w="28575" cap="rnd">
              <a:solidFill>
                <a:schemeClr val="accent2"/>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'50..800_F2'!$C$5:$C$123</c:f>
              <c:numCache>
                <c:formatCode>General</c:formatCode>
                <c:ptCount val="118"/>
                <c:pt idx="0">
                  <c:v>337.78</c:v>
                </c:pt>
                <c:pt idx="1">
                  <c:v>340.45</c:v>
                </c:pt>
                <c:pt idx="2">
                  <c:v>343.7</c:v>
                </c:pt>
                <c:pt idx="3">
                  <c:v>347.17</c:v>
                </c:pt>
                <c:pt idx="4">
                  <c:v>350.8</c:v>
                </c:pt>
                <c:pt idx="5">
                  <c:v>354.6</c:v>
                </c:pt>
                <c:pt idx="6">
                  <c:v>358.56</c:v>
                </c:pt>
                <c:pt idx="7">
                  <c:v>362.7</c:v>
                </c:pt>
                <c:pt idx="8">
                  <c:v>367.04</c:v>
                </c:pt>
                <c:pt idx="9">
                  <c:v>371.58</c:v>
                </c:pt>
                <c:pt idx="10">
                  <c:v>376.33</c:v>
                </c:pt>
                <c:pt idx="11">
                  <c:v>381.31</c:v>
                </c:pt>
                <c:pt idx="12">
                  <c:v>386.53</c:v>
                </c:pt>
                <c:pt idx="13">
                  <c:v>392.01</c:v>
                </c:pt>
                <c:pt idx="14">
                  <c:v>397.76</c:v>
                </c:pt>
                <c:pt idx="15">
                  <c:v>403.79</c:v>
                </c:pt>
                <c:pt idx="16">
                  <c:v>410.12</c:v>
                </c:pt>
                <c:pt idx="17">
                  <c:v>416.77</c:v>
                </c:pt>
                <c:pt idx="18">
                  <c:v>423.75</c:v>
                </c:pt>
                <c:pt idx="19">
                  <c:v>431.09</c:v>
                </c:pt>
                <c:pt idx="20">
                  <c:v>438.79</c:v>
                </c:pt>
                <c:pt idx="21">
                  <c:v>446.87</c:v>
                </c:pt>
                <c:pt idx="22">
                  <c:v>455.34</c:v>
                </c:pt>
                <c:pt idx="23">
                  <c:v>464.24</c:v>
                </c:pt>
                <c:pt idx="24">
                  <c:v>473.55</c:v>
                </c:pt>
                <c:pt idx="25">
                  <c:v>483.3</c:v>
                </c:pt>
                <c:pt idx="26">
                  <c:v>493.49</c:v>
                </c:pt>
                <c:pt idx="27">
                  <c:v>504.13</c:v>
                </c:pt>
                <c:pt idx="28">
                  <c:v>515.21</c:v>
                </c:pt>
                <c:pt idx="29">
                  <c:v>526.73</c:v>
                </c:pt>
                <c:pt idx="30">
                  <c:v>538.66999999999996</c:v>
                </c:pt>
                <c:pt idx="31">
                  <c:v>551.01</c:v>
                </c:pt>
                <c:pt idx="32">
                  <c:v>563.72</c:v>
                </c:pt>
                <c:pt idx="33">
                  <c:v>576.75</c:v>
                </c:pt>
                <c:pt idx="34">
                  <c:v>590.04</c:v>
                </c:pt>
                <c:pt idx="35">
                  <c:v>603.54</c:v>
                </c:pt>
                <c:pt idx="36">
                  <c:v>617.15</c:v>
                </c:pt>
                <c:pt idx="37">
                  <c:v>630.79</c:v>
                </c:pt>
                <c:pt idx="38">
                  <c:v>644.35</c:v>
                </c:pt>
                <c:pt idx="39">
                  <c:v>657.71</c:v>
                </c:pt>
                <c:pt idx="40">
                  <c:v>670.75</c:v>
                </c:pt>
                <c:pt idx="41">
                  <c:v>683.34</c:v>
                </c:pt>
                <c:pt idx="42">
                  <c:v>695.37</c:v>
                </c:pt>
                <c:pt idx="43">
                  <c:v>706.71</c:v>
                </c:pt>
                <c:pt idx="44">
                  <c:v>717.26</c:v>
                </c:pt>
                <c:pt idx="45">
                  <c:v>726.96</c:v>
                </c:pt>
                <c:pt idx="46">
                  <c:v>735.76</c:v>
                </c:pt>
                <c:pt idx="47">
                  <c:v>743.67</c:v>
                </c:pt>
                <c:pt idx="48">
                  <c:v>750.72</c:v>
                </c:pt>
                <c:pt idx="49">
                  <c:v>757.03</c:v>
                </c:pt>
                <c:pt idx="50">
                  <c:v>762.76</c:v>
                </c:pt>
                <c:pt idx="51">
                  <c:v>768.12</c:v>
                </c:pt>
                <c:pt idx="52">
                  <c:v>773.38</c:v>
                </c:pt>
                <c:pt idx="53">
                  <c:v>778.86</c:v>
                </c:pt>
                <c:pt idx="54">
                  <c:v>784.92</c:v>
                </c:pt>
                <c:pt idx="55">
                  <c:v>791.98</c:v>
                </c:pt>
                <c:pt idx="56">
                  <c:v>800.45</c:v>
                </c:pt>
                <c:pt idx="57">
                  <c:v>810.79</c:v>
                </c:pt>
                <c:pt idx="58">
                  <c:v>823.45</c:v>
                </c:pt>
                <c:pt idx="59">
                  <c:v>838.9</c:v>
                </c:pt>
                <c:pt idx="60">
                  <c:v>857.57</c:v>
                </c:pt>
                <c:pt idx="61">
                  <c:v>879.9</c:v>
                </c:pt>
                <c:pt idx="62">
                  <c:v>906.3</c:v>
                </c:pt>
                <c:pt idx="63">
                  <c:v>937.18</c:v>
                </c:pt>
                <c:pt idx="64">
                  <c:v>973.01</c:v>
                </c:pt>
                <c:pt idx="65">
                  <c:v>1014.45</c:v>
                </c:pt>
                <c:pt idx="66">
                  <c:v>1062.51</c:v>
                </c:pt>
                <c:pt idx="67">
                  <c:v>1118.8900000000001</c:v>
                </c:pt>
                <c:pt idx="68">
                  <c:v>1186.42</c:v>
                </c:pt>
                <c:pt idx="69">
                  <c:v>1269.7</c:v>
                </c:pt>
                <c:pt idx="70">
                  <c:v>1375.99</c:v>
                </c:pt>
                <c:pt idx="71">
                  <c:v>1516.3</c:v>
                </c:pt>
                <c:pt idx="72">
                  <c:v>1706.65</c:v>
                </c:pt>
                <c:pt idx="73">
                  <c:v>1969.68</c:v>
                </c:pt>
                <c:pt idx="74">
                  <c:v>2337.11</c:v>
                </c:pt>
                <c:pt idx="75">
                  <c:v>2853.54</c:v>
                </c:pt>
                <c:pt idx="76">
                  <c:v>3580.13</c:v>
                </c:pt>
                <c:pt idx="77">
                  <c:v>4591.6400000000003</c:v>
                </c:pt>
                <c:pt idx="78">
                  <c:v>5917.44</c:v>
                </c:pt>
                <c:pt idx="79">
                  <c:v>7344.35</c:v>
                </c:pt>
                <c:pt idx="80">
                  <c:v>8451.32</c:v>
                </c:pt>
                <c:pt idx="81">
                  <c:v>8847.93</c:v>
                </c:pt>
                <c:pt idx="82">
                  <c:v>8317.6299999999992</c:v>
                </c:pt>
                <c:pt idx="83">
                  <c:v>6948.15</c:v>
                </c:pt>
                <c:pt idx="84">
                  <c:v>5147.5</c:v>
                </c:pt>
                <c:pt idx="85">
                  <c:v>3508.99</c:v>
                </c:pt>
                <c:pt idx="86">
                  <c:v>2358.25</c:v>
                </c:pt>
                <c:pt idx="87">
                  <c:v>1617.23</c:v>
                </c:pt>
                <c:pt idx="88">
                  <c:v>1141.73</c:v>
                </c:pt>
                <c:pt idx="89">
                  <c:v>831.33</c:v>
                </c:pt>
                <c:pt idx="90">
                  <c:v>623.83000000000004</c:v>
                </c:pt>
                <c:pt idx="91">
                  <c:v>481.51</c:v>
                </c:pt>
                <c:pt idx="92">
                  <c:v>381.35</c:v>
                </c:pt>
                <c:pt idx="93">
                  <c:v>309.08999999999997</c:v>
                </c:pt>
                <c:pt idx="94">
                  <c:v>255.73</c:v>
                </c:pt>
                <c:pt idx="95">
                  <c:v>215.46</c:v>
                </c:pt>
                <c:pt idx="96">
                  <c:v>184.48</c:v>
                </c:pt>
                <c:pt idx="97">
                  <c:v>160.24</c:v>
                </c:pt>
                <c:pt idx="98">
                  <c:v>141</c:v>
                </c:pt>
                <c:pt idx="99">
                  <c:v>125.58</c:v>
                </c:pt>
                <c:pt idx="100">
                  <c:v>113.13</c:v>
                </c:pt>
                <c:pt idx="101">
                  <c:v>103.05</c:v>
                </c:pt>
                <c:pt idx="102">
                  <c:v>94.88</c:v>
                </c:pt>
                <c:pt idx="103">
                  <c:v>88.29</c:v>
                </c:pt>
                <c:pt idx="104">
                  <c:v>82.99</c:v>
                </c:pt>
                <c:pt idx="105">
                  <c:v>78.760000000000005</c:v>
                </c:pt>
                <c:pt idx="106">
                  <c:v>75.41</c:v>
                </c:pt>
                <c:pt idx="107">
                  <c:v>72.8</c:v>
                </c:pt>
                <c:pt idx="108">
                  <c:v>70.81</c:v>
                </c:pt>
                <c:pt idx="109">
                  <c:v>69.33</c:v>
                </c:pt>
                <c:pt idx="110">
                  <c:v>68.290000000000006</c:v>
                </c:pt>
                <c:pt idx="111">
                  <c:v>67.62</c:v>
                </c:pt>
                <c:pt idx="112">
                  <c:v>67.28</c:v>
                </c:pt>
                <c:pt idx="113">
                  <c:v>67.22</c:v>
                </c:pt>
                <c:pt idx="114">
                  <c:v>67.400000000000006</c:v>
                </c:pt>
                <c:pt idx="115">
                  <c:v>67.81</c:v>
                </c:pt>
                <c:pt idx="116">
                  <c:v>68.38</c:v>
                </c:pt>
                <c:pt idx="117">
                  <c:v>68.91</c:v>
                </c:pt>
              </c:numCache>
            </c:numRef>
          </c:val>
          <c:smooth val="0"/>
          <c:extLst>
            <c:ext xmlns:c16="http://schemas.microsoft.com/office/drawing/2014/chart" uri="{C3380CC4-5D6E-409C-BE32-E72D297353CC}">
              <c16:uniqueId val="{00000001-20CA-4C1B-A834-BE5B83AD144A}"/>
            </c:ext>
          </c:extLst>
        </c:ser>
        <c:ser>
          <c:idx val="2"/>
          <c:order val="2"/>
          <c:tx>
            <c:strRef>
              <c:f>'50..800_F2'!$D$3:$D$4</c:f>
              <c:strCache>
                <c:ptCount val="1"/>
                <c:pt idx="0">
                  <c:v>D04</c:v>
                </c:pt>
              </c:strCache>
            </c:strRef>
          </c:tx>
          <c:spPr>
            <a:ln w="28575" cap="rnd">
              <a:solidFill>
                <a:schemeClr val="accent3"/>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'50..800_F2'!$D$5:$D$123</c:f>
              <c:numCache>
                <c:formatCode>General</c:formatCode>
                <c:ptCount val="118"/>
                <c:pt idx="0">
                  <c:v>278.97000000000003</c:v>
                </c:pt>
                <c:pt idx="1">
                  <c:v>281.16000000000003</c:v>
                </c:pt>
                <c:pt idx="2">
                  <c:v>283.82</c:v>
                </c:pt>
                <c:pt idx="3">
                  <c:v>286.67</c:v>
                </c:pt>
                <c:pt idx="4">
                  <c:v>289.64</c:v>
                </c:pt>
                <c:pt idx="5">
                  <c:v>292.73</c:v>
                </c:pt>
                <c:pt idx="6">
                  <c:v>295.95</c:v>
                </c:pt>
                <c:pt idx="7">
                  <c:v>299.31</c:v>
                </c:pt>
                <c:pt idx="8">
                  <c:v>302.81</c:v>
                </c:pt>
                <c:pt idx="9">
                  <c:v>306.47000000000003</c:v>
                </c:pt>
                <c:pt idx="10">
                  <c:v>310.29000000000002</c:v>
                </c:pt>
                <c:pt idx="11">
                  <c:v>314.27999999999997</c:v>
                </c:pt>
                <c:pt idx="12">
                  <c:v>318.45</c:v>
                </c:pt>
                <c:pt idx="13">
                  <c:v>322.8</c:v>
                </c:pt>
                <c:pt idx="14">
                  <c:v>327.35000000000002</c:v>
                </c:pt>
                <c:pt idx="15">
                  <c:v>332.1</c:v>
                </c:pt>
                <c:pt idx="16">
                  <c:v>337.06</c:v>
                </c:pt>
                <c:pt idx="17">
                  <c:v>342.25</c:v>
                </c:pt>
                <c:pt idx="18">
                  <c:v>347.67</c:v>
                </c:pt>
                <c:pt idx="19">
                  <c:v>353.32</c:v>
                </c:pt>
                <c:pt idx="20">
                  <c:v>359.22</c:v>
                </c:pt>
                <c:pt idx="21">
                  <c:v>365.38</c:v>
                </c:pt>
                <c:pt idx="22">
                  <c:v>371.78</c:v>
                </c:pt>
                <c:pt idx="23">
                  <c:v>378.45</c:v>
                </c:pt>
                <c:pt idx="24">
                  <c:v>385.39</c:v>
                </c:pt>
                <c:pt idx="25">
                  <c:v>392.58</c:v>
                </c:pt>
                <c:pt idx="26">
                  <c:v>400.03</c:v>
                </c:pt>
                <c:pt idx="27">
                  <c:v>407.74</c:v>
                </c:pt>
                <c:pt idx="28">
                  <c:v>415.68</c:v>
                </c:pt>
                <c:pt idx="29">
                  <c:v>423.85</c:v>
                </c:pt>
                <c:pt idx="30">
                  <c:v>432.23</c:v>
                </c:pt>
                <c:pt idx="31">
                  <c:v>440.78</c:v>
                </c:pt>
                <c:pt idx="32">
                  <c:v>449.47</c:v>
                </c:pt>
                <c:pt idx="33">
                  <c:v>458.28</c:v>
                </c:pt>
                <c:pt idx="34">
                  <c:v>467.14</c:v>
                </c:pt>
                <c:pt idx="35">
                  <c:v>476</c:v>
                </c:pt>
                <c:pt idx="36">
                  <c:v>484.81</c:v>
                </c:pt>
                <c:pt idx="37">
                  <c:v>493.49</c:v>
                </c:pt>
                <c:pt idx="38">
                  <c:v>501.98</c:v>
                </c:pt>
                <c:pt idx="39">
                  <c:v>510.2</c:v>
                </c:pt>
                <c:pt idx="40">
                  <c:v>518.05999999999995</c:v>
                </c:pt>
                <c:pt idx="41">
                  <c:v>525.51</c:v>
                </c:pt>
                <c:pt idx="42">
                  <c:v>532.45000000000005</c:v>
                </c:pt>
                <c:pt idx="43">
                  <c:v>538.84</c:v>
                </c:pt>
                <c:pt idx="44">
                  <c:v>544.62</c:v>
                </c:pt>
                <c:pt idx="45">
                  <c:v>549.76</c:v>
                </c:pt>
                <c:pt idx="46">
                  <c:v>554.26</c:v>
                </c:pt>
                <c:pt idx="47">
                  <c:v>558.16</c:v>
                </c:pt>
                <c:pt idx="48">
                  <c:v>561.52</c:v>
                </c:pt>
                <c:pt idx="49">
                  <c:v>564.46</c:v>
                </c:pt>
                <c:pt idx="50">
                  <c:v>567.16</c:v>
                </c:pt>
                <c:pt idx="51">
                  <c:v>569.85</c:v>
                </c:pt>
                <c:pt idx="52">
                  <c:v>572.83000000000004</c:v>
                </c:pt>
                <c:pt idx="53">
                  <c:v>576.45000000000005</c:v>
                </c:pt>
                <c:pt idx="54">
                  <c:v>581.12</c:v>
                </c:pt>
                <c:pt idx="55">
                  <c:v>587.33000000000004</c:v>
                </c:pt>
                <c:pt idx="56">
                  <c:v>595.58000000000004</c:v>
                </c:pt>
                <c:pt idx="57">
                  <c:v>606.42999999999995</c:v>
                </c:pt>
                <c:pt idx="58">
                  <c:v>620.41</c:v>
                </c:pt>
                <c:pt idx="59">
                  <c:v>638.04999999999995</c:v>
                </c:pt>
                <c:pt idx="60">
                  <c:v>659.84</c:v>
                </c:pt>
                <c:pt idx="61">
                  <c:v>686.16</c:v>
                </c:pt>
                <c:pt idx="62">
                  <c:v>717.28</c:v>
                </c:pt>
                <c:pt idx="63">
                  <c:v>753.37</c:v>
                </c:pt>
                <c:pt idx="64">
                  <c:v>794.47</c:v>
                </c:pt>
                <c:pt idx="65">
                  <c:v>840.65</c:v>
                </c:pt>
                <c:pt idx="66">
                  <c:v>892.18</c:v>
                </c:pt>
                <c:pt idx="67">
                  <c:v>949.96</c:v>
                </c:pt>
                <c:pt idx="68">
                  <c:v>1016.04</c:v>
                </c:pt>
                <c:pt idx="69">
                  <c:v>1094.42</c:v>
                </c:pt>
                <c:pt idx="70">
                  <c:v>1191.83</c:v>
                </c:pt>
                <c:pt idx="71">
                  <c:v>1318.53</c:v>
                </c:pt>
                <c:pt idx="72">
                  <c:v>1489.11</c:v>
                </c:pt>
                <c:pt idx="73">
                  <c:v>1723.62</c:v>
                </c:pt>
                <c:pt idx="74">
                  <c:v>2049.65</c:v>
                </c:pt>
                <c:pt idx="75">
                  <c:v>2505.38</c:v>
                </c:pt>
                <c:pt idx="76">
                  <c:v>3142.24</c:v>
                </c:pt>
                <c:pt idx="77">
                  <c:v>4021.84</c:v>
                </c:pt>
                <c:pt idx="78">
                  <c:v>5166.3999999999996</c:v>
                </c:pt>
                <c:pt idx="79">
                  <c:v>6393.91</c:v>
                </c:pt>
                <c:pt idx="80">
                  <c:v>7346.68</c:v>
                </c:pt>
                <c:pt idx="81">
                  <c:v>7690.06</c:v>
                </c:pt>
                <c:pt idx="82">
                  <c:v>7234.75</c:v>
                </c:pt>
                <c:pt idx="83">
                  <c:v>6051.7</c:v>
                </c:pt>
                <c:pt idx="84">
                  <c:v>4490</c:v>
                </c:pt>
                <c:pt idx="85">
                  <c:v>3063.5</c:v>
                </c:pt>
                <c:pt idx="86">
                  <c:v>2058.66</c:v>
                </c:pt>
                <c:pt idx="87">
                  <c:v>1410.71</c:v>
                </c:pt>
                <c:pt idx="88">
                  <c:v>994.69</c:v>
                </c:pt>
                <c:pt idx="89">
                  <c:v>723.03</c:v>
                </c:pt>
                <c:pt idx="90">
                  <c:v>541.37</c:v>
                </c:pt>
                <c:pt idx="91">
                  <c:v>416.77</c:v>
                </c:pt>
                <c:pt idx="92">
                  <c:v>329.12</c:v>
                </c:pt>
                <c:pt idx="93">
                  <c:v>265.98</c:v>
                </c:pt>
                <c:pt idx="94">
                  <c:v>219.45</c:v>
                </c:pt>
                <c:pt idx="95">
                  <c:v>184.45</c:v>
                </c:pt>
                <c:pt idx="96">
                  <c:v>157.6</c:v>
                </c:pt>
                <c:pt idx="97">
                  <c:v>136.66999999999999</c:v>
                </c:pt>
                <c:pt idx="98">
                  <c:v>120.12</c:v>
                </c:pt>
                <c:pt idx="99">
                  <c:v>106.89</c:v>
                </c:pt>
                <c:pt idx="100">
                  <c:v>96.23</c:v>
                </c:pt>
                <c:pt idx="101">
                  <c:v>87.61</c:v>
                </c:pt>
                <c:pt idx="102">
                  <c:v>80.63</c:v>
                </c:pt>
                <c:pt idx="103">
                  <c:v>74.98</c:v>
                </c:pt>
                <c:pt idx="104">
                  <c:v>70.430000000000007</c:v>
                </c:pt>
                <c:pt idx="105">
                  <c:v>66.790000000000006</c:v>
                </c:pt>
                <c:pt idx="106">
                  <c:v>63.9</c:v>
                </c:pt>
                <c:pt idx="107">
                  <c:v>61.64</c:v>
                </c:pt>
                <c:pt idx="108">
                  <c:v>59.9</c:v>
                </c:pt>
                <c:pt idx="109">
                  <c:v>58.6</c:v>
                </c:pt>
                <c:pt idx="110">
                  <c:v>57.67</c:v>
                </c:pt>
                <c:pt idx="111">
                  <c:v>57.07</c:v>
                </c:pt>
                <c:pt idx="112">
                  <c:v>56.75</c:v>
                </c:pt>
                <c:pt idx="113">
                  <c:v>56.67</c:v>
                </c:pt>
                <c:pt idx="114">
                  <c:v>56.8</c:v>
                </c:pt>
                <c:pt idx="115">
                  <c:v>57.13</c:v>
                </c:pt>
                <c:pt idx="116">
                  <c:v>57.6</c:v>
                </c:pt>
                <c:pt idx="117">
                  <c:v>58.04</c:v>
                </c:pt>
              </c:numCache>
            </c:numRef>
          </c:val>
          <c:smooth val="0"/>
          <c:extLst>
            <c:ext xmlns:c16="http://schemas.microsoft.com/office/drawing/2014/chart" uri="{C3380CC4-5D6E-409C-BE32-E72D297353CC}">
              <c16:uniqueId val="{00000002-20CA-4C1B-A834-BE5B83AD144A}"/>
            </c:ext>
          </c:extLst>
        </c:ser>
        <c:ser>
          <c:idx val="3"/>
          <c:order val="3"/>
          <c:tx>
            <c:strRef>
              <c:f>'50..800_F2'!$E$3:$E$4</c:f>
              <c:strCache>
                <c:ptCount val="1"/>
                <c:pt idx="0">
                  <c:v>D05</c:v>
                </c:pt>
              </c:strCache>
            </c:strRef>
          </c:tx>
          <c:spPr>
            <a:ln w="28575" cap="rnd">
              <a:solidFill>
                <a:schemeClr val="accent4"/>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'50..800_F2'!$E$5:$E$123</c:f>
              <c:numCache>
                <c:formatCode>General</c:formatCode>
                <c:ptCount val="118"/>
                <c:pt idx="0">
                  <c:v>384.21</c:v>
                </c:pt>
                <c:pt idx="1">
                  <c:v>387</c:v>
                </c:pt>
                <c:pt idx="2">
                  <c:v>390.32</c:v>
                </c:pt>
                <c:pt idx="3">
                  <c:v>393.83</c:v>
                </c:pt>
                <c:pt idx="4">
                  <c:v>397.47</c:v>
                </c:pt>
                <c:pt idx="5">
                  <c:v>401.23</c:v>
                </c:pt>
                <c:pt idx="6">
                  <c:v>405.13</c:v>
                </c:pt>
                <c:pt idx="7">
                  <c:v>409.18</c:v>
                </c:pt>
                <c:pt idx="8">
                  <c:v>413.37</c:v>
                </c:pt>
                <c:pt idx="9">
                  <c:v>417.71</c:v>
                </c:pt>
                <c:pt idx="10">
                  <c:v>422.22</c:v>
                </c:pt>
                <c:pt idx="11">
                  <c:v>426.89</c:v>
                </c:pt>
                <c:pt idx="12">
                  <c:v>431.74</c:v>
                </c:pt>
                <c:pt idx="13">
                  <c:v>436.77</c:v>
                </c:pt>
                <c:pt idx="14">
                  <c:v>442</c:v>
                </c:pt>
                <c:pt idx="15">
                  <c:v>447.41</c:v>
                </c:pt>
                <c:pt idx="16">
                  <c:v>453.04</c:v>
                </c:pt>
                <c:pt idx="17">
                  <c:v>458.86</c:v>
                </c:pt>
                <c:pt idx="18">
                  <c:v>464.91</c:v>
                </c:pt>
                <c:pt idx="19">
                  <c:v>471.17</c:v>
                </c:pt>
                <c:pt idx="20">
                  <c:v>477.65</c:v>
                </c:pt>
                <c:pt idx="21">
                  <c:v>484.35</c:v>
                </c:pt>
                <c:pt idx="22">
                  <c:v>491.27</c:v>
                </c:pt>
                <c:pt idx="23">
                  <c:v>498.42</c:v>
                </c:pt>
                <c:pt idx="24">
                  <c:v>505.78</c:v>
                </c:pt>
                <c:pt idx="25">
                  <c:v>513.35</c:v>
                </c:pt>
                <c:pt idx="26">
                  <c:v>521.11</c:v>
                </c:pt>
                <c:pt idx="27">
                  <c:v>529.05999999999995</c:v>
                </c:pt>
                <c:pt idx="28">
                  <c:v>537.17999999999995</c:v>
                </c:pt>
                <c:pt idx="29">
                  <c:v>545.42999999999995</c:v>
                </c:pt>
                <c:pt idx="30">
                  <c:v>553.79999999999995</c:v>
                </c:pt>
                <c:pt idx="31">
                  <c:v>562.24</c:v>
                </c:pt>
                <c:pt idx="32">
                  <c:v>570.73</c:v>
                </c:pt>
                <c:pt idx="33">
                  <c:v>579.21</c:v>
                </c:pt>
                <c:pt idx="34">
                  <c:v>587.63</c:v>
                </c:pt>
                <c:pt idx="35">
                  <c:v>595.92999999999995</c:v>
                </c:pt>
                <c:pt idx="36">
                  <c:v>604.05999999999995</c:v>
                </c:pt>
                <c:pt idx="37">
                  <c:v>611.95000000000005</c:v>
                </c:pt>
                <c:pt idx="38">
                  <c:v>619.54</c:v>
                </c:pt>
                <c:pt idx="39">
                  <c:v>626.74</c:v>
                </c:pt>
                <c:pt idx="40">
                  <c:v>633.51</c:v>
                </c:pt>
                <c:pt idx="41">
                  <c:v>639.77</c:v>
                </c:pt>
                <c:pt idx="42">
                  <c:v>645.47</c:v>
                </c:pt>
                <c:pt idx="43">
                  <c:v>650.57000000000005</c:v>
                </c:pt>
                <c:pt idx="44">
                  <c:v>655.04999999999995</c:v>
                </c:pt>
                <c:pt idx="45">
                  <c:v>658.9</c:v>
                </c:pt>
                <c:pt idx="46">
                  <c:v>662.15</c:v>
                </c:pt>
                <c:pt idx="47">
                  <c:v>664.87</c:v>
                </c:pt>
                <c:pt idx="48">
                  <c:v>667.18</c:v>
                </c:pt>
                <c:pt idx="49">
                  <c:v>669.25</c:v>
                </c:pt>
                <c:pt idx="50">
                  <c:v>671.31</c:v>
                </c:pt>
                <c:pt idx="51">
                  <c:v>673.66</c:v>
                </c:pt>
                <c:pt idx="52">
                  <c:v>676.7</c:v>
                </c:pt>
                <c:pt idx="53">
                  <c:v>680.89</c:v>
                </c:pt>
                <c:pt idx="54">
                  <c:v>686.76</c:v>
                </c:pt>
                <c:pt idx="55">
                  <c:v>694.91</c:v>
                </c:pt>
                <c:pt idx="56">
                  <c:v>705.97</c:v>
                </c:pt>
                <c:pt idx="57">
                  <c:v>720.54</c:v>
                </c:pt>
                <c:pt idx="58">
                  <c:v>739.2</c:v>
                </c:pt>
                <c:pt idx="59">
                  <c:v>762.36</c:v>
                </c:pt>
                <c:pt idx="60">
                  <c:v>790.23</c:v>
                </c:pt>
                <c:pt idx="61">
                  <c:v>822.76</c:v>
                </c:pt>
                <c:pt idx="62">
                  <c:v>859.59</c:v>
                </c:pt>
                <c:pt idx="63">
                  <c:v>900.14</c:v>
                </c:pt>
                <c:pt idx="64">
                  <c:v>943.78</c:v>
                </c:pt>
                <c:pt idx="65">
                  <c:v>990.15</c:v>
                </c:pt>
                <c:pt idx="66">
                  <c:v>1039.69</c:v>
                </c:pt>
                <c:pt idx="67">
                  <c:v>1094.04</c:v>
                </c:pt>
                <c:pt idx="68">
                  <c:v>1156.5899999999999</c:v>
                </c:pt>
                <c:pt idx="69">
                  <c:v>1232.79</c:v>
                </c:pt>
                <c:pt idx="70">
                  <c:v>1330.48</c:v>
                </c:pt>
                <c:pt idx="71">
                  <c:v>1460.47</c:v>
                </c:pt>
                <c:pt idx="72">
                  <c:v>1637.57</c:v>
                </c:pt>
                <c:pt idx="73">
                  <c:v>1882.21</c:v>
                </c:pt>
                <c:pt idx="74">
                  <c:v>2222.94</c:v>
                </c:pt>
                <c:pt idx="75">
                  <c:v>2699.61</c:v>
                </c:pt>
                <c:pt idx="76">
                  <c:v>3366.38</c:v>
                </c:pt>
                <c:pt idx="77">
                  <c:v>4289.76</c:v>
                </c:pt>
                <c:pt idx="78">
                  <c:v>5515.35</c:v>
                </c:pt>
                <c:pt idx="79">
                  <c:v>6913.54</c:v>
                </c:pt>
                <c:pt idx="80">
                  <c:v>8112.83</c:v>
                </c:pt>
                <c:pt idx="81">
                  <c:v>8717.2999999999993</c:v>
                </c:pt>
                <c:pt idx="82">
                  <c:v>8455.44</c:v>
                </c:pt>
                <c:pt idx="83">
                  <c:v>7316.34</c:v>
                </c:pt>
                <c:pt idx="84">
                  <c:v>5607.85</c:v>
                </c:pt>
                <c:pt idx="85">
                  <c:v>3884.55</c:v>
                </c:pt>
                <c:pt idx="86">
                  <c:v>2599.77</c:v>
                </c:pt>
                <c:pt idx="87">
                  <c:v>1764.35</c:v>
                </c:pt>
                <c:pt idx="88">
                  <c:v>1231.07</c:v>
                </c:pt>
                <c:pt idx="89">
                  <c:v>886.12</c:v>
                </c:pt>
                <c:pt idx="90">
                  <c:v>657.77</c:v>
                </c:pt>
                <c:pt idx="91">
                  <c:v>502.58</c:v>
                </c:pt>
                <c:pt idx="92">
                  <c:v>394.29</c:v>
                </c:pt>
                <c:pt idx="93">
                  <c:v>316.77</c:v>
                </c:pt>
                <c:pt idx="94">
                  <c:v>259.94</c:v>
                </c:pt>
                <c:pt idx="95">
                  <c:v>217.36</c:v>
                </c:pt>
                <c:pt idx="96">
                  <c:v>184.83</c:v>
                </c:pt>
                <c:pt idx="97">
                  <c:v>159.53</c:v>
                </c:pt>
                <c:pt idx="98">
                  <c:v>139.59</c:v>
                </c:pt>
                <c:pt idx="99">
                  <c:v>123.68</c:v>
                </c:pt>
                <c:pt idx="100">
                  <c:v>110.89</c:v>
                </c:pt>
                <c:pt idx="101">
                  <c:v>100.58</c:v>
                </c:pt>
                <c:pt idx="102">
                  <c:v>92.26</c:v>
                </c:pt>
                <c:pt idx="103">
                  <c:v>85.55</c:v>
                </c:pt>
                <c:pt idx="104">
                  <c:v>80.16</c:v>
                </c:pt>
                <c:pt idx="105">
                  <c:v>75.87</c:v>
                </c:pt>
                <c:pt idx="106">
                  <c:v>72.48</c:v>
                </c:pt>
                <c:pt idx="107">
                  <c:v>69.84</c:v>
                </c:pt>
                <c:pt idx="108">
                  <c:v>67.83</c:v>
                </c:pt>
                <c:pt idx="109">
                  <c:v>66.33</c:v>
                </c:pt>
                <c:pt idx="110">
                  <c:v>65.28</c:v>
                </c:pt>
                <c:pt idx="111">
                  <c:v>64.61</c:v>
                </c:pt>
                <c:pt idx="112">
                  <c:v>64.260000000000005</c:v>
                </c:pt>
                <c:pt idx="113">
                  <c:v>64.2</c:v>
                </c:pt>
                <c:pt idx="114">
                  <c:v>64.39</c:v>
                </c:pt>
                <c:pt idx="115">
                  <c:v>64.790000000000006</c:v>
                </c:pt>
                <c:pt idx="116">
                  <c:v>65.37</c:v>
                </c:pt>
                <c:pt idx="117">
                  <c:v>65.900000000000006</c:v>
                </c:pt>
              </c:numCache>
            </c:numRef>
          </c:val>
          <c:smooth val="0"/>
          <c:extLst>
            <c:ext xmlns:c16="http://schemas.microsoft.com/office/drawing/2014/chart" uri="{C3380CC4-5D6E-409C-BE32-E72D297353CC}">
              <c16:uniqueId val="{00000003-20CA-4C1B-A834-BE5B83AD144A}"/>
            </c:ext>
          </c:extLst>
        </c:ser>
        <c:ser>
          <c:idx val="4"/>
          <c:order val="4"/>
          <c:tx>
            <c:strRef>
              <c:f>'50..800_F2'!$F$3:$F$4</c:f>
              <c:strCache>
                <c:ptCount val="1"/>
                <c:pt idx="0">
                  <c:v>D06</c:v>
                </c:pt>
              </c:strCache>
            </c:strRef>
          </c:tx>
          <c:spPr>
            <a:ln w="28575" cap="rnd">
              <a:solidFill>
                <a:schemeClr val="accent5"/>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'50..800_F2'!$F$5:$F$123</c:f>
              <c:numCache>
                <c:formatCode>General</c:formatCode>
                <c:ptCount val="118"/>
                <c:pt idx="0">
                  <c:v>350.59</c:v>
                </c:pt>
                <c:pt idx="1">
                  <c:v>353.09</c:v>
                </c:pt>
                <c:pt idx="2">
                  <c:v>356.04</c:v>
                </c:pt>
                <c:pt idx="3">
                  <c:v>359.16</c:v>
                </c:pt>
                <c:pt idx="4">
                  <c:v>362.41</c:v>
                </c:pt>
                <c:pt idx="5">
                  <c:v>365.79</c:v>
                </c:pt>
                <c:pt idx="6">
                  <c:v>369.29</c:v>
                </c:pt>
                <c:pt idx="7">
                  <c:v>372.95</c:v>
                </c:pt>
                <c:pt idx="8">
                  <c:v>376.75</c:v>
                </c:pt>
                <c:pt idx="9">
                  <c:v>380.71</c:v>
                </c:pt>
                <c:pt idx="10">
                  <c:v>384.83</c:v>
                </c:pt>
                <c:pt idx="11">
                  <c:v>389.14</c:v>
                </c:pt>
                <c:pt idx="12">
                  <c:v>393.63</c:v>
                </c:pt>
                <c:pt idx="13">
                  <c:v>398.32</c:v>
                </c:pt>
                <c:pt idx="14">
                  <c:v>403.22</c:v>
                </c:pt>
                <c:pt idx="15">
                  <c:v>408.34</c:v>
                </c:pt>
                <c:pt idx="16">
                  <c:v>413.69</c:v>
                </c:pt>
                <c:pt idx="17">
                  <c:v>419.29</c:v>
                </c:pt>
                <c:pt idx="18">
                  <c:v>425.15</c:v>
                </c:pt>
                <c:pt idx="19">
                  <c:v>431.28</c:v>
                </c:pt>
                <c:pt idx="20">
                  <c:v>437.7</c:v>
                </c:pt>
                <c:pt idx="21">
                  <c:v>444.41</c:v>
                </c:pt>
                <c:pt idx="22">
                  <c:v>451.44</c:v>
                </c:pt>
                <c:pt idx="23">
                  <c:v>458.8</c:v>
                </c:pt>
                <c:pt idx="24">
                  <c:v>466.5</c:v>
                </c:pt>
                <c:pt idx="25">
                  <c:v>474.54</c:v>
                </c:pt>
                <c:pt idx="26">
                  <c:v>482.95</c:v>
                </c:pt>
                <c:pt idx="27">
                  <c:v>491.73</c:v>
                </c:pt>
                <c:pt idx="28">
                  <c:v>500.89</c:v>
                </c:pt>
                <c:pt idx="29">
                  <c:v>510.42</c:v>
                </c:pt>
                <c:pt idx="30">
                  <c:v>520.34</c:v>
                </c:pt>
                <c:pt idx="31">
                  <c:v>530.62</c:v>
                </c:pt>
                <c:pt idx="32">
                  <c:v>541.26</c:v>
                </c:pt>
                <c:pt idx="33">
                  <c:v>552.24</c:v>
                </c:pt>
                <c:pt idx="34">
                  <c:v>563.52</c:v>
                </c:pt>
                <c:pt idx="35">
                  <c:v>575.08000000000004</c:v>
                </c:pt>
                <c:pt idx="36">
                  <c:v>586.85</c:v>
                </c:pt>
                <c:pt idx="37">
                  <c:v>598.78</c:v>
                </c:pt>
                <c:pt idx="38">
                  <c:v>610.79999999999995</c:v>
                </c:pt>
                <c:pt idx="39">
                  <c:v>622.82000000000005</c:v>
                </c:pt>
                <c:pt idx="40">
                  <c:v>634.75</c:v>
                </c:pt>
                <c:pt idx="41">
                  <c:v>646.49</c:v>
                </c:pt>
                <c:pt idx="42">
                  <c:v>657.92</c:v>
                </c:pt>
                <c:pt idx="43">
                  <c:v>668.96</c:v>
                </c:pt>
                <c:pt idx="44">
                  <c:v>679.49</c:v>
                </c:pt>
                <c:pt idx="45">
                  <c:v>689.45</c:v>
                </c:pt>
                <c:pt idx="46">
                  <c:v>698.78</c:v>
                </c:pt>
                <c:pt idx="47">
                  <c:v>707.48</c:v>
                </c:pt>
                <c:pt idx="48">
                  <c:v>715.58</c:v>
                </c:pt>
                <c:pt idx="49">
                  <c:v>723.18</c:v>
                </c:pt>
                <c:pt idx="50">
                  <c:v>730.45</c:v>
                </c:pt>
                <c:pt idx="51">
                  <c:v>737.64</c:v>
                </c:pt>
                <c:pt idx="52">
                  <c:v>745.05</c:v>
                </c:pt>
                <c:pt idx="53">
                  <c:v>753.08</c:v>
                </c:pt>
                <c:pt idx="54">
                  <c:v>762.16</c:v>
                </c:pt>
                <c:pt idx="55">
                  <c:v>772.79</c:v>
                </c:pt>
                <c:pt idx="56">
                  <c:v>785.45</c:v>
                </c:pt>
                <c:pt idx="57">
                  <c:v>800.66</c:v>
                </c:pt>
                <c:pt idx="58">
                  <c:v>818.88</c:v>
                </c:pt>
                <c:pt idx="59">
                  <c:v>840.5</c:v>
                </c:pt>
                <c:pt idx="60">
                  <c:v>865.83</c:v>
                </c:pt>
                <c:pt idx="61">
                  <c:v>895.03</c:v>
                </c:pt>
                <c:pt idx="62">
                  <c:v>928.18</c:v>
                </c:pt>
                <c:pt idx="63">
                  <c:v>965.23</c:v>
                </c:pt>
                <c:pt idx="64">
                  <c:v>1006.2</c:v>
                </c:pt>
                <c:pt idx="65">
                  <c:v>1051.29</c:v>
                </c:pt>
                <c:pt idx="66">
                  <c:v>1101.23</c:v>
                </c:pt>
                <c:pt idx="67">
                  <c:v>1157.6199999999999</c:v>
                </c:pt>
                <c:pt idx="68">
                  <c:v>1223.47</c:v>
                </c:pt>
                <c:pt idx="69">
                  <c:v>1303.71</c:v>
                </c:pt>
                <c:pt idx="70">
                  <c:v>1405.86</c:v>
                </c:pt>
                <c:pt idx="71">
                  <c:v>1540.76</c:v>
                </c:pt>
                <c:pt idx="72">
                  <c:v>1723.78</c:v>
                </c:pt>
                <c:pt idx="73">
                  <c:v>1976.51</c:v>
                </c:pt>
                <c:pt idx="74">
                  <c:v>2329.29</c:v>
                </c:pt>
                <c:pt idx="75">
                  <c:v>2824.49</c:v>
                </c:pt>
                <c:pt idx="76">
                  <c:v>3519.29</c:v>
                </c:pt>
                <c:pt idx="77">
                  <c:v>4483.03</c:v>
                </c:pt>
                <c:pt idx="78">
                  <c:v>5760</c:v>
                </c:pt>
                <c:pt idx="79">
                  <c:v>7208.06</c:v>
                </c:pt>
                <c:pt idx="80">
                  <c:v>8439.0400000000009</c:v>
                </c:pt>
                <c:pt idx="81">
                  <c:v>9046.31</c:v>
                </c:pt>
                <c:pt idx="82">
                  <c:v>8755.3799999999992</c:v>
                </c:pt>
                <c:pt idx="83">
                  <c:v>7561.37</c:v>
                </c:pt>
                <c:pt idx="84">
                  <c:v>5786.43</c:v>
                </c:pt>
                <c:pt idx="85">
                  <c:v>4004.32</c:v>
                </c:pt>
                <c:pt idx="86">
                  <c:v>2679.57</c:v>
                </c:pt>
                <c:pt idx="87">
                  <c:v>1818.86</c:v>
                </c:pt>
                <c:pt idx="88">
                  <c:v>1269.28</c:v>
                </c:pt>
                <c:pt idx="89">
                  <c:v>913.7</c:v>
                </c:pt>
                <c:pt idx="90">
                  <c:v>678.33</c:v>
                </c:pt>
                <c:pt idx="91">
                  <c:v>518.39</c:v>
                </c:pt>
                <c:pt idx="92">
                  <c:v>406.77</c:v>
                </c:pt>
                <c:pt idx="93">
                  <c:v>326.87</c:v>
                </c:pt>
                <c:pt idx="94">
                  <c:v>268.27999999999997</c:v>
                </c:pt>
                <c:pt idx="95">
                  <c:v>224.39</c:v>
                </c:pt>
                <c:pt idx="96">
                  <c:v>190.85</c:v>
                </c:pt>
                <c:pt idx="97">
                  <c:v>164.78</c:v>
                </c:pt>
                <c:pt idx="98">
                  <c:v>144.21</c:v>
                </c:pt>
                <c:pt idx="99">
                  <c:v>127.79</c:v>
                </c:pt>
                <c:pt idx="100">
                  <c:v>114.58</c:v>
                </c:pt>
                <c:pt idx="101">
                  <c:v>103.89</c:v>
                </c:pt>
                <c:pt idx="102">
                  <c:v>95.22</c:v>
                </c:pt>
                <c:pt idx="103">
                  <c:v>88.21</c:v>
                </c:pt>
                <c:pt idx="104">
                  <c:v>82.55</c:v>
                </c:pt>
                <c:pt idx="105">
                  <c:v>78.010000000000005</c:v>
                </c:pt>
                <c:pt idx="106">
                  <c:v>74.400000000000006</c:v>
                </c:pt>
                <c:pt idx="107">
                  <c:v>71.56</c:v>
                </c:pt>
                <c:pt idx="108">
                  <c:v>69.37</c:v>
                </c:pt>
                <c:pt idx="109">
                  <c:v>67.73</c:v>
                </c:pt>
                <c:pt idx="110">
                  <c:v>66.540000000000006</c:v>
                </c:pt>
                <c:pt idx="111">
                  <c:v>65.75</c:v>
                </c:pt>
                <c:pt idx="112">
                  <c:v>65.31</c:v>
                </c:pt>
                <c:pt idx="113">
                  <c:v>65.16</c:v>
                </c:pt>
                <c:pt idx="114">
                  <c:v>65.28</c:v>
                </c:pt>
                <c:pt idx="115">
                  <c:v>65.64</c:v>
                </c:pt>
                <c:pt idx="116">
                  <c:v>66.17</c:v>
                </c:pt>
                <c:pt idx="117">
                  <c:v>66.680000000000007</c:v>
                </c:pt>
              </c:numCache>
            </c:numRef>
          </c:val>
          <c:smooth val="0"/>
          <c:extLst>
            <c:ext xmlns:c16="http://schemas.microsoft.com/office/drawing/2014/chart" uri="{C3380CC4-5D6E-409C-BE32-E72D297353CC}">
              <c16:uniqueId val="{00000004-20CA-4C1B-A834-BE5B83AD144A}"/>
            </c:ext>
          </c:extLst>
        </c:ser>
        <c:ser>
          <c:idx val="5"/>
          <c:order val="5"/>
          <c:tx>
            <c:strRef>
              <c:f>'50..800_F2'!$G$3:$G$4</c:f>
              <c:strCache>
                <c:ptCount val="1"/>
                <c:pt idx="0">
                  <c:v>D07</c:v>
                </c:pt>
              </c:strCache>
            </c:strRef>
          </c:tx>
          <c:spPr>
            <a:ln w="28575" cap="rnd">
              <a:solidFill>
                <a:schemeClr val="accent6"/>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'50..800_F2'!$G$5:$G$123</c:f>
              <c:numCache>
                <c:formatCode>General</c:formatCode>
                <c:ptCount val="118"/>
                <c:pt idx="0">
                  <c:v>359</c:v>
                </c:pt>
                <c:pt idx="1">
                  <c:v>361.56</c:v>
                </c:pt>
                <c:pt idx="2">
                  <c:v>364.58</c:v>
                </c:pt>
                <c:pt idx="3">
                  <c:v>367.77</c:v>
                </c:pt>
                <c:pt idx="4">
                  <c:v>371.08</c:v>
                </c:pt>
                <c:pt idx="5">
                  <c:v>374.5</c:v>
                </c:pt>
                <c:pt idx="6">
                  <c:v>378.04</c:v>
                </c:pt>
                <c:pt idx="7">
                  <c:v>381.72</c:v>
                </c:pt>
                <c:pt idx="8">
                  <c:v>385.53</c:v>
                </c:pt>
                <c:pt idx="9">
                  <c:v>389.49</c:v>
                </c:pt>
                <c:pt idx="10">
                  <c:v>393.59</c:v>
                </c:pt>
                <c:pt idx="11">
                  <c:v>397.85</c:v>
                </c:pt>
                <c:pt idx="12">
                  <c:v>402.27</c:v>
                </c:pt>
                <c:pt idx="13">
                  <c:v>406.86</c:v>
                </c:pt>
                <c:pt idx="14">
                  <c:v>411.62</c:v>
                </c:pt>
                <c:pt idx="15">
                  <c:v>416.57</c:v>
                </c:pt>
                <c:pt idx="16">
                  <c:v>421.71</c:v>
                </c:pt>
                <c:pt idx="17">
                  <c:v>427.05</c:v>
                </c:pt>
                <c:pt idx="18">
                  <c:v>432.58</c:v>
                </c:pt>
                <c:pt idx="19">
                  <c:v>438.33</c:v>
                </c:pt>
                <c:pt idx="20">
                  <c:v>444.29</c:v>
                </c:pt>
                <c:pt idx="21">
                  <c:v>450.47</c:v>
                </c:pt>
                <c:pt idx="22">
                  <c:v>456.87</c:v>
                </c:pt>
                <c:pt idx="23">
                  <c:v>463.5</c:v>
                </c:pt>
                <c:pt idx="24">
                  <c:v>470.35</c:v>
                </c:pt>
                <c:pt idx="25">
                  <c:v>477.43</c:v>
                </c:pt>
                <c:pt idx="26">
                  <c:v>484.72</c:v>
                </c:pt>
                <c:pt idx="27">
                  <c:v>492.24</c:v>
                </c:pt>
                <c:pt idx="28">
                  <c:v>499.96</c:v>
                </c:pt>
                <c:pt idx="29">
                  <c:v>507.89</c:v>
                </c:pt>
                <c:pt idx="30">
                  <c:v>516</c:v>
                </c:pt>
                <c:pt idx="31">
                  <c:v>524.29</c:v>
                </c:pt>
                <c:pt idx="32">
                  <c:v>532.72</c:v>
                </c:pt>
                <c:pt idx="33">
                  <c:v>541.29</c:v>
                </c:pt>
                <c:pt idx="34">
                  <c:v>549.96</c:v>
                </c:pt>
                <c:pt idx="35">
                  <c:v>558.71</c:v>
                </c:pt>
                <c:pt idx="36">
                  <c:v>567.49</c:v>
                </c:pt>
                <c:pt idx="37">
                  <c:v>576.29</c:v>
                </c:pt>
                <c:pt idx="38">
                  <c:v>585.05999999999995</c:v>
                </c:pt>
                <c:pt idx="39">
                  <c:v>593.77</c:v>
                </c:pt>
                <c:pt idx="40">
                  <c:v>602.38</c:v>
                </c:pt>
                <c:pt idx="41">
                  <c:v>610.86</c:v>
                </c:pt>
                <c:pt idx="42">
                  <c:v>619.16999999999996</c:v>
                </c:pt>
                <c:pt idx="43">
                  <c:v>627.29</c:v>
                </c:pt>
                <c:pt idx="44">
                  <c:v>635.21</c:v>
                </c:pt>
                <c:pt idx="45">
                  <c:v>642.91999999999996</c:v>
                </c:pt>
                <c:pt idx="46">
                  <c:v>650.42999999999995</c:v>
                </c:pt>
                <c:pt idx="47">
                  <c:v>657.78</c:v>
                </c:pt>
                <c:pt idx="48">
                  <c:v>665.04</c:v>
                </c:pt>
                <c:pt idx="49">
                  <c:v>672.31</c:v>
                </c:pt>
                <c:pt idx="50">
                  <c:v>679.72</c:v>
                </c:pt>
                <c:pt idx="51">
                  <c:v>687.48</c:v>
                </c:pt>
                <c:pt idx="52">
                  <c:v>695.83</c:v>
                </c:pt>
                <c:pt idx="53">
                  <c:v>705.08</c:v>
                </c:pt>
                <c:pt idx="54">
                  <c:v>715.59</c:v>
                </c:pt>
                <c:pt idx="55">
                  <c:v>727.78</c:v>
                </c:pt>
                <c:pt idx="56">
                  <c:v>742.08</c:v>
                </c:pt>
                <c:pt idx="57">
                  <c:v>758.91</c:v>
                </c:pt>
                <c:pt idx="58">
                  <c:v>778.67</c:v>
                </c:pt>
                <c:pt idx="59">
                  <c:v>801.67</c:v>
                </c:pt>
                <c:pt idx="60">
                  <c:v>828.08</c:v>
                </c:pt>
                <c:pt idx="61">
                  <c:v>857.94</c:v>
                </c:pt>
                <c:pt idx="62">
                  <c:v>891.15</c:v>
                </c:pt>
                <c:pt idx="63">
                  <c:v>927.58</c:v>
                </c:pt>
                <c:pt idx="64">
                  <c:v>967.15</c:v>
                </c:pt>
                <c:pt idx="65">
                  <c:v>1010.12</c:v>
                </c:pt>
                <c:pt idx="66">
                  <c:v>1057.4100000000001</c:v>
                </c:pt>
                <c:pt idx="67">
                  <c:v>1110.9100000000001</c:v>
                </c:pt>
                <c:pt idx="68">
                  <c:v>1173.94</c:v>
                </c:pt>
                <c:pt idx="69">
                  <c:v>1251.7</c:v>
                </c:pt>
                <c:pt idx="70">
                  <c:v>1351.9</c:v>
                </c:pt>
                <c:pt idx="71">
                  <c:v>1485.8</c:v>
                </c:pt>
                <c:pt idx="72">
                  <c:v>1669.56</c:v>
                </c:pt>
                <c:pt idx="73">
                  <c:v>1926.09</c:v>
                </c:pt>
                <c:pt idx="74">
                  <c:v>2287.34</c:v>
                </c:pt>
                <c:pt idx="75">
                  <c:v>2797.4</c:v>
                </c:pt>
                <c:pt idx="76">
                  <c:v>3514.79</c:v>
                </c:pt>
                <c:pt idx="77">
                  <c:v>4508.8100000000004</c:v>
                </c:pt>
                <c:pt idx="78">
                  <c:v>5806.82</c:v>
                </c:pt>
                <c:pt idx="79">
                  <c:v>7212.28</c:v>
                </c:pt>
                <c:pt idx="80">
                  <c:v>8331.19</c:v>
                </c:pt>
                <c:pt idx="81">
                  <c:v>8786.25</c:v>
                </c:pt>
                <c:pt idx="82">
                  <c:v>8346.49</c:v>
                </c:pt>
                <c:pt idx="83">
                  <c:v>7062.72</c:v>
                </c:pt>
                <c:pt idx="84">
                  <c:v>5305.6</c:v>
                </c:pt>
                <c:pt idx="85">
                  <c:v>3655.91</c:v>
                </c:pt>
                <c:pt idx="86">
                  <c:v>2469.9699999999998</c:v>
                </c:pt>
                <c:pt idx="87">
                  <c:v>1697.41</c:v>
                </c:pt>
                <c:pt idx="88">
                  <c:v>1198.74</c:v>
                </c:pt>
                <c:pt idx="89">
                  <c:v>872.13</c:v>
                </c:pt>
                <c:pt idx="90">
                  <c:v>653.36</c:v>
                </c:pt>
                <c:pt idx="91">
                  <c:v>503.16</c:v>
                </c:pt>
                <c:pt idx="92">
                  <c:v>397.43</c:v>
                </c:pt>
                <c:pt idx="93">
                  <c:v>321.2</c:v>
                </c:pt>
                <c:pt idx="94">
                  <c:v>264.95</c:v>
                </c:pt>
                <c:pt idx="95">
                  <c:v>222.55</c:v>
                </c:pt>
                <c:pt idx="96">
                  <c:v>189.96</c:v>
                </c:pt>
                <c:pt idx="97">
                  <c:v>164.47</c:v>
                </c:pt>
                <c:pt idx="98">
                  <c:v>144.25</c:v>
                </c:pt>
                <c:pt idx="99">
                  <c:v>128.04</c:v>
                </c:pt>
                <c:pt idx="100">
                  <c:v>114.95</c:v>
                </c:pt>
                <c:pt idx="101">
                  <c:v>104.36</c:v>
                </c:pt>
                <c:pt idx="102">
                  <c:v>95.78</c:v>
                </c:pt>
                <c:pt idx="103">
                  <c:v>88.86</c:v>
                </c:pt>
                <c:pt idx="104">
                  <c:v>83.29</c:v>
                </c:pt>
                <c:pt idx="105">
                  <c:v>78.84</c:v>
                </c:pt>
                <c:pt idx="106">
                  <c:v>75.319999999999993</c:v>
                </c:pt>
                <c:pt idx="107">
                  <c:v>72.56</c:v>
                </c:pt>
                <c:pt idx="108">
                  <c:v>70.45</c:v>
                </c:pt>
                <c:pt idx="109">
                  <c:v>68.88</c:v>
                </c:pt>
                <c:pt idx="110">
                  <c:v>67.760000000000005</c:v>
                </c:pt>
                <c:pt idx="111">
                  <c:v>67.03</c:v>
                </c:pt>
                <c:pt idx="112">
                  <c:v>66.64</c:v>
                </c:pt>
                <c:pt idx="113">
                  <c:v>66.53</c:v>
                </c:pt>
                <c:pt idx="114">
                  <c:v>66.69</c:v>
                </c:pt>
                <c:pt idx="115">
                  <c:v>67.069999999999993</c:v>
                </c:pt>
                <c:pt idx="116">
                  <c:v>67.62</c:v>
                </c:pt>
                <c:pt idx="117">
                  <c:v>68.13</c:v>
                </c:pt>
              </c:numCache>
            </c:numRef>
          </c:val>
          <c:smooth val="0"/>
          <c:extLst>
            <c:ext xmlns:c16="http://schemas.microsoft.com/office/drawing/2014/chart" uri="{C3380CC4-5D6E-409C-BE32-E72D297353CC}">
              <c16:uniqueId val="{00000005-20CA-4C1B-A834-BE5B83AD144A}"/>
            </c:ext>
          </c:extLst>
        </c:ser>
        <c:ser>
          <c:idx val="6"/>
          <c:order val="6"/>
          <c:tx>
            <c:strRef>
              <c:f>'50..800_F2'!$H$3:$H$4</c:f>
              <c:strCache>
                <c:ptCount val="1"/>
                <c:pt idx="0">
                  <c:v>D08</c:v>
                </c:pt>
              </c:strCache>
            </c:strRef>
          </c:tx>
          <c:spPr>
            <a:ln w="28575" cap="rnd">
              <a:solidFill>
                <a:schemeClr val="accent1">
                  <a:lumMod val="6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'50..800_F2'!$H$5:$H$123</c:f>
              <c:numCache>
                <c:formatCode>General</c:formatCode>
                <c:ptCount val="118"/>
                <c:pt idx="0">
                  <c:v>435.68</c:v>
                </c:pt>
                <c:pt idx="1">
                  <c:v>438.64</c:v>
                </c:pt>
                <c:pt idx="2">
                  <c:v>442.06</c:v>
                </c:pt>
                <c:pt idx="3">
                  <c:v>445.65</c:v>
                </c:pt>
                <c:pt idx="4">
                  <c:v>449.34</c:v>
                </c:pt>
                <c:pt idx="5">
                  <c:v>453.14</c:v>
                </c:pt>
                <c:pt idx="6">
                  <c:v>457.05</c:v>
                </c:pt>
                <c:pt idx="7">
                  <c:v>461.08</c:v>
                </c:pt>
                <c:pt idx="8">
                  <c:v>465.23</c:v>
                </c:pt>
                <c:pt idx="9">
                  <c:v>469.5</c:v>
                </c:pt>
                <c:pt idx="10">
                  <c:v>473.9</c:v>
                </c:pt>
                <c:pt idx="11">
                  <c:v>478.44</c:v>
                </c:pt>
                <c:pt idx="12">
                  <c:v>483.11</c:v>
                </c:pt>
                <c:pt idx="13">
                  <c:v>487.93</c:v>
                </c:pt>
                <c:pt idx="14">
                  <c:v>492.89</c:v>
                </c:pt>
                <c:pt idx="15">
                  <c:v>498</c:v>
                </c:pt>
                <c:pt idx="16">
                  <c:v>503.27</c:v>
                </c:pt>
                <c:pt idx="17">
                  <c:v>508.68</c:v>
                </c:pt>
                <c:pt idx="18">
                  <c:v>514.26</c:v>
                </c:pt>
                <c:pt idx="19">
                  <c:v>519.98</c:v>
                </c:pt>
                <c:pt idx="20">
                  <c:v>525.86</c:v>
                </c:pt>
                <c:pt idx="21">
                  <c:v>531.89</c:v>
                </c:pt>
                <c:pt idx="22">
                  <c:v>538.07000000000005</c:v>
                </c:pt>
                <c:pt idx="23">
                  <c:v>544.39</c:v>
                </c:pt>
                <c:pt idx="24">
                  <c:v>550.84</c:v>
                </c:pt>
                <c:pt idx="25">
                  <c:v>557.41</c:v>
                </c:pt>
                <c:pt idx="26">
                  <c:v>564.09</c:v>
                </c:pt>
                <c:pt idx="27">
                  <c:v>570.86</c:v>
                </c:pt>
                <c:pt idx="28">
                  <c:v>577.71</c:v>
                </c:pt>
                <c:pt idx="29">
                  <c:v>584.6</c:v>
                </c:pt>
                <c:pt idx="30">
                  <c:v>591.52</c:v>
                </c:pt>
                <c:pt idx="31">
                  <c:v>598.44000000000005</c:v>
                </c:pt>
                <c:pt idx="32">
                  <c:v>605.32000000000005</c:v>
                </c:pt>
                <c:pt idx="33">
                  <c:v>612.14</c:v>
                </c:pt>
                <c:pt idx="34">
                  <c:v>618.85</c:v>
                </c:pt>
                <c:pt idx="35">
                  <c:v>625.42999999999995</c:v>
                </c:pt>
                <c:pt idx="36">
                  <c:v>631.83000000000004</c:v>
                </c:pt>
                <c:pt idx="37">
                  <c:v>638.03</c:v>
                </c:pt>
                <c:pt idx="38">
                  <c:v>643.98</c:v>
                </c:pt>
                <c:pt idx="39">
                  <c:v>649.66</c:v>
                </c:pt>
                <c:pt idx="40">
                  <c:v>655.04</c:v>
                </c:pt>
                <c:pt idx="41">
                  <c:v>660.1</c:v>
                </c:pt>
                <c:pt idx="42">
                  <c:v>664.82</c:v>
                </c:pt>
                <c:pt idx="43">
                  <c:v>669.21</c:v>
                </c:pt>
                <c:pt idx="44">
                  <c:v>673.26</c:v>
                </c:pt>
                <c:pt idx="45">
                  <c:v>676.99</c:v>
                </c:pt>
                <c:pt idx="46">
                  <c:v>680.42</c:v>
                </c:pt>
                <c:pt idx="47">
                  <c:v>683.6</c:v>
                </c:pt>
                <c:pt idx="48">
                  <c:v>686.59</c:v>
                </c:pt>
                <c:pt idx="49">
                  <c:v>689.45</c:v>
                </c:pt>
                <c:pt idx="50">
                  <c:v>692.27</c:v>
                </c:pt>
                <c:pt idx="51">
                  <c:v>695.18</c:v>
                </c:pt>
                <c:pt idx="52">
                  <c:v>698.31</c:v>
                </c:pt>
                <c:pt idx="53">
                  <c:v>701.81</c:v>
                </c:pt>
                <c:pt idx="54">
                  <c:v>705.89</c:v>
                </c:pt>
                <c:pt idx="55">
                  <c:v>710.76</c:v>
                </c:pt>
                <c:pt idx="56">
                  <c:v>716.68</c:v>
                </c:pt>
                <c:pt idx="57">
                  <c:v>723.97</c:v>
                </c:pt>
                <c:pt idx="58">
                  <c:v>732.97</c:v>
                </c:pt>
                <c:pt idx="59">
                  <c:v>744.08</c:v>
                </c:pt>
                <c:pt idx="60">
                  <c:v>757.79</c:v>
                </c:pt>
                <c:pt idx="61">
                  <c:v>774.61</c:v>
                </c:pt>
                <c:pt idx="62">
                  <c:v>795.17</c:v>
                </c:pt>
                <c:pt idx="63">
                  <c:v>820.17</c:v>
                </c:pt>
                <c:pt idx="64">
                  <c:v>850.46</c:v>
                </c:pt>
                <c:pt idx="65">
                  <c:v>887.06</c:v>
                </c:pt>
                <c:pt idx="66">
                  <c:v>931.26</c:v>
                </c:pt>
                <c:pt idx="67">
                  <c:v>984.78</c:v>
                </c:pt>
                <c:pt idx="68">
                  <c:v>1050.07</c:v>
                </c:pt>
                <c:pt idx="69">
                  <c:v>1130.82</c:v>
                </c:pt>
                <c:pt idx="70">
                  <c:v>1232.77</c:v>
                </c:pt>
                <c:pt idx="71">
                  <c:v>1364.94</c:v>
                </c:pt>
                <c:pt idx="72">
                  <c:v>1541.19</c:v>
                </c:pt>
                <c:pt idx="73">
                  <c:v>1782.01</c:v>
                </c:pt>
                <c:pt idx="74">
                  <c:v>2116.83</c:v>
                </c:pt>
                <c:pt idx="75">
                  <c:v>2586.98</c:v>
                </c:pt>
                <c:pt idx="76">
                  <c:v>3248.52</c:v>
                </c:pt>
                <c:pt idx="77">
                  <c:v>4169.25</c:v>
                </c:pt>
                <c:pt idx="78">
                  <c:v>5376.73</c:v>
                </c:pt>
                <c:pt idx="79">
                  <c:v>6682.38</c:v>
                </c:pt>
                <c:pt idx="80">
                  <c:v>7710.54</c:v>
                </c:pt>
                <c:pt idx="81">
                  <c:v>8108.24</c:v>
                </c:pt>
                <c:pt idx="82">
                  <c:v>7669.15</c:v>
                </c:pt>
                <c:pt idx="83">
                  <c:v>6455</c:v>
                </c:pt>
                <c:pt idx="84">
                  <c:v>4821.24</c:v>
                </c:pt>
                <c:pt idx="85">
                  <c:v>3306.9</c:v>
                </c:pt>
                <c:pt idx="86">
                  <c:v>2228.3000000000002</c:v>
                </c:pt>
                <c:pt idx="87">
                  <c:v>1528.79</c:v>
                </c:pt>
                <c:pt idx="88">
                  <c:v>1078.26</c:v>
                </c:pt>
                <c:pt idx="89">
                  <c:v>783.52</c:v>
                </c:pt>
                <c:pt idx="90">
                  <c:v>586.20000000000005</c:v>
                </c:pt>
                <c:pt idx="91">
                  <c:v>450.72</c:v>
                </c:pt>
                <c:pt idx="92">
                  <c:v>355.3</c:v>
                </c:pt>
                <c:pt idx="93">
                  <c:v>286.42</c:v>
                </c:pt>
                <c:pt idx="94">
                  <c:v>235.55</c:v>
                </c:pt>
                <c:pt idx="95">
                  <c:v>197.2</c:v>
                </c:pt>
                <c:pt idx="96">
                  <c:v>167.75</c:v>
                </c:pt>
                <c:pt idx="97">
                  <c:v>144.78</c:v>
                </c:pt>
                <c:pt idx="98">
                  <c:v>126.61</c:v>
                </c:pt>
                <c:pt idx="99">
                  <c:v>112.1</c:v>
                </c:pt>
                <c:pt idx="100">
                  <c:v>100.42</c:v>
                </c:pt>
                <c:pt idx="101">
                  <c:v>90.99</c:v>
                </c:pt>
                <c:pt idx="102">
                  <c:v>83.37</c:v>
                </c:pt>
                <c:pt idx="103">
                  <c:v>77.209999999999994</c:v>
                </c:pt>
                <c:pt idx="104">
                  <c:v>72.260000000000005</c:v>
                </c:pt>
                <c:pt idx="105">
                  <c:v>68.3</c:v>
                </c:pt>
                <c:pt idx="106">
                  <c:v>65.16</c:v>
                </c:pt>
                <c:pt idx="107">
                  <c:v>62.7</c:v>
                </c:pt>
                <c:pt idx="108">
                  <c:v>60.81</c:v>
                </c:pt>
                <c:pt idx="109">
                  <c:v>59.4</c:v>
                </c:pt>
                <c:pt idx="110">
                  <c:v>58.4</c:v>
                </c:pt>
                <c:pt idx="111">
                  <c:v>57.75</c:v>
                </c:pt>
                <c:pt idx="112">
                  <c:v>57.39</c:v>
                </c:pt>
                <c:pt idx="113">
                  <c:v>57.3</c:v>
                </c:pt>
                <c:pt idx="114">
                  <c:v>57.44</c:v>
                </c:pt>
                <c:pt idx="115">
                  <c:v>57.78</c:v>
                </c:pt>
                <c:pt idx="116">
                  <c:v>58.28</c:v>
                </c:pt>
                <c:pt idx="117">
                  <c:v>58.74</c:v>
                </c:pt>
              </c:numCache>
            </c:numRef>
          </c:val>
          <c:smooth val="0"/>
          <c:extLst>
            <c:ext xmlns:c16="http://schemas.microsoft.com/office/drawing/2014/chart" uri="{C3380CC4-5D6E-409C-BE32-E72D297353CC}">
              <c16:uniqueId val="{00000006-20CA-4C1B-A834-BE5B83AD144A}"/>
            </c:ext>
          </c:extLst>
        </c:ser>
        <c:ser>
          <c:idx val="7"/>
          <c:order val="7"/>
          <c:tx>
            <c:strRef>
              <c:f>'50..800_F2'!$I$3:$I$4</c:f>
              <c:strCache>
                <c:ptCount val="1"/>
                <c:pt idx="0">
                  <c:v>D09</c:v>
                </c:pt>
              </c:strCache>
            </c:strRef>
          </c:tx>
          <c:spPr>
            <a:ln w="28575" cap="rnd">
              <a:solidFill>
                <a:schemeClr val="accent2">
                  <a:lumMod val="6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'50..800_F2'!$I$5:$I$123</c:f>
              <c:numCache>
                <c:formatCode>General</c:formatCode>
                <c:ptCount val="118"/>
                <c:pt idx="0">
                  <c:v>412.3</c:v>
                </c:pt>
                <c:pt idx="1">
                  <c:v>415.24</c:v>
                </c:pt>
                <c:pt idx="2">
                  <c:v>418.69</c:v>
                </c:pt>
                <c:pt idx="3">
                  <c:v>422.33</c:v>
                </c:pt>
                <c:pt idx="4">
                  <c:v>426.08</c:v>
                </c:pt>
                <c:pt idx="5">
                  <c:v>429.96</c:v>
                </c:pt>
                <c:pt idx="6">
                  <c:v>433.96</c:v>
                </c:pt>
                <c:pt idx="7">
                  <c:v>438.09</c:v>
                </c:pt>
                <c:pt idx="8">
                  <c:v>442.36</c:v>
                </c:pt>
                <c:pt idx="9">
                  <c:v>446.77</c:v>
                </c:pt>
                <c:pt idx="10">
                  <c:v>451.32</c:v>
                </c:pt>
                <c:pt idx="11">
                  <c:v>456.03</c:v>
                </c:pt>
                <c:pt idx="12">
                  <c:v>460.9</c:v>
                </c:pt>
                <c:pt idx="13">
                  <c:v>465.93</c:v>
                </c:pt>
                <c:pt idx="14">
                  <c:v>471.12</c:v>
                </c:pt>
                <c:pt idx="15">
                  <c:v>476.49</c:v>
                </c:pt>
                <c:pt idx="16">
                  <c:v>482.02</c:v>
                </c:pt>
                <c:pt idx="17">
                  <c:v>487.74</c:v>
                </c:pt>
                <c:pt idx="18">
                  <c:v>493.63</c:v>
                </c:pt>
                <c:pt idx="19">
                  <c:v>499.7</c:v>
                </c:pt>
                <c:pt idx="20">
                  <c:v>505.95</c:v>
                </c:pt>
                <c:pt idx="21">
                  <c:v>512.37</c:v>
                </c:pt>
                <c:pt idx="22">
                  <c:v>518.96</c:v>
                </c:pt>
                <c:pt idx="23">
                  <c:v>525.71</c:v>
                </c:pt>
                <c:pt idx="24">
                  <c:v>532.61</c:v>
                </c:pt>
                <c:pt idx="25">
                  <c:v>539.66</c:v>
                </c:pt>
                <c:pt idx="26">
                  <c:v>546.83000000000004</c:v>
                </c:pt>
                <c:pt idx="27">
                  <c:v>554.1</c:v>
                </c:pt>
                <c:pt idx="28">
                  <c:v>561.46</c:v>
                </c:pt>
                <c:pt idx="29">
                  <c:v>568.87</c:v>
                </c:pt>
                <c:pt idx="30">
                  <c:v>576.29999999999995</c:v>
                </c:pt>
                <c:pt idx="31">
                  <c:v>583.72</c:v>
                </c:pt>
                <c:pt idx="32">
                  <c:v>591.09</c:v>
                </c:pt>
                <c:pt idx="33">
                  <c:v>598.37</c:v>
                </c:pt>
                <c:pt idx="34">
                  <c:v>605.52</c:v>
                </c:pt>
                <c:pt idx="35">
                  <c:v>612.47</c:v>
                </c:pt>
                <c:pt idx="36">
                  <c:v>619.20000000000005</c:v>
                </c:pt>
                <c:pt idx="37">
                  <c:v>625.65</c:v>
                </c:pt>
                <c:pt idx="38">
                  <c:v>631.78</c:v>
                </c:pt>
                <c:pt idx="39">
                  <c:v>637.54</c:v>
                </c:pt>
                <c:pt idx="40">
                  <c:v>642.91</c:v>
                </c:pt>
                <c:pt idx="41">
                  <c:v>647.86</c:v>
                </c:pt>
                <c:pt idx="42">
                  <c:v>652.36</c:v>
                </c:pt>
                <c:pt idx="43">
                  <c:v>656.42</c:v>
                </c:pt>
                <c:pt idx="44">
                  <c:v>660.05</c:v>
                </c:pt>
                <c:pt idx="45">
                  <c:v>663.26</c:v>
                </c:pt>
                <c:pt idx="46">
                  <c:v>666.11</c:v>
                </c:pt>
                <c:pt idx="47">
                  <c:v>668.65</c:v>
                </c:pt>
                <c:pt idx="48">
                  <c:v>670.99</c:v>
                </c:pt>
                <c:pt idx="49">
                  <c:v>673.22</c:v>
                </c:pt>
                <c:pt idx="50">
                  <c:v>675.48</c:v>
                </c:pt>
                <c:pt idx="51">
                  <c:v>677.95</c:v>
                </c:pt>
                <c:pt idx="52">
                  <c:v>680.83</c:v>
                </c:pt>
                <c:pt idx="53">
                  <c:v>684.34</c:v>
                </c:pt>
                <c:pt idx="54">
                  <c:v>688.77</c:v>
                </c:pt>
                <c:pt idx="55">
                  <c:v>694.43</c:v>
                </c:pt>
                <c:pt idx="56">
                  <c:v>701.68</c:v>
                </c:pt>
                <c:pt idx="57">
                  <c:v>710.93</c:v>
                </c:pt>
                <c:pt idx="58">
                  <c:v>722.62</c:v>
                </c:pt>
                <c:pt idx="59">
                  <c:v>737.24</c:v>
                </c:pt>
                <c:pt idx="60">
                  <c:v>755.31</c:v>
                </c:pt>
                <c:pt idx="61">
                  <c:v>777.37</c:v>
                </c:pt>
                <c:pt idx="62">
                  <c:v>803.94</c:v>
                </c:pt>
                <c:pt idx="63">
                  <c:v>835.54</c:v>
                </c:pt>
                <c:pt idx="64">
                  <c:v>872.65</c:v>
                </c:pt>
                <c:pt idx="65">
                  <c:v>915.78</c:v>
                </c:pt>
                <c:pt idx="66">
                  <c:v>965.56</c:v>
                </c:pt>
                <c:pt idx="67">
                  <c:v>1022.98</c:v>
                </c:pt>
                <c:pt idx="68">
                  <c:v>1089.8</c:v>
                </c:pt>
                <c:pt idx="69">
                  <c:v>1169.21</c:v>
                </c:pt>
                <c:pt idx="70">
                  <c:v>1266.74</c:v>
                </c:pt>
                <c:pt idx="71">
                  <c:v>1391.37</c:v>
                </c:pt>
                <c:pt idx="72">
                  <c:v>1556.79</c:v>
                </c:pt>
                <c:pt idx="73">
                  <c:v>1782.98</c:v>
                </c:pt>
                <c:pt idx="74">
                  <c:v>2098.2800000000002</c:v>
                </c:pt>
                <c:pt idx="75">
                  <c:v>2542.23</c:v>
                </c:pt>
                <c:pt idx="76">
                  <c:v>3168.43</c:v>
                </c:pt>
                <c:pt idx="77">
                  <c:v>4044.04</c:v>
                </c:pt>
                <c:pt idx="78">
                  <c:v>5224.5</c:v>
                </c:pt>
                <c:pt idx="79">
                  <c:v>6606</c:v>
                </c:pt>
                <c:pt idx="80">
                  <c:v>7837.02</c:v>
                </c:pt>
                <c:pt idx="81">
                  <c:v>8525.7900000000009</c:v>
                </c:pt>
                <c:pt idx="82">
                  <c:v>8383.61</c:v>
                </c:pt>
                <c:pt idx="83">
                  <c:v>7362.27</c:v>
                </c:pt>
                <c:pt idx="84">
                  <c:v>5730.37</c:v>
                </c:pt>
                <c:pt idx="85">
                  <c:v>4021.85</c:v>
                </c:pt>
                <c:pt idx="86">
                  <c:v>2711.37</c:v>
                </c:pt>
                <c:pt idx="87">
                  <c:v>1846.21</c:v>
                </c:pt>
                <c:pt idx="88">
                  <c:v>1289.74</c:v>
                </c:pt>
                <c:pt idx="89">
                  <c:v>928.14</c:v>
                </c:pt>
                <c:pt idx="90">
                  <c:v>688.07</c:v>
                </c:pt>
                <c:pt idx="91">
                  <c:v>524.61</c:v>
                </c:pt>
                <c:pt idx="92">
                  <c:v>410.36</c:v>
                </c:pt>
                <c:pt idx="93">
                  <c:v>328.45</c:v>
                </c:pt>
                <c:pt idx="94">
                  <c:v>268.33</c:v>
                </c:pt>
                <c:pt idx="95">
                  <c:v>223.22</c:v>
                </c:pt>
                <c:pt idx="96">
                  <c:v>188.73</c:v>
                </c:pt>
                <c:pt idx="97">
                  <c:v>161.91999999999999</c:v>
                </c:pt>
                <c:pt idx="98">
                  <c:v>140.78</c:v>
                </c:pt>
                <c:pt idx="99">
                  <c:v>123.93</c:v>
                </c:pt>
                <c:pt idx="100">
                  <c:v>110.4</c:v>
                </c:pt>
                <c:pt idx="101">
                  <c:v>99.48</c:v>
                </c:pt>
                <c:pt idx="102">
                  <c:v>90.67</c:v>
                </c:pt>
                <c:pt idx="103">
                  <c:v>83.56</c:v>
                </c:pt>
                <c:pt idx="104">
                  <c:v>77.84</c:v>
                </c:pt>
                <c:pt idx="105">
                  <c:v>73.260000000000005</c:v>
                </c:pt>
                <c:pt idx="106">
                  <c:v>69.63</c:v>
                </c:pt>
                <c:pt idx="107">
                  <c:v>66.78</c:v>
                </c:pt>
                <c:pt idx="108">
                  <c:v>64.58</c:v>
                </c:pt>
                <c:pt idx="109">
                  <c:v>62.93</c:v>
                </c:pt>
                <c:pt idx="110">
                  <c:v>61.74</c:v>
                </c:pt>
                <c:pt idx="111">
                  <c:v>60.94</c:v>
                </c:pt>
                <c:pt idx="112">
                  <c:v>60.48</c:v>
                </c:pt>
                <c:pt idx="113">
                  <c:v>60.32</c:v>
                </c:pt>
                <c:pt idx="114">
                  <c:v>60.41</c:v>
                </c:pt>
                <c:pt idx="115">
                  <c:v>60.74</c:v>
                </c:pt>
                <c:pt idx="116">
                  <c:v>61.24</c:v>
                </c:pt>
                <c:pt idx="117">
                  <c:v>61.72</c:v>
                </c:pt>
              </c:numCache>
            </c:numRef>
          </c:val>
          <c:smooth val="0"/>
          <c:extLst>
            <c:ext xmlns:c16="http://schemas.microsoft.com/office/drawing/2014/chart" uri="{C3380CC4-5D6E-409C-BE32-E72D297353CC}">
              <c16:uniqueId val="{00000007-20CA-4C1B-A834-BE5B83AD144A}"/>
            </c:ext>
          </c:extLst>
        </c:ser>
        <c:ser>
          <c:idx val="8"/>
          <c:order val="8"/>
          <c:tx>
            <c:strRef>
              <c:f>'50..800_F2'!$J$3:$J$4</c:f>
              <c:strCache>
                <c:ptCount val="1"/>
                <c:pt idx="0">
                  <c:v>D10</c:v>
                </c:pt>
              </c:strCache>
            </c:strRef>
          </c:tx>
          <c:spPr>
            <a:ln w="28575" cap="rnd">
              <a:solidFill>
                <a:schemeClr val="accent3">
                  <a:lumMod val="6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'50..800_F2'!$J$5:$J$123</c:f>
              <c:numCache>
                <c:formatCode>General</c:formatCode>
                <c:ptCount val="118"/>
                <c:pt idx="0">
                  <c:v>393.94</c:v>
                </c:pt>
                <c:pt idx="1">
                  <c:v>396.89</c:v>
                </c:pt>
                <c:pt idx="2">
                  <c:v>400.42</c:v>
                </c:pt>
                <c:pt idx="3">
                  <c:v>404.16</c:v>
                </c:pt>
                <c:pt idx="4">
                  <c:v>408.03</c:v>
                </c:pt>
                <c:pt idx="5">
                  <c:v>412.04</c:v>
                </c:pt>
                <c:pt idx="6">
                  <c:v>416.19</c:v>
                </c:pt>
                <c:pt idx="7">
                  <c:v>420.49</c:v>
                </c:pt>
                <c:pt idx="8">
                  <c:v>424.95</c:v>
                </c:pt>
                <c:pt idx="9">
                  <c:v>429.58</c:v>
                </c:pt>
                <c:pt idx="10">
                  <c:v>434.37</c:v>
                </c:pt>
                <c:pt idx="11">
                  <c:v>439.34</c:v>
                </c:pt>
                <c:pt idx="12">
                  <c:v>444.49</c:v>
                </c:pt>
                <c:pt idx="13">
                  <c:v>449.84</c:v>
                </c:pt>
                <c:pt idx="14">
                  <c:v>455.38</c:v>
                </c:pt>
                <c:pt idx="15">
                  <c:v>461.12</c:v>
                </c:pt>
                <c:pt idx="16">
                  <c:v>467.07</c:v>
                </c:pt>
                <c:pt idx="17">
                  <c:v>473.23</c:v>
                </c:pt>
                <c:pt idx="18">
                  <c:v>479.61</c:v>
                </c:pt>
                <c:pt idx="19">
                  <c:v>486.2</c:v>
                </c:pt>
                <c:pt idx="20">
                  <c:v>493.01</c:v>
                </c:pt>
                <c:pt idx="21">
                  <c:v>500.05</c:v>
                </c:pt>
                <c:pt idx="22">
                  <c:v>507.3</c:v>
                </c:pt>
                <c:pt idx="23">
                  <c:v>514.76</c:v>
                </c:pt>
                <c:pt idx="24">
                  <c:v>522.41999999999996</c:v>
                </c:pt>
                <c:pt idx="25">
                  <c:v>530.28</c:v>
                </c:pt>
                <c:pt idx="26">
                  <c:v>538.32000000000005</c:v>
                </c:pt>
                <c:pt idx="27">
                  <c:v>546.51</c:v>
                </c:pt>
                <c:pt idx="28">
                  <c:v>554.85</c:v>
                </c:pt>
                <c:pt idx="29">
                  <c:v>563.29</c:v>
                </c:pt>
                <c:pt idx="30">
                  <c:v>571.82000000000005</c:v>
                </c:pt>
                <c:pt idx="31">
                  <c:v>580.38</c:v>
                </c:pt>
                <c:pt idx="32">
                  <c:v>588.95000000000005</c:v>
                </c:pt>
                <c:pt idx="33">
                  <c:v>597.48</c:v>
                </c:pt>
                <c:pt idx="34">
                  <c:v>605.91</c:v>
                </c:pt>
                <c:pt idx="35">
                  <c:v>614.20000000000005</c:v>
                </c:pt>
                <c:pt idx="36">
                  <c:v>622.28</c:v>
                </c:pt>
                <c:pt idx="37">
                  <c:v>630.11</c:v>
                </c:pt>
                <c:pt idx="38">
                  <c:v>637.63</c:v>
                </c:pt>
                <c:pt idx="39">
                  <c:v>644.79</c:v>
                </c:pt>
                <c:pt idx="40">
                  <c:v>651.53</c:v>
                </c:pt>
                <c:pt idx="41">
                  <c:v>657.83</c:v>
                </c:pt>
                <c:pt idx="42">
                  <c:v>663.65</c:v>
                </c:pt>
                <c:pt idx="43">
                  <c:v>668.97</c:v>
                </c:pt>
                <c:pt idx="44">
                  <c:v>673.78</c:v>
                </c:pt>
                <c:pt idx="45">
                  <c:v>678.09</c:v>
                </c:pt>
                <c:pt idx="46">
                  <c:v>681.93</c:v>
                </c:pt>
                <c:pt idx="47">
                  <c:v>685.34</c:v>
                </c:pt>
                <c:pt idx="48">
                  <c:v>688.41</c:v>
                </c:pt>
                <c:pt idx="49">
                  <c:v>691.22</c:v>
                </c:pt>
                <c:pt idx="50">
                  <c:v>693.9</c:v>
                </c:pt>
                <c:pt idx="51">
                  <c:v>696.59</c:v>
                </c:pt>
                <c:pt idx="52">
                  <c:v>699.49</c:v>
                </c:pt>
                <c:pt idx="53">
                  <c:v>702.79</c:v>
                </c:pt>
                <c:pt idx="54">
                  <c:v>706.75</c:v>
                </c:pt>
                <c:pt idx="55">
                  <c:v>711.64</c:v>
                </c:pt>
                <c:pt idx="56">
                  <c:v>717.8</c:v>
                </c:pt>
                <c:pt idx="57">
                  <c:v>725.59</c:v>
                </c:pt>
                <c:pt idx="58">
                  <c:v>735.43</c:v>
                </c:pt>
                <c:pt idx="59">
                  <c:v>747.79</c:v>
                </c:pt>
                <c:pt idx="60">
                  <c:v>763.21</c:v>
                </c:pt>
                <c:pt idx="61">
                  <c:v>782.29</c:v>
                </c:pt>
                <c:pt idx="62">
                  <c:v>805.69</c:v>
                </c:pt>
                <c:pt idx="63">
                  <c:v>834.14</c:v>
                </c:pt>
                <c:pt idx="64">
                  <c:v>868.42</c:v>
                </c:pt>
                <c:pt idx="65">
                  <c:v>909.41</c:v>
                </c:pt>
                <c:pt idx="66">
                  <c:v>958.11</c:v>
                </c:pt>
                <c:pt idx="67">
                  <c:v>1015.82</c:v>
                </c:pt>
                <c:pt idx="68">
                  <c:v>1084.4100000000001</c:v>
                </c:pt>
                <c:pt idx="69">
                  <c:v>1166.8699999999999</c:v>
                </c:pt>
                <c:pt idx="70">
                  <c:v>1268.2</c:v>
                </c:pt>
                <c:pt idx="71">
                  <c:v>1396.64</c:v>
                </c:pt>
                <c:pt idx="72">
                  <c:v>1565.23</c:v>
                </c:pt>
                <c:pt idx="73">
                  <c:v>1793.59</c:v>
                </c:pt>
                <c:pt idx="74">
                  <c:v>2109.96</c:v>
                </c:pt>
                <c:pt idx="75">
                  <c:v>2553.81</c:v>
                </c:pt>
                <c:pt idx="76">
                  <c:v>3178.4</c:v>
                </c:pt>
                <c:pt idx="77">
                  <c:v>4050.35</c:v>
                </c:pt>
                <c:pt idx="78">
                  <c:v>5226.54</c:v>
                </c:pt>
                <c:pt idx="79">
                  <c:v>6611.78</c:v>
                </c:pt>
                <c:pt idx="80">
                  <c:v>7865.61</c:v>
                </c:pt>
                <c:pt idx="81">
                  <c:v>8599.91</c:v>
                </c:pt>
                <c:pt idx="82">
                  <c:v>8515.51</c:v>
                </c:pt>
                <c:pt idx="83">
                  <c:v>7541.68</c:v>
                </c:pt>
                <c:pt idx="84">
                  <c:v>5925.48</c:v>
                </c:pt>
                <c:pt idx="85">
                  <c:v>4194.1899999999996</c:v>
                </c:pt>
                <c:pt idx="86">
                  <c:v>2842.09</c:v>
                </c:pt>
                <c:pt idx="87">
                  <c:v>1940.15</c:v>
                </c:pt>
                <c:pt idx="88">
                  <c:v>1356.62</c:v>
                </c:pt>
                <c:pt idx="89">
                  <c:v>975.84</c:v>
                </c:pt>
                <c:pt idx="90">
                  <c:v>722.32</c:v>
                </c:pt>
                <c:pt idx="91">
                  <c:v>549.44000000000005</c:v>
                </c:pt>
                <c:pt idx="92">
                  <c:v>428.6</c:v>
                </c:pt>
                <c:pt idx="93">
                  <c:v>342.05</c:v>
                </c:pt>
                <c:pt idx="94">
                  <c:v>278.62</c:v>
                </c:pt>
                <c:pt idx="95">
                  <c:v>231.12</c:v>
                </c:pt>
                <c:pt idx="96">
                  <c:v>194.86</c:v>
                </c:pt>
                <c:pt idx="97">
                  <c:v>166.7</c:v>
                </c:pt>
                <c:pt idx="98">
                  <c:v>144.52000000000001</c:v>
                </c:pt>
                <c:pt idx="99">
                  <c:v>126.86</c:v>
                </c:pt>
                <c:pt idx="100">
                  <c:v>112.68</c:v>
                </c:pt>
                <c:pt idx="101">
                  <c:v>101.26</c:v>
                </c:pt>
                <c:pt idx="102">
                  <c:v>92.05</c:v>
                </c:pt>
                <c:pt idx="103">
                  <c:v>84.63</c:v>
                </c:pt>
                <c:pt idx="104">
                  <c:v>78.67</c:v>
                </c:pt>
                <c:pt idx="105">
                  <c:v>73.91</c:v>
                </c:pt>
                <c:pt idx="106">
                  <c:v>70.14</c:v>
                </c:pt>
                <c:pt idx="107">
                  <c:v>67.180000000000007</c:v>
                </c:pt>
                <c:pt idx="108">
                  <c:v>64.900000000000006</c:v>
                </c:pt>
                <c:pt idx="109">
                  <c:v>63.19</c:v>
                </c:pt>
                <c:pt idx="110">
                  <c:v>61.96</c:v>
                </c:pt>
                <c:pt idx="111">
                  <c:v>61.13</c:v>
                </c:pt>
                <c:pt idx="112">
                  <c:v>60.65</c:v>
                </c:pt>
                <c:pt idx="113">
                  <c:v>60.48</c:v>
                </c:pt>
                <c:pt idx="114">
                  <c:v>60.57</c:v>
                </c:pt>
                <c:pt idx="115">
                  <c:v>60.9</c:v>
                </c:pt>
                <c:pt idx="116">
                  <c:v>61.41</c:v>
                </c:pt>
                <c:pt idx="117">
                  <c:v>61.9</c:v>
                </c:pt>
              </c:numCache>
            </c:numRef>
          </c:val>
          <c:smooth val="0"/>
          <c:extLst>
            <c:ext xmlns:c16="http://schemas.microsoft.com/office/drawing/2014/chart" uri="{C3380CC4-5D6E-409C-BE32-E72D297353CC}">
              <c16:uniqueId val="{00000008-20CA-4C1B-A834-BE5B83AD144A}"/>
            </c:ext>
          </c:extLst>
        </c:ser>
        <c:ser>
          <c:idx val="9"/>
          <c:order val="9"/>
          <c:tx>
            <c:strRef>
              <c:f>'50..800_F2'!$K$3:$K$4</c:f>
              <c:strCache>
                <c:ptCount val="1"/>
                <c:pt idx="0">
                  <c:v>D11</c:v>
                </c:pt>
              </c:strCache>
            </c:strRef>
          </c:tx>
          <c:spPr>
            <a:ln w="28575" cap="rnd">
              <a:solidFill>
                <a:schemeClr val="accent4">
                  <a:lumMod val="6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'50..800_F2'!$K$5:$K$123</c:f>
              <c:numCache>
                <c:formatCode>General</c:formatCode>
                <c:ptCount val="118"/>
                <c:pt idx="0">
                  <c:v>316.27999999999997</c:v>
                </c:pt>
                <c:pt idx="1">
                  <c:v>318.81</c:v>
                </c:pt>
                <c:pt idx="2">
                  <c:v>321.91000000000003</c:v>
                </c:pt>
                <c:pt idx="3">
                  <c:v>325.23</c:v>
                </c:pt>
                <c:pt idx="4">
                  <c:v>328.68</c:v>
                </c:pt>
                <c:pt idx="5">
                  <c:v>332.28</c:v>
                </c:pt>
                <c:pt idx="6">
                  <c:v>336.03</c:v>
                </c:pt>
                <c:pt idx="7">
                  <c:v>339.94</c:v>
                </c:pt>
                <c:pt idx="8">
                  <c:v>344.02</c:v>
                </c:pt>
                <c:pt idx="9">
                  <c:v>348.28</c:v>
                </c:pt>
                <c:pt idx="10">
                  <c:v>352.72</c:v>
                </c:pt>
                <c:pt idx="11">
                  <c:v>357.36</c:v>
                </c:pt>
                <c:pt idx="12">
                  <c:v>362.21</c:v>
                </c:pt>
                <c:pt idx="13">
                  <c:v>367.27</c:v>
                </c:pt>
                <c:pt idx="14">
                  <c:v>372.55</c:v>
                </c:pt>
                <c:pt idx="15">
                  <c:v>378.07</c:v>
                </c:pt>
                <c:pt idx="16">
                  <c:v>383.83</c:v>
                </c:pt>
                <c:pt idx="17">
                  <c:v>389.85</c:v>
                </c:pt>
                <c:pt idx="18">
                  <c:v>396.13</c:v>
                </c:pt>
                <c:pt idx="19">
                  <c:v>402.68</c:v>
                </c:pt>
                <c:pt idx="20">
                  <c:v>409.5</c:v>
                </c:pt>
                <c:pt idx="21">
                  <c:v>416.6</c:v>
                </c:pt>
                <c:pt idx="22">
                  <c:v>423.99</c:v>
                </c:pt>
                <c:pt idx="23">
                  <c:v>431.66</c:v>
                </c:pt>
                <c:pt idx="24">
                  <c:v>439.62</c:v>
                </c:pt>
                <c:pt idx="25">
                  <c:v>447.85</c:v>
                </c:pt>
                <c:pt idx="26">
                  <c:v>456.35</c:v>
                </c:pt>
                <c:pt idx="27">
                  <c:v>465.11</c:v>
                </c:pt>
                <c:pt idx="28">
                  <c:v>474.1</c:v>
                </c:pt>
                <c:pt idx="29">
                  <c:v>483.3</c:v>
                </c:pt>
                <c:pt idx="30">
                  <c:v>492.68</c:v>
                </c:pt>
                <c:pt idx="31">
                  <c:v>502.2</c:v>
                </c:pt>
                <c:pt idx="32">
                  <c:v>511.82</c:v>
                </c:pt>
                <c:pt idx="33">
                  <c:v>521.48</c:v>
                </c:pt>
                <c:pt idx="34">
                  <c:v>531.12</c:v>
                </c:pt>
                <c:pt idx="35">
                  <c:v>540.66999999999996</c:v>
                </c:pt>
                <c:pt idx="36">
                  <c:v>550.07000000000005</c:v>
                </c:pt>
                <c:pt idx="37">
                  <c:v>559.25</c:v>
                </c:pt>
                <c:pt idx="38">
                  <c:v>568.12</c:v>
                </c:pt>
                <c:pt idx="39">
                  <c:v>576.61</c:v>
                </c:pt>
                <c:pt idx="40">
                  <c:v>584.65</c:v>
                </c:pt>
                <c:pt idx="41">
                  <c:v>592.16999999999996</c:v>
                </c:pt>
                <c:pt idx="42">
                  <c:v>599.12</c:v>
                </c:pt>
                <c:pt idx="43">
                  <c:v>605.45000000000005</c:v>
                </c:pt>
                <c:pt idx="44">
                  <c:v>611.15</c:v>
                </c:pt>
                <c:pt idx="45">
                  <c:v>616.19000000000005</c:v>
                </c:pt>
                <c:pt idx="46">
                  <c:v>620.59</c:v>
                </c:pt>
                <c:pt idx="47">
                  <c:v>624.39</c:v>
                </c:pt>
                <c:pt idx="48">
                  <c:v>627.64</c:v>
                </c:pt>
                <c:pt idx="49">
                  <c:v>630.41</c:v>
                </c:pt>
                <c:pt idx="50">
                  <c:v>632.82000000000005</c:v>
                </c:pt>
                <c:pt idx="51">
                  <c:v>634.96</c:v>
                </c:pt>
                <c:pt idx="52">
                  <c:v>636.99</c:v>
                </c:pt>
                <c:pt idx="53">
                  <c:v>639.04</c:v>
                </c:pt>
                <c:pt idx="54">
                  <c:v>641.27</c:v>
                </c:pt>
                <c:pt idx="55">
                  <c:v>643.86</c:v>
                </c:pt>
                <c:pt idx="56">
                  <c:v>646.99</c:v>
                </c:pt>
                <c:pt idx="57">
                  <c:v>650.88</c:v>
                </c:pt>
                <c:pt idx="58">
                  <c:v>655.74</c:v>
                </c:pt>
                <c:pt idx="59">
                  <c:v>661.86</c:v>
                </c:pt>
                <c:pt idx="60">
                  <c:v>669.56</c:v>
                </c:pt>
                <c:pt idx="61">
                  <c:v>679.26</c:v>
                </c:pt>
                <c:pt idx="62">
                  <c:v>691.5</c:v>
                </c:pt>
                <c:pt idx="63">
                  <c:v>707.01</c:v>
                </c:pt>
                <c:pt idx="64">
                  <c:v>726.77</c:v>
                </c:pt>
                <c:pt idx="65">
                  <c:v>752.17</c:v>
                </c:pt>
                <c:pt idx="66">
                  <c:v>785.12</c:v>
                </c:pt>
                <c:pt idx="67">
                  <c:v>828.35</c:v>
                </c:pt>
                <c:pt idx="68">
                  <c:v>885.72</c:v>
                </c:pt>
                <c:pt idx="69">
                  <c:v>962.74</c:v>
                </c:pt>
                <c:pt idx="70">
                  <c:v>1067.33</c:v>
                </c:pt>
                <c:pt idx="71">
                  <c:v>1210.74</c:v>
                </c:pt>
                <c:pt idx="72">
                  <c:v>1408.8</c:v>
                </c:pt>
                <c:pt idx="73">
                  <c:v>1683.45</c:v>
                </c:pt>
                <c:pt idx="74">
                  <c:v>2064.77</c:v>
                </c:pt>
                <c:pt idx="75">
                  <c:v>2593.56</c:v>
                </c:pt>
                <c:pt idx="76">
                  <c:v>3323.81</c:v>
                </c:pt>
                <c:pt idx="77">
                  <c:v>4318.2299999999996</c:v>
                </c:pt>
                <c:pt idx="78">
                  <c:v>5563.87</c:v>
                </c:pt>
                <c:pt idx="79">
                  <c:v>6804.7</c:v>
                </c:pt>
                <c:pt idx="80">
                  <c:v>7666.45</c:v>
                </c:pt>
                <c:pt idx="81">
                  <c:v>7833.74</c:v>
                </c:pt>
                <c:pt idx="82">
                  <c:v>7173.5</c:v>
                </c:pt>
                <c:pt idx="83">
                  <c:v>5833.39</c:v>
                </c:pt>
                <c:pt idx="84">
                  <c:v>4232.53</c:v>
                </c:pt>
                <c:pt idx="85">
                  <c:v>2878.62</c:v>
                </c:pt>
                <c:pt idx="86">
                  <c:v>1951.43</c:v>
                </c:pt>
                <c:pt idx="87">
                  <c:v>1351.58</c:v>
                </c:pt>
                <c:pt idx="88">
                  <c:v>962.88</c:v>
                </c:pt>
                <c:pt idx="89">
                  <c:v>706.5</c:v>
                </c:pt>
                <c:pt idx="90">
                  <c:v>533.41</c:v>
                </c:pt>
                <c:pt idx="91">
                  <c:v>413.57</c:v>
                </c:pt>
                <c:pt idx="92">
                  <c:v>328.5</c:v>
                </c:pt>
                <c:pt idx="93">
                  <c:v>266.63</c:v>
                </c:pt>
                <c:pt idx="94">
                  <c:v>220.62</c:v>
                </c:pt>
                <c:pt idx="95">
                  <c:v>185.7</c:v>
                </c:pt>
                <c:pt idx="96">
                  <c:v>158.69999999999999</c:v>
                </c:pt>
                <c:pt idx="97">
                  <c:v>137.49</c:v>
                </c:pt>
                <c:pt idx="98">
                  <c:v>120.6</c:v>
                </c:pt>
                <c:pt idx="99">
                  <c:v>107</c:v>
                </c:pt>
                <c:pt idx="100">
                  <c:v>95.99</c:v>
                </c:pt>
                <c:pt idx="101">
                  <c:v>87.05</c:v>
                </c:pt>
                <c:pt idx="102">
                  <c:v>79.77</c:v>
                </c:pt>
                <c:pt idx="103">
                  <c:v>73.86</c:v>
                </c:pt>
                <c:pt idx="104">
                  <c:v>69.09</c:v>
                </c:pt>
                <c:pt idx="105">
                  <c:v>65.260000000000005</c:v>
                </c:pt>
                <c:pt idx="106">
                  <c:v>62.21</c:v>
                </c:pt>
                <c:pt idx="107">
                  <c:v>59.81</c:v>
                </c:pt>
                <c:pt idx="108">
                  <c:v>57.96</c:v>
                </c:pt>
                <c:pt idx="109">
                  <c:v>56.57</c:v>
                </c:pt>
                <c:pt idx="110">
                  <c:v>55.58</c:v>
                </c:pt>
                <c:pt idx="111">
                  <c:v>54.91</c:v>
                </c:pt>
                <c:pt idx="112">
                  <c:v>54.54</c:v>
                </c:pt>
                <c:pt idx="113">
                  <c:v>54.42</c:v>
                </c:pt>
                <c:pt idx="114">
                  <c:v>54.53</c:v>
                </c:pt>
                <c:pt idx="115">
                  <c:v>54.83</c:v>
                </c:pt>
                <c:pt idx="116">
                  <c:v>55.29</c:v>
                </c:pt>
                <c:pt idx="117">
                  <c:v>55.72</c:v>
                </c:pt>
              </c:numCache>
            </c:numRef>
          </c:val>
          <c:smooth val="0"/>
          <c:extLst>
            <c:ext xmlns:c16="http://schemas.microsoft.com/office/drawing/2014/chart" uri="{C3380CC4-5D6E-409C-BE32-E72D297353CC}">
              <c16:uniqueId val="{00000009-20CA-4C1B-A834-BE5B83AD144A}"/>
            </c:ext>
          </c:extLst>
        </c:ser>
        <c:ser>
          <c:idx val="10"/>
          <c:order val="10"/>
          <c:tx>
            <c:strRef>
              <c:f>'50..800_F2'!$L$3:$L$4</c:f>
              <c:strCache>
                <c:ptCount val="1"/>
                <c:pt idx="0">
                  <c:v>D12</c:v>
                </c:pt>
              </c:strCache>
            </c:strRef>
          </c:tx>
          <c:spPr>
            <a:ln w="28575" cap="rnd">
              <a:solidFill>
                <a:schemeClr val="accent5">
                  <a:lumMod val="6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'50..800_F2'!$L$5:$L$123</c:f>
              <c:numCache>
                <c:formatCode>General</c:formatCode>
                <c:ptCount val="118"/>
                <c:pt idx="0">
                  <c:v>206.48</c:v>
                </c:pt>
                <c:pt idx="1">
                  <c:v>208.8</c:v>
                </c:pt>
                <c:pt idx="2">
                  <c:v>211.9</c:v>
                </c:pt>
                <c:pt idx="3">
                  <c:v>215.28</c:v>
                </c:pt>
                <c:pt idx="4">
                  <c:v>218.86</c:v>
                </c:pt>
                <c:pt idx="5">
                  <c:v>222.65</c:v>
                </c:pt>
                <c:pt idx="6">
                  <c:v>226.65</c:v>
                </c:pt>
                <c:pt idx="7">
                  <c:v>230.88</c:v>
                </c:pt>
                <c:pt idx="8">
                  <c:v>235.35</c:v>
                </c:pt>
                <c:pt idx="9">
                  <c:v>240.08</c:v>
                </c:pt>
                <c:pt idx="10">
                  <c:v>245.08</c:v>
                </c:pt>
                <c:pt idx="11">
                  <c:v>250.37</c:v>
                </c:pt>
                <c:pt idx="12">
                  <c:v>255.96</c:v>
                </c:pt>
                <c:pt idx="13">
                  <c:v>261.88</c:v>
                </c:pt>
                <c:pt idx="14">
                  <c:v>268.12</c:v>
                </c:pt>
                <c:pt idx="15">
                  <c:v>274.72000000000003</c:v>
                </c:pt>
                <c:pt idx="16">
                  <c:v>281.69</c:v>
                </c:pt>
                <c:pt idx="17">
                  <c:v>289.04000000000002</c:v>
                </c:pt>
                <c:pt idx="18">
                  <c:v>296.8</c:v>
                </c:pt>
                <c:pt idx="19">
                  <c:v>304.97000000000003</c:v>
                </c:pt>
                <c:pt idx="20">
                  <c:v>313.58</c:v>
                </c:pt>
                <c:pt idx="21">
                  <c:v>322.62</c:v>
                </c:pt>
                <c:pt idx="22">
                  <c:v>332.12</c:v>
                </c:pt>
                <c:pt idx="23">
                  <c:v>342.08</c:v>
                </c:pt>
                <c:pt idx="24">
                  <c:v>352.5</c:v>
                </c:pt>
                <c:pt idx="25">
                  <c:v>363.37</c:v>
                </c:pt>
                <c:pt idx="26">
                  <c:v>374.68</c:v>
                </c:pt>
                <c:pt idx="27">
                  <c:v>386.43</c:v>
                </c:pt>
                <c:pt idx="28">
                  <c:v>398.58</c:v>
                </c:pt>
                <c:pt idx="29">
                  <c:v>411.09</c:v>
                </c:pt>
                <c:pt idx="30">
                  <c:v>423.93</c:v>
                </c:pt>
                <c:pt idx="31">
                  <c:v>437.02</c:v>
                </c:pt>
                <c:pt idx="32">
                  <c:v>450.31</c:v>
                </c:pt>
                <c:pt idx="33">
                  <c:v>463.7</c:v>
                </c:pt>
                <c:pt idx="34">
                  <c:v>477.1</c:v>
                </c:pt>
                <c:pt idx="35">
                  <c:v>490.4</c:v>
                </c:pt>
                <c:pt idx="36">
                  <c:v>503.5</c:v>
                </c:pt>
                <c:pt idx="37">
                  <c:v>516.28</c:v>
                </c:pt>
                <c:pt idx="38">
                  <c:v>528.6</c:v>
                </c:pt>
                <c:pt idx="39">
                  <c:v>540.37</c:v>
                </c:pt>
                <c:pt idx="40">
                  <c:v>551.47</c:v>
                </c:pt>
                <c:pt idx="41">
                  <c:v>561.83000000000004</c:v>
                </c:pt>
                <c:pt idx="42">
                  <c:v>571.4</c:v>
                </c:pt>
                <c:pt idx="43">
                  <c:v>580.13</c:v>
                </c:pt>
                <c:pt idx="44">
                  <c:v>588.07000000000005</c:v>
                </c:pt>
                <c:pt idx="45">
                  <c:v>595.28</c:v>
                </c:pt>
                <c:pt idx="46">
                  <c:v>601.87</c:v>
                </c:pt>
                <c:pt idx="47">
                  <c:v>608.02</c:v>
                </c:pt>
                <c:pt idx="48">
                  <c:v>613.95000000000005</c:v>
                </c:pt>
                <c:pt idx="49">
                  <c:v>619.92999999999995</c:v>
                </c:pt>
                <c:pt idx="50">
                  <c:v>626.28</c:v>
                </c:pt>
                <c:pt idx="51">
                  <c:v>633.32000000000005</c:v>
                </c:pt>
                <c:pt idx="52">
                  <c:v>641.4</c:v>
                </c:pt>
                <c:pt idx="53">
                  <c:v>650.84</c:v>
                </c:pt>
                <c:pt idx="54">
                  <c:v>661.96</c:v>
                </c:pt>
                <c:pt idx="55">
                  <c:v>675</c:v>
                </c:pt>
                <c:pt idx="56">
                  <c:v>690.14</c:v>
                </c:pt>
                <c:pt idx="57">
                  <c:v>707.5</c:v>
                </c:pt>
                <c:pt idx="58">
                  <c:v>727.09</c:v>
                </c:pt>
                <c:pt idx="59">
                  <c:v>748.82</c:v>
                </c:pt>
                <c:pt idx="60">
                  <c:v>772.56</c:v>
                </c:pt>
                <c:pt idx="61">
                  <c:v>798.11</c:v>
                </c:pt>
                <c:pt idx="62">
                  <c:v>825.34</c:v>
                </c:pt>
                <c:pt idx="63">
                  <c:v>854.27</c:v>
                </c:pt>
                <c:pt idx="64">
                  <c:v>885.23</c:v>
                </c:pt>
                <c:pt idx="65">
                  <c:v>919.03</c:v>
                </c:pt>
                <c:pt idx="66">
                  <c:v>957.12</c:v>
                </c:pt>
                <c:pt idx="67">
                  <c:v>1001.82</c:v>
                </c:pt>
                <c:pt idx="68">
                  <c:v>1056.52</c:v>
                </c:pt>
                <c:pt idx="69">
                  <c:v>1126.02</c:v>
                </c:pt>
                <c:pt idx="70">
                  <c:v>1217.17</c:v>
                </c:pt>
                <c:pt idx="71">
                  <c:v>1339.78</c:v>
                </c:pt>
                <c:pt idx="72">
                  <c:v>1508.07</c:v>
                </c:pt>
                <c:pt idx="73">
                  <c:v>1742.46</c:v>
                </c:pt>
                <c:pt idx="74">
                  <c:v>2072.16</c:v>
                </c:pt>
                <c:pt idx="75">
                  <c:v>2538.33</c:v>
                </c:pt>
                <c:pt idx="76">
                  <c:v>3196.9</c:v>
                </c:pt>
                <c:pt idx="77">
                  <c:v>4115.34</c:v>
                </c:pt>
                <c:pt idx="78">
                  <c:v>5319.76</c:v>
                </c:pt>
                <c:pt idx="79">
                  <c:v>6618.49</c:v>
                </c:pt>
                <c:pt idx="80">
                  <c:v>7632.8</c:v>
                </c:pt>
                <c:pt idx="81">
                  <c:v>8009.46</c:v>
                </c:pt>
                <c:pt idx="82">
                  <c:v>7548.23</c:v>
                </c:pt>
                <c:pt idx="83">
                  <c:v>6321.87</c:v>
                </c:pt>
                <c:pt idx="84">
                  <c:v>4694.53</c:v>
                </c:pt>
                <c:pt idx="85">
                  <c:v>3203.46</c:v>
                </c:pt>
                <c:pt idx="86">
                  <c:v>2150.9</c:v>
                </c:pt>
                <c:pt idx="87">
                  <c:v>1471.6</c:v>
                </c:pt>
                <c:pt idx="88">
                  <c:v>1035.28</c:v>
                </c:pt>
                <c:pt idx="89">
                  <c:v>749.69</c:v>
                </c:pt>
                <c:pt idx="90">
                  <c:v>556.87</c:v>
                </c:pt>
                <c:pt idx="91">
                  <c:v>421.46</c:v>
                </c:pt>
                <c:pt idx="92">
                  <c:v>322.5</c:v>
                </c:pt>
                <c:pt idx="93">
                  <c:v>247.97</c:v>
                </c:pt>
                <c:pt idx="94">
                  <c:v>191.12</c:v>
                </c:pt>
                <c:pt idx="95">
                  <c:v>147.84</c:v>
                </c:pt>
                <c:pt idx="96">
                  <c:v>115.27</c:v>
                </c:pt>
                <c:pt idx="97">
                  <c:v>91.1</c:v>
                </c:pt>
                <c:pt idx="98">
                  <c:v>73.37</c:v>
                </c:pt>
                <c:pt idx="99">
                  <c:v>60.47</c:v>
                </c:pt>
                <c:pt idx="100">
                  <c:v>51.1</c:v>
                </c:pt>
                <c:pt idx="101">
                  <c:v>44.28</c:v>
                </c:pt>
                <c:pt idx="102">
                  <c:v>39.29</c:v>
                </c:pt>
                <c:pt idx="103">
                  <c:v>35.61</c:v>
                </c:pt>
                <c:pt idx="104">
                  <c:v>32.89</c:v>
                </c:pt>
                <c:pt idx="105">
                  <c:v>30.89</c:v>
                </c:pt>
                <c:pt idx="106">
                  <c:v>29.43</c:v>
                </c:pt>
                <c:pt idx="107">
                  <c:v>28.4</c:v>
                </c:pt>
                <c:pt idx="108">
                  <c:v>27.71</c:v>
                </c:pt>
                <c:pt idx="109">
                  <c:v>27.3</c:v>
                </c:pt>
                <c:pt idx="110">
                  <c:v>27.13</c:v>
                </c:pt>
                <c:pt idx="111">
                  <c:v>27.17</c:v>
                </c:pt>
                <c:pt idx="112">
                  <c:v>27.38</c:v>
                </c:pt>
                <c:pt idx="113">
                  <c:v>27.76</c:v>
                </c:pt>
                <c:pt idx="114">
                  <c:v>28.28</c:v>
                </c:pt>
                <c:pt idx="115">
                  <c:v>28.94</c:v>
                </c:pt>
                <c:pt idx="116">
                  <c:v>29.67</c:v>
                </c:pt>
                <c:pt idx="117">
                  <c:v>30.24</c:v>
                </c:pt>
              </c:numCache>
            </c:numRef>
          </c:val>
          <c:smooth val="0"/>
          <c:extLst>
            <c:ext xmlns:c16="http://schemas.microsoft.com/office/drawing/2014/chart" uri="{C3380CC4-5D6E-409C-BE32-E72D297353CC}">
              <c16:uniqueId val="{0000000A-20CA-4C1B-A834-BE5B83AD144A}"/>
            </c:ext>
          </c:extLst>
        </c:ser>
        <c:ser>
          <c:idx val="11"/>
          <c:order val="11"/>
          <c:tx>
            <c:strRef>
              <c:f>'50..800_F2'!$M$3:$M$4</c:f>
              <c:strCache>
                <c:ptCount val="1"/>
                <c:pt idx="0">
                  <c:v>E02</c:v>
                </c:pt>
              </c:strCache>
            </c:strRef>
          </c:tx>
          <c:spPr>
            <a:ln w="28575" cap="rnd">
              <a:solidFill>
                <a:schemeClr val="accent6">
                  <a:lumMod val="6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'50..800_F2'!$M$5:$M$123</c:f>
              <c:numCache>
                <c:formatCode>General</c:formatCode>
                <c:ptCount val="118"/>
                <c:pt idx="0">
                  <c:v>296.33999999999997</c:v>
                </c:pt>
                <c:pt idx="1">
                  <c:v>298.89</c:v>
                </c:pt>
                <c:pt idx="2">
                  <c:v>302.08</c:v>
                </c:pt>
                <c:pt idx="3">
                  <c:v>305.51</c:v>
                </c:pt>
                <c:pt idx="4">
                  <c:v>309.10000000000002</c:v>
                </c:pt>
                <c:pt idx="5">
                  <c:v>312.86</c:v>
                </c:pt>
                <c:pt idx="6">
                  <c:v>316.8</c:v>
                </c:pt>
                <c:pt idx="7">
                  <c:v>320.93</c:v>
                </c:pt>
                <c:pt idx="8">
                  <c:v>325.26</c:v>
                </c:pt>
                <c:pt idx="9">
                  <c:v>329.8</c:v>
                </c:pt>
                <c:pt idx="10">
                  <c:v>334.56</c:v>
                </c:pt>
                <c:pt idx="11">
                  <c:v>339.56</c:v>
                </c:pt>
                <c:pt idx="12">
                  <c:v>344.8</c:v>
                </c:pt>
                <c:pt idx="13">
                  <c:v>350.31</c:v>
                </c:pt>
                <c:pt idx="14">
                  <c:v>356.08</c:v>
                </c:pt>
                <c:pt idx="15">
                  <c:v>362.15</c:v>
                </c:pt>
                <c:pt idx="16">
                  <c:v>368.52</c:v>
                </c:pt>
                <c:pt idx="17">
                  <c:v>375.2</c:v>
                </c:pt>
                <c:pt idx="18">
                  <c:v>382.21</c:v>
                </c:pt>
                <c:pt idx="19">
                  <c:v>389.56</c:v>
                </c:pt>
                <c:pt idx="20">
                  <c:v>397.27</c:v>
                </c:pt>
                <c:pt idx="21">
                  <c:v>405.34</c:v>
                </c:pt>
                <c:pt idx="22">
                  <c:v>413.79</c:v>
                </c:pt>
                <c:pt idx="23">
                  <c:v>422.63</c:v>
                </c:pt>
                <c:pt idx="24">
                  <c:v>431.85</c:v>
                </c:pt>
                <c:pt idx="25">
                  <c:v>441.47</c:v>
                </c:pt>
                <c:pt idx="26">
                  <c:v>451.48</c:v>
                </c:pt>
                <c:pt idx="27">
                  <c:v>461.88</c:v>
                </c:pt>
                <c:pt idx="28">
                  <c:v>472.65</c:v>
                </c:pt>
                <c:pt idx="29">
                  <c:v>483.78</c:v>
                </c:pt>
                <c:pt idx="30">
                  <c:v>495.24</c:v>
                </c:pt>
                <c:pt idx="31">
                  <c:v>507</c:v>
                </c:pt>
                <c:pt idx="32">
                  <c:v>519.01</c:v>
                </c:pt>
                <c:pt idx="33">
                  <c:v>531.22</c:v>
                </c:pt>
                <c:pt idx="34">
                  <c:v>543.55999999999995</c:v>
                </c:pt>
                <c:pt idx="35">
                  <c:v>555.97</c:v>
                </c:pt>
                <c:pt idx="36">
                  <c:v>568.35</c:v>
                </c:pt>
                <c:pt idx="37">
                  <c:v>580.61</c:v>
                </c:pt>
                <c:pt idx="38">
                  <c:v>592.64</c:v>
                </c:pt>
                <c:pt idx="39">
                  <c:v>604.32000000000005</c:v>
                </c:pt>
                <c:pt idx="40">
                  <c:v>615.54999999999995</c:v>
                </c:pt>
                <c:pt idx="41">
                  <c:v>626.17999999999995</c:v>
                </c:pt>
                <c:pt idx="42">
                  <c:v>636.12</c:v>
                </c:pt>
                <c:pt idx="43">
                  <c:v>645.23</c:v>
                </c:pt>
                <c:pt idx="44">
                  <c:v>653.41</c:v>
                </c:pt>
                <c:pt idx="45">
                  <c:v>660.58</c:v>
                </c:pt>
                <c:pt idx="46">
                  <c:v>666.66</c:v>
                </c:pt>
                <c:pt idx="47">
                  <c:v>671.61</c:v>
                </c:pt>
                <c:pt idx="48">
                  <c:v>675.44</c:v>
                </c:pt>
                <c:pt idx="49">
                  <c:v>678.19</c:v>
                </c:pt>
                <c:pt idx="50">
                  <c:v>679.96</c:v>
                </c:pt>
                <c:pt idx="51">
                  <c:v>680.91</c:v>
                </c:pt>
                <c:pt idx="52">
                  <c:v>681.27</c:v>
                </c:pt>
                <c:pt idx="53">
                  <c:v>681.37</c:v>
                </c:pt>
                <c:pt idx="54">
                  <c:v>681.6</c:v>
                </c:pt>
                <c:pt idx="55">
                  <c:v>682.47</c:v>
                </c:pt>
                <c:pt idx="56">
                  <c:v>684.61</c:v>
                </c:pt>
                <c:pt idx="57">
                  <c:v>688.75</c:v>
                </c:pt>
                <c:pt idx="58">
                  <c:v>695.76</c:v>
                </c:pt>
                <c:pt idx="59">
                  <c:v>706.62</c:v>
                </c:pt>
                <c:pt idx="60">
                  <c:v>722.4</c:v>
                </c:pt>
                <c:pt idx="61">
                  <c:v>744.24</c:v>
                </c:pt>
                <c:pt idx="62">
                  <c:v>773.24</c:v>
                </c:pt>
                <c:pt idx="63">
                  <c:v>810.38</c:v>
                </c:pt>
                <c:pt idx="64">
                  <c:v>856.34</c:v>
                </c:pt>
                <c:pt idx="65">
                  <c:v>911.42</c:v>
                </c:pt>
                <c:pt idx="66">
                  <c:v>975.49</c:v>
                </c:pt>
                <c:pt idx="67">
                  <c:v>1048.2</c:v>
                </c:pt>
                <c:pt idx="68">
                  <c:v>1129.67</c:v>
                </c:pt>
                <c:pt idx="69">
                  <c:v>1221.5999999999999</c:v>
                </c:pt>
                <c:pt idx="70">
                  <c:v>1328.82</c:v>
                </c:pt>
                <c:pt idx="71">
                  <c:v>1460.8</c:v>
                </c:pt>
                <c:pt idx="72">
                  <c:v>1632.75</c:v>
                </c:pt>
                <c:pt idx="73">
                  <c:v>1866.49</c:v>
                </c:pt>
                <c:pt idx="74">
                  <c:v>2192.0300000000002</c:v>
                </c:pt>
                <c:pt idx="75">
                  <c:v>2650.53</c:v>
                </c:pt>
                <c:pt idx="76">
                  <c:v>3297.84</c:v>
                </c:pt>
                <c:pt idx="77">
                  <c:v>4204.8100000000004</c:v>
                </c:pt>
                <c:pt idx="78">
                  <c:v>5434.55</c:v>
                </c:pt>
                <c:pt idx="79">
                  <c:v>6891.87</c:v>
                </c:pt>
                <c:pt idx="80">
                  <c:v>8217.26</c:v>
                </c:pt>
                <c:pt idx="81">
                  <c:v>8996.69</c:v>
                </c:pt>
                <c:pt idx="82">
                  <c:v>8910.93</c:v>
                </c:pt>
                <c:pt idx="83">
                  <c:v>7886.05</c:v>
                </c:pt>
                <c:pt idx="84">
                  <c:v>6186.99</c:v>
                </c:pt>
                <c:pt idx="85">
                  <c:v>4373.17</c:v>
                </c:pt>
                <c:pt idx="86">
                  <c:v>2962.54</c:v>
                </c:pt>
                <c:pt idx="87">
                  <c:v>2024.54</c:v>
                </c:pt>
                <c:pt idx="88">
                  <c:v>1419.09</c:v>
                </c:pt>
                <c:pt idx="89">
                  <c:v>1024.8</c:v>
                </c:pt>
                <c:pt idx="90">
                  <c:v>762.71</c:v>
                </c:pt>
                <c:pt idx="91">
                  <c:v>584.17999999999995</c:v>
                </c:pt>
                <c:pt idx="92">
                  <c:v>459.48</c:v>
                </c:pt>
                <c:pt idx="93">
                  <c:v>370.2</c:v>
                </c:pt>
                <c:pt idx="94">
                  <c:v>304.77</c:v>
                </c:pt>
                <c:pt idx="95">
                  <c:v>255.76</c:v>
                </c:pt>
                <c:pt idx="96">
                  <c:v>218.31</c:v>
                </c:pt>
                <c:pt idx="97">
                  <c:v>189.17</c:v>
                </c:pt>
                <c:pt idx="98">
                  <c:v>166.15</c:v>
                </c:pt>
                <c:pt idx="99">
                  <c:v>147.72999999999999</c:v>
                </c:pt>
                <c:pt idx="100">
                  <c:v>132.88</c:v>
                </c:pt>
                <c:pt idx="101">
                  <c:v>120.83</c:v>
                </c:pt>
                <c:pt idx="102">
                  <c:v>111.05</c:v>
                </c:pt>
                <c:pt idx="103">
                  <c:v>103.12</c:v>
                </c:pt>
                <c:pt idx="104">
                  <c:v>96.7</c:v>
                </c:pt>
                <c:pt idx="105">
                  <c:v>91.55</c:v>
                </c:pt>
                <c:pt idx="106">
                  <c:v>87.44</c:v>
                </c:pt>
                <c:pt idx="107">
                  <c:v>84.19</c:v>
                </c:pt>
                <c:pt idx="108">
                  <c:v>81.680000000000007</c:v>
                </c:pt>
                <c:pt idx="109">
                  <c:v>79.78</c:v>
                </c:pt>
                <c:pt idx="110">
                  <c:v>78.39</c:v>
                </c:pt>
                <c:pt idx="111">
                  <c:v>77.45</c:v>
                </c:pt>
                <c:pt idx="112">
                  <c:v>76.88</c:v>
                </c:pt>
                <c:pt idx="113">
                  <c:v>76.650000000000006</c:v>
                </c:pt>
                <c:pt idx="114">
                  <c:v>76.709999999999994</c:v>
                </c:pt>
                <c:pt idx="115">
                  <c:v>77.02</c:v>
                </c:pt>
                <c:pt idx="116">
                  <c:v>77.540000000000006</c:v>
                </c:pt>
                <c:pt idx="117">
                  <c:v>78.05</c:v>
                </c:pt>
              </c:numCache>
            </c:numRef>
          </c:val>
          <c:smooth val="0"/>
          <c:extLst>
            <c:ext xmlns:c16="http://schemas.microsoft.com/office/drawing/2014/chart" uri="{C3380CC4-5D6E-409C-BE32-E72D297353CC}">
              <c16:uniqueId val="{0000000B-20CA-4C1B-A834-BE5B83AD144A}"/>
            </c:ext>
          </c:extLst>
        </c:ser>
        <c:ser>
          <c:idx val="12"/>
          <c:order val="12"/>
          <c:tx>
            <c:strRef>
              <c:f>'50..800_F2'!$N$3:$N$4</c:f>
              <c:strCache>
                <c:ptCount val="1"/>
                <c:pt idx="0">
                  <c:v>E03</c:v>
                </c:pt>
              </c:strCache>
            </c:strRef>
          </c:tx>
          <c:spPr>
            <a:ln w="28575" cap="rnd">
              <a:solidFill>
                <a:schemeClr val="accent1">
                  <a:lumMod val="80000"/>
                  <a:lumOff val="2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'50..800_F2'!$N$5:$N$123</c:f>
              <c:numCache>
                <c:formatCode>General</c:formatCode>
                <c:ptCount val="118"/>
                <c:pt idx="0">
                  <c:v>250.68</c:v>
                </c:pt>
                <c:pt idx="1">
                  <c:v>252.92</c:v>
                </c:pt>
                <c:pt idx="2">
                  <c:v>255.76</c:v>
                </c:pt>
                <c:pt idx="3">
                  <c:v>258.83999999999997</c:v>
                </c:pt>
                <c:pt idx="4">
                  <c:v>262.07</c:v>
                </c:pt>
                <c:pt idx="5">
                  <c:v>265.45999999999998</c:v>
                </c:pt>
                <c:pt idx="6">
                  <c:v>269.04000000000002</c:v>
                </c:pt>
                <c:pt idx="7">
                  <c:v>272.8</c:v>
                </c:pt>
                <c:pt idx="8">
                  <c:v>276.77</c:v>
                </c:pt>
                <c:pt idx="9">
                  <c:v>280.94</c:v>
                </c:pt>
                <c:pt idx="10">
                  <c:v>285.33999999999997</c:v>
                </c:pt>
                <c:pt idx="11">
                  <c:v>289.98</c:v>
                </c:pt>
                <c:pt idx="12">
                  <c:v>294.87</c:v>
                </c:pt>
                <c:pt idx="13">
                  <c:v>300.02999999999997</c:v>
                </c:pt>
                <c:pt idx="14">
                  <c:v>305.47000000000003</c:v>
                </c:pt>
                <c:pt idx="15">
                  <c:v>311.22000000000003</c:v>
                </c:pt>
                <c:pt idx="16">
                  <c:v>317.27999999999997</c:v>
                </c:pt>
                <c:pt idx="17">
                  <c:v>323.68</c:v>
                </c:pt>
                <c:pt idx="18">
                  <c:v>330.43</c:v>
                </c:pt>
                <c:pt idx="19">
                  <c:v>337.55</c:v>
                </c:pt>
                <c:pt idx="20">
                  <c:v>345.07</c:v>
                </c:pt>
                <c:pt idx="21">
                  <c:v>352.99</c:v>
                </c:pt>
                <c:pt idx="22">
                  <c:v>361.35</c:v>
                </c:pt>
                <c:pt idx="23">
                  <c:v>370.15</c:v>
                </c:pt>
                <c:pt idx="24">
                  <c:v>379.42</c:v>
                </c:pt>
                <c:pt idx="25">
                  <c:v>389.16</c:v>
                </c:pt>
                <c:pt idx="26">
                  <c:v>399.39</c:v>
                </c:pt>
                <c:pt idx="27">
                  <c:v>410.11</c:v>
                </c:pt>
                <c:pt idx="28">
                  <c:v>421.34</c:v>
                </c:pt>
                <c:pt idx="29">
                  <c:v>433.07</c:v>
                </c:pt>
                <c:pt idx="30">
                  <c:v>445.29</c:v>
                </c:pt>
                <c:pt idx="31">
                  <c:v>457.98</c:v>
                </c:pt>
                <c:pt idx="32">
                  <c:v>471.13</c:v>
                </c:pt>
                <c:pt idx="33">
                  <c:v>484.7</c:v>
                </c:pt>
                <c:pt idx="34">
                  <c:v>498.64</c:v>
                </c:pt>
                <c:pt idx="35">
                  <c:v>512.89</c:v>
                </c:pt>
                <c:pt idx="36">
                  <c:v>527.39</c:v>
                </c:pt>
                <c:pt idx="37">
                  <c:v>542.05999999999995</c:v>
                </c:pt>
                <c:pt idx="38">
                  <c:v>556.79</c:v>
                </c:pt>
                <c:pt idx="39">
                  <c:v>571.49</c:v>
                </c:pt>
                <c:pt idx="40">
                  <c:v>586.03</c:v>
                </c:pt>
                <c:pt idx="41">
                  <c:v>600.30999999999995</c:v>
                </c:pt>
                <c:pt idx="42">
                  <c:v>614.17999999999995</c:v>
                </c:pt>
                <c:pt idx="43">
                  <c:v>627.53</c:v>
                </c:pt>
                <c:pt idx="44">
                  <c:v>640.24</c:v>
                </c:pt>
                <c:pt idx="45">
                  <c:v>652.20000000000005</c:v>
                </c:pt>
                <c:pt idx="46">
                  <c:v>663.33</c:v>
                </c:pt>
                <c:pt idx="47">
                  <c:v>673.57</c:v>
                </c:pt>
                <c:pt idx="48">
                  <c:v>682.9</c:v>
                </c:pt>
                <c:pt idx="49">
                  <c:v>691.32</c:v>
                </c:pt>
                <c:pt idx="50">
                  <c:v>698.92</c:v>
                </c:pt>
                <c:pt idx="51">
                  <c:v>705.79</c:v>
                </c:pt>
                <c:pt idx="52">
                  <c:v>712.13</c:v>
                </c:pt>
                <c:pt idx="53">
                  <c:v>718.15</c:v>
                </c:pt>
                <c:pt idx="54">
                  <c:v>724.14</c:v>
                </c:pt>
                <c:pt idx="55">
                  <c:v>730.42</c:v>
                </c:pt>
                <c:pt idx="56">
                  <c:v>737.35</c:v>
                </c:pt>
                <c:pt idx="57">
                  <c:v>745.32</c:v>
                </c:pt>
                <c:pt idx="58">
                  <c:v>754.73</c:v>
                </c:pt>
                <c:pt idx="59">
                  <c:v>765.98</c:v>
                </c:pt>
                <c:pt idx="60">
                  <c:v>779.46</c:v>
                </c:pt>
                <c:pt idx="61">
                  <c:v>795.55</c:v>
                </c:pt>
                <c:pt idx="62">
                  <c:v>814.67</c:v>
                </c:pt>
                <c:pt idx="63">
                  <c:v>837.24</c:v>
                </c:pt>
                <c:pt idx="64">
                  <c:v>863.86</c:v>
                </c:pt>
                <c:pt idx="65">
                  <c:v>895.37</c:v>
                </c:pt>
                <c:pt idx="66">
                  <c:v>933.09</c:v>
                </c:pt>
                <c:pt idx="67">
                  <c:v>979.14</c:v>
                </c:pt>
                <c:pt idx="68">
                  <c:v>1036.93</c:v>
                </c:pt>
                <c:pt idx="69">
                  <c:v>1111.8599999999999</c:v>
                </c:pt>
                <c:pt idx="70">
                  <c:v>1212.3</c:v>
                </c:pt>
                <c:pt idx="71">
                  <c:v>1350.59</c:v>
                </c:pt>
                <c:pt idx="72">
                  <c:v>1543.84</c:v>
                </c:pt>
                <c:pt idx="73">
                  <c:v>1814.01</c:v>
                </c:pt>
                <c:pt idx="74">
                  <c:v>2187.6999999999998</c:v>
                </c:pt>
                <c:pt idx="75">
                  <c:v>2697.82</c:v>
                </c:pt>
                <c:pt idx="76">
                  <c:v>3389.23</c:v>
                </c:pt>
                <c:pt idx="77">
                  <c:v>4323.34</c:v>
                </c:pt>
                <c:pt idx="78">
                  <c:v>5545.29</c:v>
                </c:pt>
                <c:pt idx="79">
                  <c:v>6921.63</c:v>
                </c:pt>
                <c:pt idx="80">
                  <c:v>8078.07</c:v>
                </c:pt>
                <c:pt idx="81">
                  <c:v>8622.7800000000007</c:v>
                </c:pt>
                <c:pt idx="82">
                  <c:v>8299.4699999999993</c:v>
                </c:pt>
                <c:pt idx="83">
                  <c:v>7119.93</c:v>
                </c:pt>
                <c:pt idx="84">
                  <c:v>5408.86</c:v>
                </c:pt>
                <c:pt idx="85">
                  <c:v>3720.43</c:v>
                </c:pt>
                <c:pt idx="86">
                  <c:v>2484.4299999999998</c:v>
                </c:pt>
                <c:pt idx="87">
                  <c:v>1689.11</c:v>
                </c:pt>
                <c:pt idx="88">
                  <c:v>1183.9100000000001</c:v>
                </c:pt>
                <c:pt idx="89">
                  <c:v>857.71</c:v>
                </c:pt>
                <c:pt idx="90">
                  <c:v>641.69000000000005</c:v>
                </c:pt>
                <c:pt idx="91">
                  <c:v>494.62</c:v>
                </c:pt>
                <c:pt idx="92">
                  <c:v>391.75</c:v>
                </c:pt>
                <c:pt idx="93">
                  <c:v>317.92</c:v>
                </c:pt>
                <c:pt idx="94">
                  <c:v>263.64</c:v>
                </c:pt>
                <c:pt idx="95">
                  <c:v>222.82</c:v>
                </c:pt>
                <c:pt idx="96">
                  <c:v>191.49</c:v>
                </c:pt>
                <c:pt idx="97">
                  <c:v>167</c:v>
                </c:pt>
                <c:pt idx="98">
                  <c:v>147.56</c:v>
                </c:pt>
                <c:pt idx="99">
                  <c:v>131.94999999999999</c:v>
                </c:pt>
                <c:pt idx="100">
                  <c:v>119.3</c:v>
                </c:pt>
                <c:pt idx="101">
                  <c:v>109.02</c:v>
                </c:pt>
                <c:pt idx="102">
                  <c:v>100.64</c:v>
                </c:pt>
                <c:pt idx="103">
                  <c:v>93.82</c:v>
                </c:pt>
                <c:pt idx="104">
                  <c:v>88.28</c:v>
                </c:pt>
                <c:pt idx="105">
                  <c:v>83.82</c:v>
                </c:pt>
                <c:pt idx="106">
                  <c:v>80.25</c:v>
                </c:pt>
                <c:pt idx="107">
                  <c:v>77.42</c:v>
                </c:pt>
                <c:pt idx="108">
                  <c:v>75.23</c:v>
                </c:pt>
                <c:pt idx="109">
                  <c:v>73.56</c:v>
                </c:pt>
                <c:pt idx="110">
                  <c:v>72.34</c:v>
                </c:pt>
                <c:pt idx="111">
                  <c:v>71.510000000000005</c:v>
                </c:pt>
                <c:pt idx="112">
                  <c:v>71.02</c:v>
                </c:pt>
                <c:pt idx="113">
                  <c:v>70.819999999999993</c:v>
                </c:pt>
                <c:pt idx="114">
                  <c:v>70.88</c:v>
                </c:pt>
                <c:pt idx="115">
                  <c:v>71.17</c:v>
                </c:pt>
                <c:pt idx="116">
                  <c:v>71.64</c:v>
                </c:pt>
                <c:pt idx="117">
                  <c:v>72.11</c:v>
                </c:pt>
              </c:numCache>
            </c:numRef>
          </c:val>
          <c:smooth val="0"/>
          <c:extLst>
            <c:ext xmlns:c16="http://schemas.microsoft.com/office/drawing/2014/chart" uri="{C3380CC4-5D6E-409C-BE32-E72D297353CC}">
              <c16:uniqueId val="{0000000C-20CA-4C1B-A834-BE5B83AD144A}"/>
            </c:ext>
          </c:extLst>
        </c:ser>
        <c:ser>
          <c:idx val="13"/>
          <c:order val="13"/>
          <c:tx>
            <c:strRef>
              <c:f>'50..800_F2'!$O$3:$O$4</c:f>
              <c:strCache>
                <c:ptCount val="1"/>
                <c:pt idx="0">
                  <c:v>E04</c:v>
                </c:pt>
              </c:strCache>
            </c:strRef>
          </c:tx>
          <c:spPr>
            <a:ln w="28575" cap="rnd">
              <a:solidFill>
                <a:schemeClr val="accent2">
                  <a:lumMod val="80000"/>
                  <a:lumOff val="2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'50..800_F2'!$O$5:$O$123</c:f>
              <c:numCache>
                <c:formatCode>General</c:formatCode>
                <c:ptCount val="118"/>
                <c:pt idx="0">
                  <c:v>244.16</c:v>
                </c:pt>
                <c:pt idx="1">
                  <c:v>246.32</c:v>
                </c:pt>
                <c:pt idx="2">
                  <c:v>249.05</c:v>
                </c:pt>
                <c:pt idx="3">
                  <c:v>252</c:v>
                </c:pt>
                <c:pt idx="4">
                  <c:v>255.1</c:v>
                </c:pt>
                <c:pt idx="5">
                  <c:v>258.36</c:v>
                </c:pt>
                <c:pt idx="6">
                  <c:v>261.79000000000002</c:v>
                </c:pt>
                <c:pt idx="7">
                  <c:v>265.41000000000003</c:v>
                </c:pt>
                <c:pt idx="8">
                  <c:v>269.20999999999998</c:v>
                </c:pt>
                <c:pt idx="9">
                  <c:v>273.22000000000003</c:v>
                </c:pt>
                <c:pt idx="10">
                  <c:v>277.45</c:v>
                </c:pt>
                <c:pt idx="11">
                  <c:v>281.89999999999998</c:v>
                </c:pt>
                <c:pt idx="12">
                  <c:v>286.58999999999997</c:v>
                </c:pt>
                <c:pt idx="13">
                  <c:v>291.54000000000002</c:v>
                </c:pt>
                <c:pt idx="14">
                  <c:v>296.77</c:v>
                </c:pt>
                <c:pt idx="15">
                  <c:v>302.27999999999997</c:v>
                </c:pt>
                <c:pt idx="16">
                  <c:v>308.08999999999997</c:v>
                </c:pt>
                <c:pt idx="17">
                  <c:v>314.23</c:v>
                </c:pt>
                <c:pt idx="18">
                  <c:v>320.70999999999998</c:v>
                </c:pt>
                <c:pt idx="19">
                  <c:v>327.54000000000002</c:v>
                </c:pt>
                <c:pt idx="20">
                  <c:v>334.75</c:v>
                </c:pt>
                <c:pt idx="21">
                  <c:v>342.34</c:v>
                </c:pt>
                <c:pt idx="22">
                  <c:v>350.35</c:v>
                </c:pt>
                <c:pt idx="23">
                  <c:v>358.78</c:v>
                </c:pt>
                <c:pt idx="24">
                  <c:v>367.66</c:v>
                </c:pt>
                <c:pt idx="25">
                  <c:v>376.98</c:v>
                </c:pt>
                <c:pt idx="26">
                  <c:v>386.77</c:v>
                </c:pt>
                <c:pt idx="27">
                  <c:v>397.04</c:v>
                </c:pt>
                <c:pt idx="28">
                  <c:v>407.77</c:v>
                </c:pt>
                <c:pt idx="29">
                  <c:v>418.98</c:v>
                </c:pt>
                <c:pt idx="30">
                  <c:v>430.66</c:v>
                </c:pt>
                <c:pt idx="31">
                  <c:v>442.78</c:v>
                </c:pt>
                <c:pt idx="32">
                  <c:v>455.33</c:v>
                </c:pt>
                <c:pt idx="33">
                  <c:v>468.27</c:v>
                </c:pt>
                <c:pt idx="34">
                  <c:v>481.55</c:v>
                </c:pt>
                <c:pt idx="35">
                  <c:v>495.13</c:v>
                </c:pt>
                <c:pt idx="36">
                  <c:v>508.93</c:v>
                </c:pt>
                <c:pt idx="37">
                  <c:v>522.88</c:v>
                </c:pt>
                <c:pt idx="38">
                  <c:v>536.89</c:v>
                </c:pt>
                <c:pt idx="39">
                  <c:v>550.86</c:v>
                </c:pt>
                <c:pt idx="40">
                  <c:v>564.67999999999995</c:v>
                </c:pt>
                <c:pt idx="41">
                  <c:v>578.25</c:v>
                </c:pt>
                <c:pt idx="42">
                  <c:v>591.44000000000005</c:v>
                </c:pt>
                <c:pt idx="43">
                  <c:v>604.16999999999996</c:v>
                </c:pt>
                <c:pt idx="44">
                  <c:v>616.32000000000005</c:v>
                </c:pt>
                <c:pt idx="45">
                  <c:v>627.83000000000004</c:v>
                </c:pt>
                <c:pt idx="46">
                  <c:v>638.65</c:v>
                </c:pt>
                <c:pt idx="47">
                  <c:v>648.76</c:v>
                </c:pt>
                <c:pt idx="48">
                  <c:v>658.18</c:v>
                </c:pt>
                <c:pt idx="49">
                  <c:v>666.99</c:v>
                </c:pt>
                <c:pt idx="50">
                  <c:v>675.34</c:v>
                </c:pt>
                <c:pt idx="51">
                  <c:v>683.41</c:v>
                </c:pt>
                <c:pt idx="52">
                  <c:v>691.45</c:v>
                </c:pt>
                <c:pt idx="53">
                  <c:v>699.8</c:v>
                </c:pt>
                <c:pt idx="54">
                  <c:v>708.8</c:v>
                </c:pt>
                <c:pt idx="55">
                  <c:v>718.89</c:v>
                </c:pt>
                <c:pt idx="56">
                  <c:v>730.47</c:v>
                </c:pt>
                <c:pt idx="57">
                  <c:v>744</c:v>
                </c:pt>
                <c:pt idx="58">
                  <c:v>759.88</c:v>
                </c:pt>
                <c:pt idx="59">
                  <c:v>778.47</c:v>
                </c:pt>
                <c:pt idx="60">
                  <c:v>800.07</c:v>
                </c:pt>
                <c:pt idx="61">
                  <c:v>824.9</c:v>
                </c:pt>
                <c:pt idx="62">
                  <c:v>853.12</c:v>
                </c:pt>
                <c:pt idx="63">
                  <c:v>884.89</c:v>
                </c:pt>
                <c:pt idx="64">
                  <c:v>920.48</c:v>
                </c:pt>
                <c:pt idx="65">
                  <c:v>960.44</c:v>
                </c:pt>
                <c:pt idx="66">
                  <c:v>1005.85</c:v>
                </c:pt>
                <c:pt idx="67">
                  <c:v>1058.6400000000001</c:v>
                </c:pt>
                <c:pt idx="68">
                  <c:v>1121.92</c:v>
                </c:pt>
                <c:pt idx="69">
                  <c:v>1200.46</c:v>
                </c:pt>
                <c:pt idx="70">
                  <c:v>1301.21</c:v>
                </c:pt>
                <c:pt idx="71">
                  <c:v>1434.06</c:v>
                </c:pt>
                <c:pt idx="72">
                  <c:v>1612.96</c:v>
                </c:pt>
                <c:pt idx="73">
                  <c:v>1857.45</c:v>
                </c:pt>
                <c:pt idx="74">
                  <c:v>2194.89</c:v>
                </c:pt>
                <c:pt idx="75">
                  <c:v>2663.11</c:v>
                </c:pt>
                <c:pt idx="76">
                  <c:v>3312.55</c:v>
                </c:pt>
                <c:pt idx="77">
                  <c:v>4204.4399999999996</c:v>
                </c:pt>
                <c:pt idx="78">
                  <c:v>5385.32</c:v>
                </c:pt>
                <c:pt idx="79">
                  <c:v>6746.55</c:v>
                </c:pt>
                <c:pt idx="80">
                  <c:v>7938.23</c:v>
                </c:pt>
                <c:pt idx="81">
                  <c:v>8564.7000000000007</c:v>
                </c:pt>
                <c:pt idx="82">
                  <c:v>8338.4699999999993</c:v>
                </c:pt>
                <c:pt idx="83">
                  <c:v>7231.91</c:v>
                </c:pt>
                <c:pt idx="84">
                  <c:v>5546.95</c:v>
                </c:pt>
                <c:pt idx="85">
                  <c:v>3841.04</c:v>
                </c:pt>
                <c:pt idx="86">
                  <c:v>2570.2399999999998</c:v>
                </c:pt>
                <c:pt idx="87">
                  <c:v>1745.16</c:v>
                </c:pt>
                <c:pt idx="88">
                  <c:v>1218.57</c:v>
                </c:pt>
                <c:pt idx="89">
                  <c:v>877.68</c:v>
                </c:pt>
                <c:pt idx="90">
                  <c:v>651.83000000000004</c:v>
                </c:pt>
                <c:pt idx="91">
                  <c:v>498.3</c:v>
                </c:pt>
                <c:pt idx="92">
                  <c:v>391.19</c:v>
                </c:pt>
                <c:pt idx="93">
                  <c:v>314.56</c:v>
                </c:pt>
                <c:pt idx="94">
                  <c:v>258.43</c:v>
                </c:pt>
                <c:pt idx="95">
                  <c:v>216.42</c:v>
                </c:pt>
                <c:pt idx="96">
                  <c:v>184.34</c:v>
                </c:pt>
                <c:pt idx="97">
                  <c:v>159.4</c:v>
                </c:pt>
                <c:pt idx="98">
                  <c:v>139.72999999999999</c:v>
                </c:pt>
                <c:pt idx="99">
                  <c:v>124.03</c:v>
                </c:pt>
                <c:pt idx="100">
                  <c:v>111.4</c:v>
                </c:pt>
                <c:pt idx="101">
                  <c:v>101.18</c:v>
                </c:pt>
                <c:pt idx="102">
                  <c:v>92.92</c:v>
                </c:pt>
                <c:pt idx="103">
                  <c:v>86.23</c:v>
                </c:pt>
                <c:pt idx="104">
                  <c:v>80.849999999999994</c:v>
                </c:pt>
                <c:pt idx="105">
                  <c:v>76.55</c:v>
                </c:pt>
                <c:pt idx="106">
                  <c:v>73.13</c:v>
                </c:pt>
                <c:pt idx="107">
                  <c:v>70.45</c:v>
                </c:pt>
                <c:pt idx="108">
                  <c:v>68.39</c:v>
                </c:pt>
                <c:pt idx="109">
                  <c:v>66.849999999999994</c:v>
                </c:pt>
                <c:pt idx="110">
                  <c:v>65.75</c:v>
                </c:pt>
                <c:pt idx="111">
                  <c:v>65.03</c:v>
                </c:pt>
                <c:pt idx="112">
                  <c:v>64.63</c:v>
                </c:pt>
                <c:pt idx="113">
                  <c:v>64.510000000000005</c:v>
                </c:pt>
                <c:pt idx="114">
                  <c:v>64.650000000000006</c:v>
                </c:pt>
                <c:pt idx="115">
                  <c:v>65</c:v>
                </c:pt>
                <c:pt idx="116">
                  <c:v>65.53</c:v>
                </c:pt>
                <c:pt idx="117">
                  <c:v>66.03</c:v>
                </c:pt>
              </c:numCache>
            </c:numRef>
          </c:val>
          <c:smooth val="0"/>
          <c:extLst>
            <c:ext xmlns:c16="http://schemas.microsoft.com/office/drawing/2014/chart" uri="{C3380CC4-5D6E-409C-BE32-E72D297353CC}">
              <c16:uniqueId val="{0000000D-20CA-4C1B-A834-BE5B83AD144A}"/>
            </c:ext>
          </c:extLst>
        </c:ser>
        <c:ser>
          <c:idx val="14"/>
          <c:order val="14"/>
          <c:tx>
            <c:strRef>
              <c:f>'50..800_F2'!$P$3:$P$4</c:f>
              <c:strCache>
                <c:ptCount val="1"/>
                <c:pt idx="0">
                  <c:v>E05</c:v>
                </c:pt>
              </c:strCache>
            </c:strRef>
          </c:tx>
          <c:spPr>
            <a:ln w="28575" cap="rnd">
              <a:solidFill>
                <a:schemeClr val="accent3">
                  <a:lumMod val="80000"/>
                  <a:lumOff val="2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'50..800_F2'!$P$5:$P$123</c:f>
              <c:numCache>
                <c:formatCode>General</c:formatCode>
                <c:ptCount val="118"/>
                <c:pt idx="0">
                  <c:v>288.69</c:v>
                </c:pt>
                <c:pt idx="1">
                  <c:v>290.94</c:v>
                </c:pt>
                <c:pt idx="2">
                  <c:v>293.68</c:v>
                </c:pt>
                <c:pt idx="3">
                  <c:v>296.60000000000002</c:v>
                </c:pt>
                <c:pt idx="4">
                  <c:v>299.64999999999998</c:v>
                </c:pt>
                <c:pt idx="5">
                  <c:v>302.83999999999997</c:v>
                </c:pt>
                <c:pt idx="6">
                  <c:v>306.16000000000003</c:v>
                </c:pt>
                <c:pt idx="7">
                  <c:v>309.64</c:v>
                </c:pt>
                <c:pt idx="8">
                  <c:v>313.27</c:v>
                </c:pt>
                <c:pt idx="9">
                  <c:v>317.06</c:v>
                </c:pt>
                <c:pt idx="10">
                  <c:v>321.02999999999997</c:v>
                </c:pt>
                <c:pt idx="11">
                  <c:v>325.19</c:v>
                </c:pt>
                <c:pt idx="12">
                  <c:v>329.54</c:v>
                </c:pt>
                <c:pt idx="13">
                  <c:v>334.09</c:v>
                </c:pt>
                <c:pt idx="14">
                  <c:v>338.87</c:v>
                </c:pt>
                <c:pt idx="15">
                  <c:v>343.86</c:v>
                </c:pt>
                <c:pt idx="16">
                  <c:v>349.1</c:v>
                </c:pt>
                <c:pt idx="17">
                  <c:v>354.59</c:v>
                </c:pt>
                <c:pt idx="18">
                  <c:v>360.34</c:v>
                </c:pt>
                <c:pt idx="19">
                  <c:v>366.36</c:v>
                </c:pt>
                <c:pt idx="20">
                  <c:v>372.67</c:v>
                </c:pt>
                <c:pt idx="21">
                  <c:v>379.27</c:v>
                </c:pt>
                <c:pt idx="22">
                  <c:v>386.18</c:v>
                </c:pt>
                <c:pt idx="23">
                  <c:v>393.41</c:v>
                </c:pt>
                <c:pt idx="24">
                  <c:v>400.96</c:v>
                </c:pt>
                <c:pt idx="25">
                  <c:v>408.84</c:v>
                </c:pt>
                <c:pt idx="26">
                  <c:v>417.06</c:v>
                </c:pt>
                <c:pt idx="27">
                  <c:v>425.62</c:v>
                </c:pt>
                <c:pt idx="28">
                  <c:v>434.51</c:v>
                </c:pt>
                <c:pt idx="29">
                  <c:v>443.73</c:v>
                </c:pt>
                <c:pt idx="30">
                  <c:v>453.28</c:v>
                </c:pt>
                <c:pt idx="31">
                  <c:v>463.13</c:v>
                </c:pt>
                <c:pt idx="32">
                  <c:v>473.26</c:v>
                </c:pt>
                <c:pt idx="33">
                  <c:v>483.65</c:v>
                </c:pt>
                <c:pt idx="34">
                  <c:v>494.27</c:v>
                </c:pt>
                <c:pt idx="35">
                  <c:v>505.07</c:v>
                </c:pt>
                <c:pt idx="36">
                  <c:v>516</c:v>
                </c:pt>
                <c:pt idx="37">
                  <c:v>527.01</c:v>
                </c:pt>
                <c:pt idx="38">
                  <c:v>538.04</c:v>
                </c:pt>
                <c:pt idx="39">
                  <c:v>549.02</c:v>
                </c:pt>
                <c:pt idx="40">
                  <c:v>559.88</c:v>
                </c:pt>
                <c:pt idx="41">
                  <c:v>570.54999999999995</c:v>
                </c:pt>
                <c:pt idx="42">
                  <c:v>580.95000000000005</c:v>
                </c:pt>
                <c:pt idx="43">
                  <c:v>591.02</c:v>
                </c:pt>
                <c:pt idx="44">
                  <c:v>600.69000000000005</c:v>
                </c:pt>
                <c:pt idx="45">
                  <c:v>609.94000000000005</c:v>
                </c:pt>
                <c:pt idx="46">
                  <c:v>618.72</c:v>
                </c:pt>
                <c:pt idx="47">
                  <c:v>627.04</c:v>
                </c:pt>
                <c:pt idx="48">
                  <c:v>634.94000000000005</c:v>
                </c:pt>
                <c:pt idx="49">
                  <c:v>642.49</c:v>
                </c:pt>
                <c:pt idx="50">
                  <c:v>649.80999999999995</c:v>
                </c:pt>
                <c:pt idx="51">
                  <c:v>657.07</c:v>
                </c:pt>
                <c:pt idx="52">
                  <c:v>664.5</c:v>
                </c:pt>
                <c:pt idx="53">
                  <c:v>672.36</c:v>
                </c:pt>
                <c:pt idx="54">
                  <c:v>680.99</c:v>
                </c:pt>
                <c:pt idx="55">
                  <c:v>690.73</c:v>
                </c:pt>
                <c:pt idx="56">
                  <c:v>701.97</c:v>
                </c:pt>
                <c:pt idx="57">
                  <c:v>715.08</c:v>
                </c:pt>
                <c:pt idx="58">
                  <c:v>730.43</c:v>
                </c:pt>
                <c:pt idx="59">
                  <c:v>748.32</c:v>
                </c:pt>
                <c:pt idx="60">
                  <c:v>768.96</c:v>
                </c:pt>
                <c:pt idx="61">
                  <c:v>792.51</c:v>
                </c:pt>
                <c:pt idx="62">
                  <c:v>819.04</c:v>
                </c:pt>
                <c:pt idx="63">
                  <c:v>848.58</c:v>
                </c:pt>
                <c:pt idx="64">
                  <c:v>881.28</c:v>
                </c:pt>
                <c:pt idx="65">
                  <c:v>917.5</c:v>
                </c:pt>
                <c:pt idx="66">
                  <c:v>958.15</c:v>
                </c:pt>
                <c:pt idx="67">
                  <c:v>1004.94</c:v>
                </c:pt>
                <c:pt idx="68">
                  <c:v>1060.78</c:v>
                </c:pt>
                <c:pt idx="69">
                  <c:v>1130.23</c:v>
                </c:pt>
                <c:pt idx="70">
                  <c:v>1219.92</c:v>
                </c:pt>
                <c:pt idx="71">
                  <c:v>1339.28</c:v>
                </c:pt>
                <c:pt idx="72">
                  <c:v>1501.5</c:v>
                </c:pt>
                <c:pt idx="73">
                  <c:v>1724.99</c:v>
                </c:pt>
                <c:pt idx="74">
                  <c:v>2035.57</c:v>
                </c:pt>
                <c:pt idx="75">
                  <c:v>2469.31</c:v>
                </c:pt>
                <c:pt idx="76">
                  <c:v>3074.9</c:v>
                </c:pt>
                <c:pt idx="77">
                  <c:v>3912.8</c:v>
                </c:pt>
                <c:pt idx="78">
                  <c:v>5036.43</c:v>
                </c:pt>
                <c:pt idx="79">
                  <c:v>6362.84</c:v>
                </c:pt>
                <c:pt idx="80">
                  <c:v>7571.72</c:v>
                </c:pt>
                <c:pt idx="81">
                  <c:v>8282.49</c:v>
                </c:pt>
                <c:pt idx="82">
                  <c:v>8193.85</c:v>
                </c:pt>
                <c:pt idx="83">
                  <c:v>7234.03</c:v>
                </c:pt>
                <c:pt idx="84">
                  <c:v>5652.93</c:v>
                </c:pt>
                <c:pt idx="85">
                  <c:v>3976.23</c:v>
                </c:pt>
                <c:pt idx="86">
                  <c:v>2681.86</c:v>
                </c:pt>
                <c:pt idx="87">
                  <c:v>1825.63</c:v>
                </c:pt>
                <c:pt idx="88">
                  <c:v>1274.7</c:v>
                </c:pt>
                <c:pt idx="89">
                  <c:v>916.6</c:v>
                </c:pt>
                <c:pt idx="90">
                  <c:v>678.77</c:v>
                </c:pt>
                <c:pt idx="91">
                  <c:v>516.74</c:v>
                </c:pt>
                <c:pt idx="92">
                  <c:v>403.46</c:v>
                </c:pt>
                <c:pt idx="93">
                  <c:v>322.27999999999997</c:v>
                </c:pt>
                <c:pt idx="94">
                  <c:v>262.73</c:v>
                </c:pt>
                <c:pt idx="95">
                  <c:v>218.13</c:v>
                </c:pt>
                <c:pt idx="96">
                  <c:v>184.08</c:v>
                </c:pt>
                <c:pt idx="97">
                  <c:v>157.63</c:v>
                </c:pt>
                <c:pt idx="98">
                  <c:v>136.79</c:v>
                </c:pt>
                <c:pt idx="99">
                  <c:v>120.17</c:v>
                </c:pt>
                <c:pt idx="100">
                  <c:v>106.81</c:v>
                </c:pt>
                <c:pt idx="101">
                  <c:v>96.02</c:v>
                </c:pt>
                <c:pt idx="102">
                  <c:v>87.29</c:v>
                </c:pt>
                <c:pt idx="103">
                  <c:v>80.239999999999995</c:v>
                </c:pt>
                <c:pt idx="104">
                  <c:v>74.56</c:v>
                </c:pt>
                <c:pt idx="105">
                  <c:v>70.02</c:v>
                </c:pt>
                <c:pt idx="106">
                  <c:v>66.41</c:v>
                </c:pt>
                <c:pt idx="107">
                  <c:v>63.57</c:v>
                </c:pt>
                <c:pt idx="108">
                  <c:v>61.39</c:v>
                </c:pt>
                <c:pt idx="109">
                  <c:v>59.74</c:v>
                </c:pt>
                <c:pt idx="110">
                  <c:v>58.56</c:v>
                </c:pt>
                <c:pt idx="111">
                  <c:v>57.76</c:v>
                </c:pt>
                <c:pt idx="112">
                  <c:v>57.3</c:v>
                </c:pt>
                <c:pt idx="113">
                  <c:v>57.13</c:v>
                </c:pt>
                <c:pt idx="114">
                  <c:v>57.22</c:v>
                </c:pt>
                <c:pt idx="115">
                  <c:v>57.53</c:v>
                </c:pt>
                <c:pt idx="116">
                  <c:v>58.02</c:v>
                </c:pt>
                <c:pt idx="117">
                  <c:v>58.49</c:v>
                </c:pt>
              </c:numCache>
            </c:numRef>
          </c:val>
          <c:smooth val="0"/>
          <c:extLst>
            <c:ext xmlns:c16="http://schemas.microsoft.com/office/drawing/2014/chart" uri="{C3380CC4-5D6E-409C-BE32-E72D297353CC}">
              <c16:uniqueId val="{0000000E-20CA-4C1B-A834-BE5B83AD144A}"/>
            </c:ext>
          </c:extLst>
        </c:ser>
        <c:ser>
          <c:idx val="15"/>
          <c:order val="15"/>
          <c:tx>
            <c:strRef>
              <c:f>'50..800_F2'!$Q$3:$Q$4</c:f>
              <c:strCache>
                <c:ptCount val="1"/>
                <c:pt idx="0">
                  <c:v>E06</c:v>
                </c:pt>
              </c:strCache>
            </c:strRef>
          </c:tx>
          <c:spPr>
            <a:ln w="28575" cap="rnd">
              <a:solidFill>
                <a:schemeClr val="accent4">
                  <a:lumMod val="80000"/>
                  <a:lumOff val="2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'50..800_F2'!$Q$5:$Q$123</c:f>
              <c:numCache>
                <c:formatCode>General</c:formatCode>
                <c:ptCount val="118"/>
                <c:pt idx="0">
                  <c:v>350.13</c:v>
                </c:pt>
                <c:pt idx="1">
                  <c:v>352.89</c:v>
                </c:pt>
                <c:pt idx="2">
                  <c:v>356.24</c:v>
                </c:pt>
                <c:pt idx="3">
                  <c:v>359.81</c:v>
                </c:pt>
                <c:pt idx="4">
                  <c:v>363.52</c:v>
                </c:pt>
                <c:pt idx="5">
                  <c:v>367.37</c:v>
                </c:pt>
                <c:pt idx="6">
                  <c:v>371.39</c:v>
                </c:pt>
                <c:pt idx="7">
                  <c:v>375.56</c:v>
                </c:pt>
                <c:pt idx="8">
                  <c:v>379.9</c:v>
                </c:pt>
                <c:pt idx="9">
                  <c:v>384.42</c:v>
                </c:pt>
                <c:pt idx="10">
                  <c:v>389.12</c:v>
                </c:pt>
                <c:pt idx="11">
                  <c:v>394.01</c:v>
                </c:pt>
                <c:pt idx="12">
                  <c:v>399.11</c:v>
                </c:pt>
                <c:pt idx="13">
                  <c:v>404.42</c:v>
                </c:pt>
                <c:pt idx="14">
                  <c:v>409.94</c:v>
                </c:pt>
                <c:pt idx="15">
                  <c:v>415.7</c:v>
                </c:pt>
                <c:pt idx="16">
                  <c:v>421.68</c:v>
                </c:pt>
                <c:pt idx="17">
                  <c:v>427.91</c:v>
                </c:pt>
                <c:pt idx="18">
                  <c:v>434.39</c:v>
                </c:pt>
                <c:pt idx="19">
                  <c:v>441.13</c:v>
                </c:pt>
                <c:pt idx="20">
                  <c:v>448.12</c:v>
                </c:pt>
                <c:pt idx="21">
                  <c:v>455.39</c:v>
                </c:pt>
                <c:pt idx="22">
                  <c:v>462.92</c:v>
                </c:pt>
                <c:pt idx="23">
                  <c:v>470.72</c:v>
                </c:pt>
                <c:pt idx="24">
                  <c:v>478.78</c:v>
                </c:pt>
                <c:pt idx="25">
                  <c:v>487.12</c:v>
                </c:pt>
                <c:pt idx="26">
                  <c:v>495.71</c:v>
                </c:pt>
                <c:pt idx="27">
                  <c:v>504.55</c:v>
                </c:pt>
                <c:pt idx="28">
                  <c:v>513.62</c:v>
                </c:pt>
                <c:pt idx="29">
                  <c:v>522.91</c:v>
                </c:pt>
                <c:pt idx="30">
                  <c:v>532.39</c:v>
                </c:pt>
                <c:pt idx="31">
                  <c:v>542.03</c:v>
                </c:pt>
                <c:pt idx="32">
                  <c:v>551.80999999999995</c:v>
                </c:pt>
                <c:pt idx="33">
                  <c:v>561.69000000000005</c:v>
                </c:pt>
                <c:pt idx="34">
                  <c:v>571.62</c:v>
                </c:pt>
                <c:pt idx="35">
                  <c:v>581.55999999999995</c:v>
                </c:pt>
                <c:pt idx="36">
                  <c:v>591.45000000000005</c:v>
                </c:pt>
                <c:pt idx="37">
                  <c:v>601.25</c:v>
                </c:pt>
                <c:pt idx="38">
                  <c:v>610.88</c:v>
                </c:pt>
                <c:pt idx="39">
                  <c:v>620.29</c:v>
                </c:pt>
                <c:pt idx="40">
                  <c:v>629.42999999999995</c:v>
                </c:pt>
                <c:pt idx="41">
                  <c:v>638.22</c:v>
                </c:pt>
                <c:pt idx="42">
                  <c:v>646.61</c:v>
                </c:pt>
                <c:pt idx="43">
                  <c:v>654.55999999999995</c:v>
                </c:pt>
                <c:pt idx="44">
                  <c:v>662.01</c:v>
                </c:pt>
                <c:pt idx="45">
                  <c:v>668.94</c:v>
                </c:pt>
                <c:pt idx="46">
                  <c:v>675.35</c:v>
                </c:pt>
                <c:pt idx="47">
                  <c:v>681.23</c:v>
                </c:pt>
                <c:pt idx="48">
                  <c:v>686.65</c:v>
                </c:pt>
                <c:pt idx="49">
                  <c:v>691.67</c:v>
                </c:pt>
                <c:pt idx="50">
                  <c:v>696.43</c:v>
                </c:pt>
                <c:pt idx="51">
                  <c:v>701.1</c:v>
                </c:pt>
                <c:pt idx="52">
                  <c:v>705.92</c:v>
                </c:pt>
                <c:pt idx="53">
                  <c:v>711.17</c:v>
                </c:pt>
                <c:pt idx="54">
                  <c:v>717.2</c:v>
                </c:pt>
                <c:pt idx="55">
                  <c:v>724.41</c:v>
                </c:pt>
                <c:pt idx="56">
                  <c:v>733.22</c:v>
                </c:pt>
                <c:pt idx="57">
                  <c:v>744.1</c:v>
                </c:pt>
                <c:pt idx="58">
                  <c:v>757.51</c:v>
                </c:pt>
                <c:pt idx="59">
                  <c:v>773.89</c:v>
                </c:pt>
                <c:pt idx="60">
                  <c:v>793.62</c:v>
                </c:pt>
                <c:pt idx="61">
                  <c:v>817.04</c:v>
                </c:pt>
                <c:pt idx="62">
                  <c:v>844.37</c:v>
                </c:pt>
                <c:pt idx="63">
                  <c:v>875.77</c:v>
                </c:pt>
                <c:pt idx="64">
                  <c:v>911.39</c:v>
                </c:pt>
                <c:pt idx="65">
                  <c:v>951.48</c:v>
                </c:pt>
                <c:pt idx="66">
                  <c:v>996.64</c:v>
                </c:pt>
                <c:pt idx="67">
                  <c:v>1048.1400000000001</c:v>
                </c:pt>
                <c:pt idx="68">
                  <c:v>1108.3900000000001</c:v>
                </c:pt>
                <c:pt idx="69">
                  <c:v>1181.52</c:v>
                </c:pt>
                <c:pt idx="70">
                  <c:v>1274.03</c:v>
                </c:pt>
                <c:pt idx="71">
                  <c:v>1395.7</c:v>
                </c:pt>
                <c:pt idx="72">
                  <c:v>1560.7</c:v>
                </c:pt>
                <c:pt idx="73">
                  <c:v>1789.22</c:v>
                </c:pt>
                <c:pt idx="74">
                  <c:v>2110.02</c:v>
                </c:pt>
                <c:pt idx="75">
                  <c:v>2564.08</c:v>
                </c:pt>
                <c:pt idx="76">
                  <c:v>3208.44</c:v>
                </c:pt>
                <c:pt idx="77">
                  <c:v>4116.3500000000004</c:v>
                </c:pt>
                <c:pt idx="78">
                  <c:v>5351.71</c:v>
                </c:pt>
                <c:pt idx="79">
                  <c:v>6811.85</c:v>
                </c:pt>
                <c:pt idx="80">
                  <c:v>8125.89</c:v>
                </c:pt>
                <c:pt idx="81">
                  <c:v>8876.2999999999993</c:v>
                </c:pt>
                <c:pt idx="82">
                  <c:v>8752.8799999999992</c:v>
                </c:pt>
                <c:pt idx="83">
                  <c:v>7698.64</c:v>
                </c:pt>
                <c:pt idx="84">
                  <c:v>5990.34</c:v>
                </c:pt>
                <c:pt idx="85">
                  <c:v>4183.16</c:v>
                </c:pt>
                <c:pt idx="86">
                  <c:v>2780.59</c:v>
                </c:pt>
                <c:pt idx="87">
                  <c:v>1849.8</c:v>
                </c:pt>
                <c:pt idx="88">
                  <c:v>1256.46</c:v>
                </c:pt>
                <c:pt idx="89">
                  <c:v>879.64</c:v>
                </c:pt>
                <c:pt idx="90">
                  <c:v>637.29999999999995</c:v>
                </c:pt>
                <c:pt idx="91">
                  <c:v>477.88</c:v>
                </c:pt>
                <c:pt idx="92">
                  <c:v>370.05</c:v>
                </c:pt>
                <c:pt idx="93">
                  <c:v>294.95</c:v>
                </c:pt>
                <c:pt idx="94">
                  <c:v>241.1</c:v>
                </c:pt>
                <c:pt idx="95">
                  <c:v>201.45</c:v>
                </c:pt>
                <c:pt idx="96">
                  <c:v>171.54</c:v>
                </c:pt>
                <c:pt idx="97">
                  <c:v>148.47999999999999</c:v>
                </c:pt>
                <c:pt idx="98">
                  <c:v>130.38</c:v>
                </c:pt>
                <c:pt idx="99">
                  <c:v>115.99</c:v>
                </c:pt>
                <c:pt idx="100">
                  <c:v>104.43</c:v>
                </c:pt>
                <c:pt idx="101">
                  <c:v>95.1</c:v>
                </c:pt>
                <c:pt idx="102">
                  <c:v>87.55</c:v>
                </c:pt>
                <c:pt idx="103">
                  <c:v>81.47</c:v>
                </c:pt>
                <c:pt idx="104">
                  <c:v>76.59</c:v>
                </c:pt>
                <c:pt idx="105">
                  <c:v>72.7</c:v>
                </c:pt>
                <c:pt idx="106">
                  <c:v>69.63</c:v>
                </c:pt>
                <c:pt idx="107">
                  <c:v>67.25</c:v>
                </c:pt>
                <c:pt idx="108">
                  <c:v>65.45</c:v>
                </c:pt>
                <c:pt idx="109">
                  <c:v>64.14</c:v>
                </c:pt>
                <c:pt idx="110">
                  <c:v>63.23</c:v>
                </c:pt>
                <c:pt idx="111">
                  <c:v>62.68</c:v>
                </c:pt>
                <c:pt idx="112">
                  <c:v>62.44</c:v>
                </c:pt>
                <c:pt idx="113">
                  <c:v>62.46</c:v>
                </c:pt>
                <c:pt idx="114">
                  <c:v>62.72</c:v>
                </c:pt>
                <c:pt idx="115">
                  <c:v>63.2</c:v>
                </c:pt>
                <c:pt idx="116">
                  <c:v>63.83</c:v>
                </c:pt>
                <c:pt idx="117">
                  <c:v>64.39</c:v>
                </c:pt>
              </c:numCache>
            </c:numRef>
          </c:val>
          <c:smooth val="0"/>
          <c:extLst>
            <c:ext xmlns:c16="http://schemas.microsoft.com/office/drawing/2014/chart" uri="{C3380CC4-5D6E-409C-BE32-E72D297353CC}">
              <c16:uniqueId val="{0000000F-20CA-4C1B-A834-BE5B83AD144A}"/>
            </c:ext>
          </c:extLst>
        </c:ser>
        <c:ser>
          <c:idx val="16"/>
          <c:order val="16"/>
          <c:tx>
            <c:strRef>
              <c:f>'50..800_F2'!$R$3:$R$4</c:f>
              <c:strCache>
                <c:ptCount val="1"/>
                <c:pt idx="0">
                  <c:v>E07</c:v>
                </c:pt>
              </c:strCache>
            </c:strRef>
          </c:tx>
          <c:spPr>
            <a:ln w="28575" cap="rnd">
              <a:solidFill>
                <a:schemeClr val="accent5">
                  <a:lumMod val="80000"/>
                  <a:lumOff val="2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'50..800_F2'!$R$5:$R$123</c:f>
              <c:numCache>
                <c:formatCode>General</c:formatCode>
                <c:ptCount val="118"/>
                <c:pt idx="0">
                  <c:v>273.22000000000003</c:v>
                </c:pt>
                <c:pt idx="1">
                  <c:v>275.33</c:v>
                </c:pt>
                <c:pt idx="2">
                  <c:v>277.87</c:v>
                </c:pt>
                <c:pt idx="3">
                  <c:v>280.58</c:v>
                </c:pt>
                <c:pt idx="4">
                  <c:v>283.41000000000003</c:v>
                </c:pt>
                <c:pt idx="5">
                  <c:v>286.35000000000002</c:v>
                </c:pt>
                <c:pt idx="6">
                  <c:v>289.41000000000003</c:v>
                </c:pt>
                <c:pt idx="7">
                  <c:v>292.60000000000002</c:v>
                </c:pt>
                <c:pt idx="8">
                  <c:v>295.93</c:v>
                </c:pt>
                <c:pt idx="9">
                  <c:v>299.39999999999998</c:v>
                </c:pt>
                <c:pt idx="10">
                  <c:v>303.02</c:v>
                </c:pt>
                <c:pt idx="11">
                  <c:v>306.8</c:v>
                </c:pt>
                <c:pt idx="12">
                  <c:v>310.75</c:v>
                </c:pt>
                <c:pt idx="13">
                  <c:v>314.87</c:v>
                </c:pt>
                <c:pt idx="14">
                  <c:v>319.17</c:v>
                </c:pt>
                <c:pt idx="15">
                  <c:v>323.67</c:v>
                </c:pt>
                <c:pt idx="16">
                  <c:v>328.37</c:v>
                </c:pt>
                <c:pt idx="17">
                  <c:v>333.28</c:v>
                </c:pt>
                <c:pt idx="18">
                  <c:v>338.41</c:v>
                </c:pt>
                <c:pt idx="19">
                  <c:v>343.76</c:v>
                </c:pt>
                <c:pt idx="20">
                  <c:v>349.35</c:v>
                </c:pt>
                <c:pt idx="21">
                  <c:v>355.18</c:v>
                </c:pt>
                <c:pt idx="22">
                  <c:v>361.26</c:v>
                </c:pt>
                <c:pt idx="23">
                  <c:v>367.59</c:v>
                </c:pt>
                <c:pt idx="24">
                  <c:v>374.18</c:v>
                </c:pt>
                <c:pt idx="25">
                  <c:v>381.02</c:v>
                </c:pt>
                <c:pt idx="26">
                  <c:v>388.12</c:v>
                </c:pt>
                <c:pt idx="27">
                  <c:v>395.46</c:v>
                </c:pt>
                <c:pt idx="28">
                  <c:v>403.05</c:v>
                </c:pt>
                <c:pt idx="29">
                  <c:v>410.87</c:v>
                </c:pt>
                <c:pt idx="30">
                  <c:v>418.91</c:v>
                </c:pt>
                <c:pt idx="31">
                  <c:v>427.13</c:v>
                </c:pt>
                <c:pt idx="32">
                  <c:v>435.52</c:v>
                </c:pt>
                <c:pt idx="33">
                  <c:v>444.03</c:v>
                </c:pt>
                <c:pt idx="34">
                  <c:v>452.63</c:v>
                </c:pt>
                <c:pt idx="35">
                  <c:v>461.27</c:v>
                </c:pt>
                <c:pt idx="36">
                  <c:v>469.89</c:v>
                </c:pt>
                <c:pt idx="37">
                  <c:v>478.43</c:v>
                </c:pt>
                <c:pt idx="38">
                  <c:v>486.83</c:v>
                </c:pt>
                <c:pt idx="39">
                  <c:v>495.01</c:v>
                </c:pt>
                <c:pt idx="40">
                  <c:v>502.91</c:v>
                </c:pt>
                <c:pt idx="41">
                  <c:v>510.44</c:v>
                </c:pt>
                <c:pt idx="42">
                  <c:v>517.53</c:v>
                </c:pt>
                <c:pt idx="43">
                  <c:v>524.14</c:v>
                </c:pt>
                <c:pt idx="44">
                  <c:v>530.19000000000005</c:v>
                </c:pt>
                <c:pt idx="45">
                  <c:v>535.66</c:v>
                </c:pt>
                <c:pt idx="46">
                  <c:v>540.53</c:v>
                </c:pt>
                <c:pt idx="47">
                  <c:v>544.79999999999995</c:v>
                </c:pt>
                <c:pt idx="48">
                  <c:v>548.51</c:v>
                </c:pt>
                <c:pt idx="49">
                  <c:v>551.73</c:v>
                </c:pt>
                <c:pt idx="50">
                  <c:v>554.57000000000005</c:v>
                </c:pt>
                <c:pt idx="51">
                  <c:v>557.16999999999996</c:v>
                </c:pt>
                <c:pt idx="52">
                  <c:v>559.72</c:v>
                </c:pt>
                <c:pt idx="53">
                  <c:v>562.46</c:v>
                </c:pt>
                <c:pt idx="54">
                  <c:v>565.65</c:v>
                </c:pt>
                <c:pt idx="55">
                  <c:v>569.62</c:v>
                </c:pt>
                <c:pt idx="56">
                  <c:v>574.72</c:v>
                </c:pt>
                <c:pt idx="57">
                  <c:v>581.37</c:v>
                </c:pt>
                <c:pt idx="58">
                  <c:v>590.02</c:v>
                </c:pt>
                <c:pt idx="59">
                  <c:v>601.19000000000005</c:v>
                </c:pt>
                <c:pt idx="60">
                  <c:v>615.42999999999995</c:v>
                </c:pt>
                <c:pt idx="61">
                  <c:v>633.4</c:v>
                </c:pt>
                <c:pt idx="62">
                  <c:v>655.79</c:v>
                </c:pt>
                <c:pt idx="63">
                  <c:v>683.36</c:v>
                </c:pt>
                <c:pt idx="64">
                  <c:v>716.88</c:v>
                </c:pt>
                <c:pt idx="65">
                  <c:v>757.16</c:v>
                </c:pt>
                <c:pt idx="66">
                  <c:v>804.98</c:v>
                </c:pt>
                <c:pt idx="67">
                  <c:v>861.18</c:v>
                </c:pt>
                <c:pt idx="68">
                  <c:v>926.88</c:v>
                </c:pt>
                <c:pt idx="69">
                  <c:v>1004.14</c:v>
                </c:pt>
                <c:pt idx="70">
                  <c:v>1097.05</c:v>
                </c:pt>
                <c:pt idx="71">
                  <c:v>1213.1600000000001</c:v>
                </c:pt>
                <c:pt idx="72">
                  <c:v>1364.88</c:v>
                </c:pt>
                <c:pt idx="73">
                  <c:v>1570.5</c:v>
                </c:pt>
                <c:pt idx="74">
                  <c:v>1855.25</c:v>
                </c:pt>
                <c:pt idx="75">
                  <c:v>2253.23</c:v>
                </c:pt>
                <c:pt idx="76">
                  <c:v>2809.72</c:v>
                </c:pt>
                <c:pt idx="77">
                  <c:v>3579.61</c:v>
                </c:pt>
                <c:pt idx="78">
                  <c:v>4597.75</c:v>
                </c:pt>
                <c:pt idx="79">
                  <c:v>5747.82</c:v>
                </c:pt>
                <c:pt idx="80">
                  <c:v>6714.96</c:v>
                </c:pt>
                <c:pt idx="81">
                  <c:v>7171.88</c:v>
                </c:pt>
                <c:pt idx="82">
                  <c:v>6905.01</c:v>
                </c:pt>
                <c:pt idx="83">
                  <c:v>5924.42</c:v>
                </c:pt>
                <c:pt idx="84">
                  <c:v>4500.96</c:v>
                </c:pt>
                <c:pt idx="85">
                  <c:v>3096.22</c:v>
                </c:pt>
                <c:pt idx="86">
                  <c:v>2067.4699999999998</c:v>
                </c:pt>
                <c:pt idx="87">
                  <c:v>1404.56</c:v>
                </c:pt>
                <c:pt idx="88">
                  <c:v>982.62</c:v>
                </c:pt>
                <c:pt idx="89">
                  <c:v>709.81</c:v>
                </c:pt>
                <c:pt idx="90">
                  <c:v>529.15</c:v>
                </c:pt>
                <c:pt idx="91">
                  <c:v>406.28</c:v>
                </c:pt>
                <c:pt idx="92">
                  <c:v>320.44</c:v>
                </c:pt>
                <c:pt idx="93">
                  <c:v>258.93</c:v>
                </c:pt>
                <c:pt idx="94">
                  <c:v>213.79</c:v>
                </c:pt>
                <c:pt idx="95">
                  <c:v>179.96</c:v>
                </c:pt>
                <c:pt idx="96">
                  <c:v>154.09</c:v>
                </c:pt>
                <c:pt idx="97">
                  <c:v>133.97</c:v>
                </c:pt>
                <c:pt idx="98">
                  <c:v>118.08</c:v>
                </c:pt>
                <c:pt idx="99">
                  <c:v>105.37</c:v>
                </c:pt>
                <c:pt idx="100">
                  <c:v>95.12</c:v>
                </c:pt>
                <c:pt idx="101">
                  <c:v>86.8</c:v>
                </c:pt>
                <c:pt idx="102">
                  <c:v>80.05</c:v>
                </c:pt>
                <c:pt idx="103">
                  <c:v>74.56</c:v>
                </c:pt>
                <c:pt idx="104">
                  <c:v>70.13</c:v>
                </c:pt>
                <c:pt idx="105">
                  <c:v>66.58</c:v>
                </c:pt>
                <c:pt idx="106">
                  <c:v>63.75</c:v>
                </c:pt>
                <c:pt idx="107">
                  <c:v>61.52</c:v>
                </c:pt>
                <c:pt idx="108">
                  <c:v>59.81</c:v>
                </c:pt>
                <c:pt idx="109">
                  <c:v>58.53</c:v>
                </c:pt>
                <c:pt idx="110">
                  <c:v>57.62</c:v>
                </c:pt>
                <c:pt idx="111">
                  <c:v>57.02</c:v>
                </c:pt>
                <c:pt idx="112">
                  <c:v>56.69</c:v>
                </c:pt>
                <c:pt idx="113">
                  <c:v>56.59</c:v>
                </c:pt>
                <c:pt idx="114">
                  <c:v>56.71</c:v>
                </c:pt>
                <c:pt idx="115">
                  <c:v>57.01</c:v>
                </c:pt>
                <c:pt idx="116">
                  <c:v>57.46</c:v>
                </c:pt>
                <c:pt idx="117">
                  <c:v>57.88</c:v>
                </c:pt>
              </c:numCache>
            </c:numRef>
          </c:val>
          <c:smooth val="0"/>
          <c:extLst>
            <c:ext xmlns:c16="http://schemas.microsoft.com/office/drawing/2014/chart" uri="{C3380CC4-5D6E-409C-BE32-E72D297353CC}">
              <c16:uniqueId val="{00000010-20CA-4C1B-A834-BE5B83AD144A}"/>
            </c:ext>
          </c:extLst>
        </c:ser>
        <c:ser>
          <c:idx val="17"/>
          <c:order val="17"/>
          <c:tx>
            <c:strRef>
              <c:f>'50..800_F2'!$S$3:$S$4</c:f>
              <c:strCache>
                <c:ptCount val="1"/>
                <c:pt idx="0">
                  <c:v>E08</c:v>
                </c:pt>
              </c:strCache>
            </c:strRef>
          </c:tx>
          <c:spPr>
            <a:ln w="28575" cap="rnd">
              <a:solidFill>
                <a:schemeClr val="accent6">
                  <a:lumMod val="80000"/>
                  <a:lumOff val="2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'50..800_F2'!$S$5:$S$123</c:f>
              <c:numCache>
                <c:formatCode>General</c:formatCode>
                <c:ptCount val="118"/>
                <c:pt idx="0">
                  <c:v>375.75</c:v>
                </c:pt>
                <c:pt idx="1">
                  <c:v>378.62</c:v>
                </c:pt>
                <c:pt idx="2">
                  <c:v>382.07</c:v>
                </c:pt>
                <c:pt idx="3">
                  <c:v>385.75</c:v>
                </c:pt>
                <c:pt idx="4">
                  <c:v>389.56</c:v>
                </c:pt>
                <c:pt idx="5">
                  <c:v>393.51</c:v>
                </c:pt>
                <c:pt idx="6">
                  <c:v>397.62</c:v>
                </c:pt>
                <c:pt idx="7">
                  <c:v>401.88</c:v>
                </c:pt>
                <c:pt idx="8">
                  <c:v>406.31</c:v>
                </c:pt>
                <c:pt idx="9">
                  <c:v>410.92</c:v>
                </c:pt>
                <c:pt idx="10">
                  <c:v>415.7</c:v>
                </c:pt>
                <c:pt idx="11">
                  <c:v>420.68</c:v>
                </c:pt>
                <c:pt idx="12">
                  <c:v>425.85</c:v>
                </c:pt>
                <c:pt idx="13">
                  <c:v>431.23</c:v>
                </c:pt>
                <c:pt idx="14">
                  <c:v>436.83</c:v>
                </c:pt>
                <c:pt idx="15">
                  <c:v>442.65</c:v>
                </c:pt>
                <c:pt idx="16">
                  <c:v>448.7</c:v>
                </c:pt>
                <c:pt idx="17">
                  <c:v>454.99</c:v>
                </c:pt>
                <c:pt idx="18">
                  <c:v>461.52</c:v>
                </c:pt>
                <c:pt idx="19">
                  <c:v>468.3</c:v>
                </c:pt>
                <c:pt idx="20">
                  <c:v>475.34</c:v>
                </c:pt>
                <c:pt idx="21">
                  <c:v>482.63</c:v>
                </c:pt>
                <c:pt idx="22">
                  <c:v>490.19</c:v>
                </c:pt>
                <c:pt idx="23">
                  <c:v>498</c:v>
                </c:pt>
                <c:pt idx="24">
                  <c:v>506.07</c:v>
                </c:pt>
                <c:pt idx="25">
                  <c:v>514.39</c:v>
                </c:pt>
                <c:pt idx="26">
                  <c:v>522.95000000000005</c:v>
                </c:pt>
                <c:pt idx="27">
                  <c:v>531.74</c:v>
                </c:pt>
                <c:pt idx="28">
                  <c:v>540.75</c:v>
                </c:pt>
                <c:pt idx="29">
                  <c:v>549.94000000000005</c:v>
                </c:pt>
                <c:pt idx="30">
                  <c:v>559.29999999999995</c:v>
                </c:pt>
                <c:pt idx="31">
                  <c:v>568.79</c:v>
                </c:pt>
                <c:pt idx="32">
                  <c:v>578.37</c:v>
                </c:pt>
                <c:pt idx="33">
                  <c:v>588.02</c:v>
                </c:pt>
                <c:pt idx="34">
                  <c:v>597.66999999999996</c:v>
                </c:pt>
                <c:pt idx="35">
                  <c:v>607.29</c:v>
                </c:pt>
                <c:pt idx="36">
                  <c:v>616.80999999999995</c:v>
                </c:pt>
                <c:pt idx="37">
                  <c:v>626.19000000000005</c:v>
                </c:pt>
                <c:pt idx="38">
                  <c:v>635.36</c:v>
                </c:pt>
                <c:pt idx="39">
                  <c:v>644.28</c:v>
                </c:pt>
                <c:pt idx="40">
                  <c:v>652.9</c:v>
                </c:pt>
                <c:pt idx="41">
                  <c:v>661.18</c:v>
                </c:pt>
                <c:pt idx="42">
                  <c:v>669.06</c:v>
                </c:pt>
                <c:pt idx="43">
                  <c:v>676.55</c:v>
                </c:pt>
                <c:pt idx="44">
                  <c:v>683.61</c:v>
                </c:pt>
                <c:pt idx="45">
                  <c:v>690.27</c:v>
                </c:pt>
                <c:pt idx="46">
                  <c:v>696.54</c:v>
                </c:pt>
                <c:pt idx="47">
                  <c:v>702.49</c:v>
                </c:pt>
                <c:pt idx="48">
                  <c:v>708.18</c:v>
                </c:pt>
                <c:pt idx="49">
                  <c:v>713.73</c:v>
                </c:pt>
                <c:pt idx="50">
                  <c:v>719.27</c:v>
                </c:pt>
                <c:pt idx="51">
                  <c:v>724.96</c:v>
                </c:pt>
                <c:pt idx="52">
                  <c:v>730.99</c:v>
                </c:pt>
                <c:pt idx="53">
                  <c:v>737.57</c:v>
                </c:pt>
                <c:pt idx="54">
                  <c:v>744.94</c:v>
                </c:pt>
                <c:pt idx="55">
                  <c:v>753.32</c:v>
                </c:pt>
                <c:pt idx="56">
                  <c:v>762.93</c:v>
                </c:pt>
                <c:pt idx="57">
                  <c:v>774</c:v>
                </c:pt>
                <c:pt idx="58">
                  <c:v>786.7</c:v>
                </c:pt>
                <c:pt idx="59">
                  <c:v>801.17</c:v>
                </c:pt>
                <c:pt idx="60">
                  <c:v>817.52</c:v>
                </c:pt>
                <c:pt idx="61">
                  <c:v>835.83</c:v>
                </c:pt>
                <c:pt idx="62">
                  <c:v>856.17</c:v>
                </c:pt>
                <c:pt idx="63">
                  <c:v>878.68</c:v>
                </c:pt>
                <c:pt idx="64">
                  <c:v>903.63</c:v>
                </c:pt>
                <c:pt idx="65">
                  <c:v>931.6</c:v>
                </c:pt>
                <c:pt idx="66">
                  <c:v>963.64</c:v>
                </c:pt>
                <c:pt idx="67">
                  <c:v>1001.5</c:v>
                </c:pt>
                <c:pt idx="68">
                  <c:v>1047.95</c:v>
                </c:pt>
                <c:pt idx="69">
                  <c:v>1107.22</c:v>
                </c:pt>
                <c:pt idx="70">
                  <c:v>1185.6400000000001</c:v>
                </c:pt>
                <c:pt idx="71">
                  <c:v>1292.77</c:v>
                </c:pt>
                <c:pt idx="72">
                  <c:v>1443.06</c:v>
                </c:pt>
                <c:pt idx="73">
                  <c:v>1658.5</c:v>
                </c:pt>
                <c:pt idx="74">
                  <c:v>1972.53</c:v>
                </c:pt>
                <c:pt idx="75">
                  <c:v>2434.86</c:v>
                </c:pt>
                <c:pt idx="76">
                  <c:v>3114.09</c:v>
                </c:pt>
                <c:pt idx="77">
                  <c:v>4090.02</c:v>
                </c:pt>
                <c:pt idx="78">
                  <c:v>5393.83</c:v>
                </c:pt>
                <c:pt idx="79">
                  <c:v>6825.05</c:v>
                </c:pt>
                <c:pt idx="80">
                  <c:v>7987.96</c:v>
                </c:pt>
                <c:pt idx="81">
                  <c:v>8506.32</c:v>
                </c:pt>
                <c:pt idx="82">
                  <c:v>8143.31</c:v>
                </c:pt>
                <c:pt idx="83">
                  <c:v>6935.88</c:v>
                </c:pt>
                <c:pt idx="84">
                  <c:v>5238.42</c:v>
                </c:pt>
                <c:pt idx="85">
                  <c:v>3620.83</c:v>
                </c:pt>
                <c:pt idx="86">
                  <c:v>2447.46</c:v>
                </c:pt>
                <c:pt idx="87">
                  <c:v>1680.46</c:v>
                </c:pt>
                <c:pt idx="88">
                  <c:v>1184.92</c:v>
                </c:pt>
                <c:pt idx="89">
                  <c:v>860.41</c:v>
                </c:pt>
                <c:pt idx="90">
                  <c:v>643.21</c:v>
                </c:pt>
                <c:pt idx="91">
                  <c:v>494.21</c:v>
                </c:pt>
                <c:pt idx="92">
                  <c:v>389.4</c:v>
                </c:pt>
                <c:pt idx="93">
                  <c:v>313.83999999999997</c:v>
                </c:pt>
                <c:pt idx="94">
                  <c:v>258.10000000000002</c:v>
                </c:pt>
                <c:pt idx="95">
                  <c:v>216.1</c:v>
                </c:pt>
                <c:pt idx="96">
                  <c:v>183.83</c:v>
                </c:pt>
                <c:pt idx="97">
                  <c:v>158.63</c:v>
                </c:pt>
                <c:pt idx="98">
                  <c:v>138.69</c:v>
                </c:pt>
                <c:pt idx="99">
                  <c:v>122.74</c:v>
                </c:pt>
                <c:pt idx="100">
                  <c:v>109.91</c:v>
                </c:pt>
                <c:pt idx="101">
                  <c:v>99.55</c:v>
                </c:pt>
                <c:pt idx="102">
                  <c:v>91.18</c:v>
                </c:pt>
                <c:pt idx="103">
                  <c:v>84.44</c:v>
                </c:pt>
                <c:pt idx="104">
                  <c:v>79.02</c:v>
                </c:pt>
                <c:pt idx="105">
                  <c:v>74.7</c:v>
                </c:pt>
                <c:pt idx="106">
                  <c:v>71.27</c:v>
                </c:pt>
                <c:pt idx="107">
                  <c:v>68.59</c:v>
                </c:pt>
                <c:pt idx="108">
                  <c:v>66.53</c:v>
                </c:pt>
                <c:pt idx="109">
                  <c:v>64.989999999999995</c:v>
                </c:pt>
                <c:pt idx="110">
                  <c:v>63.9</c:v>
                </c:pt>
                <c:pt idx="111">
                  <c:v>63.17</c:v>
                </c:pt>
                <c:pt idx="112">
                  <c:v>62.77</c:v>
                </c:pt>
                <c:pt idx="113">
                  <c:v>62.65</c:v>
                </c:pt>
                <c:pt idx="114">
                  <c:v>62.77</c:v>
                </c:pt>
                <c:pt idx="115">
                  <c:v>63.12</c:v>
                </c:pt>
                <c:pt idx="116">
                  <c:v>63.63</c:v>
                </c:pt>
                <c:pt idx="117">
                  <c:v>64.12</c:v>
                </c:pt>
              </c:numCache>
            </c:numRef>
          </c:val>
          <c:smooth val="0"/>
          <c:extLst>
            <c:ext xmlns:c16="http://schemas.microsoft.com/office/drawing/2014/chart" uri="{C3380CC4-5D6E-409C-BE32-E72D297353CC}">
              <c16:uniqueId val="{00000011-20CA-4C1B-A834-BE5B83AD144A}"/>
            </c:ext>
          </c:extLst>
        </c:ser>
        <c:ser>
          <c:idx val="18"/>
          <c:order val="18"/>
          <c:tx>
            <c:strRef>
              <c:f>'50..800_F2'!$T$3:$T$4</c:f>
              <c:strCache>
                <c:ptCount val="1"/>
                <c:pt idx="0">
                  <c:v>E09</c:v>
                </c:pt>
              </c:strCache>
            </c:strRef>
          </c:tx>
          <c:spPr>
            <a:ln w="28575" cap="rnd">
              <a:solidFill>
                <a:schemeClr val="accent1">
                  <a:lumMod val="8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'50..800_F2'!$T$5:$T$123</c:f>
              <c:numCache>
                <c:formatCode>General</c:formatCode>
                <c:ptCount val="118"/>
                <c:pt idx="0">
                  <c:v>326.93</c:v>
                </c:pt>
                <c:pt idx="1">
                  <c:v>329.52</c:v>
                </c:pt>
                <c:pt idx="2">
                  <c:v>332.69</c:v>
                </c:pt>
                <c:pt idx="3">
                  <c:v>336.06</c:v>
                </c:pt>
                <c:pt idx="4">
                  <c:v>339.58</c:v>
                </c:pt>
                <c:pt idx="5">
                  <c:v>343.24</c:v>
                </c:pt>
                <c:pt idx="6">
                  <c:v>347.04</c:v>
                </c:pt>
                <c:pt idx="7">
                  <c:v>351.01</c:v>
                </c:pt>
                <c:pt idx="8">
                  <c:v>355.14</c:v>
                </c:pt>
                <c:pt idx="9">
                  <c:v>359.45</c:v>
                </c:pt>
                <c:pt idx="10">
                  <c:v>363.93</c:v>
                </c:pt>
                <c:pt idx="11">
                  <c:v>368.61</c:v>
                </c:pt>
                <c:pt idx="12">
                  <c:v>373.48</c:v>
                </c:pt>
                <c:pt idx="13">
                  <c:v>378.56</c:v>
                </c:pt>
                <c:pt idx="14">
                  <c:v>383.86</c:v>
                </c:pt>
                <c:pt idx="15">
                  <c:v>389.37</c:v>
                </c:pt>
                <c:pt idx="16">
                  <c:v>395.12</c:v>
                </c:pt>
                <c:pt idx="17">
                  <c:v>401.11</c:v>
                </c:pt>
                <c:pt idx="18">
                  <c:v>407.34</c:v>
                </c:pt>
                <c:pt idx="19">
                  <c:v>413.82</c:v>
                </c:pt>
                <c:pt idx="20">
                  <c:v>420.55</c:v>
                </c:pt>
                <c:pt idx="21">
                  <c:v>427.55</c:v>
                </c:pt>
                <c:pt idx="22">
                  <c:v>434.8</c:v>
                </c:pt>
                <c:pt idx="23">
                  <c:v>442.32</c:v>
                </c:pt>
                <c:pt idx="24">
                  <c:v>450.09</c:v>
                </c:pt>
                <c:pt idx="25">
                  <c:v>458.11</c:v>
                </c:pt>
                <c:pt idx="26">
                  <c:v>466.37</c:v>
                </c:pt>
                <c:pt idx="27">
                  <c:v>474.86</c:v>
                </c:pt>
                <c:pt idx="28">
                  <c:v>483.55</c:v>
                </c:pt>
                <c:pt idx="29">
                  <c:v>492.43</c:v>
                </c:pt>
                <c:pt idx="30">
                  <c:v>501.47</c:v>
                </c:pt>
                <c:pt idx="31">
                  <c:v>510.63</c:v>
                </c:pt>
                <c:pt idx="32">
                  <c:v>519.87</c:v>
                </c:pt>
                <c:pt idx="33">
                  <c:v>529.14</c:v>
                </c:pt>
                <c:pt idx="34">
                  <c:v>538.4</c:v>
                </c:pt>
                <c:pt idx="35">
                  <c:v>547.57000000000005</c:v>
                </c:pt>
                <c:pt idx="36">
                  <c:v>556.62</c:v>
                </c:pt>
                <c:pt idx="37">
                  <c:v>565.45000000000005</c:v>
                </c:pt>
                <c:pt idx="38">
                  <c:v>574.03</c:v>
                </c:pt>
                <c:pt idx="39">
                  <c:v>582.27</c:v>
                </c:pt>
                <c:pt idx="40">
                  <c:v>590.11</c:v>
                </c:pt>
                <c:pt idx="41">
                  <c:v>597.52</c:v>
                </c:pt>
                <c:pt idx="42">
                  <c:v>604.44000000000005</c:v>
                </c:pt>
                <c:pt idx="43">
                  <c:v>610.85</c:v>
                </c:pt>
                <c:pt idx="44">
                  <c:v>616.76</c:v>
                </c:pt>
                <c:pt idx="45">
                  <c:v>622.20000000000005</c:v>
                </c:pt>
                <c:pt idx="46">
                  <c:v>627.22</c:v>
                </c:pt>
                <c:pt idx="47">
                  <c:v>631.95000000000005</c:v>
                </c:pt>
                <c:pt idx="48">
                  <c:v>636.54</c:v>
                </c:pt>
                <c:pt idx="49">
                  <c:v>641.20000000000005</c:v>
                </c:pt>
                <c:pt idx="50">
                  <c:v>646.24</c:v>
                </c:pt>
                <c:pt idx="51">
                  <c:v>651.98</c:v>
                </c:pt>
                <c:pt idx="52">
                  <c:v>658.85</c:v>
                </c:pt>
                <c:pt idx="53">
                  <c:v>667.32</c:v>
                </c:pt>
                <c:pt idx="54">
                  <c:v>677.9</c:v>
                </c:pt>
                <c:pt idx="55">
                  <c:v>691.12</c:v>
                </c:pt>
                <c:pt idx="56">
                  <c:v>707.47</c:v>
                </c:pt>
                <c:pt idx="57">
                  <c:v>727.38</c:v>
                </c:pt>
                <c:pt idx="58">
                  <c:v>751.14</c:v>
                </c:pt>
                <c:pt idx="59">
                  <c:v>778.85</c:v>
                </c:pt>
                <c:pt idx="60">
                  <c:v>810.36</c:v>
                </c:pt>
                <c:pt idx="61">
                  <c:v>845.28</c:v>
                </c:pt>
                <c:pt idx="62">
                  <c:v>883</c:v>
                </c:pt>
                <c:pt idx="63">
                  <c:v>922.88</c:v>
                </c:pt>
                <c:pt idx="64">
                  <c:v>964.45</c:v>
                </c:pt>
                <c:pt idx="65">
                  <c:v>1007.75</c:v>
                </c:pt>
                <c:pt idx="66">
                  <c:v>1053.7</c:v>
                </c:pt>
                <c:pt idx="67">
                  <c:v>1104.3699999999999</c:v>
                </c:pt>
                <c:pt idx="68">
                  <c:v>1163.23</c:v>
                </c:pt>
                <c:pt idx="69">
                  <c:v>1235.3399999999999</c:v>
                </c:pt>
                <c:pt idx="70">
                  <c:v>1327.71</c:v>
                </c:pt>
                <c:pt idx="71">
                  <c:v>1449.97</c:v>
                </c:pt>
                <c:pt idx="72">
                  <c:v>1615.42</c:v>
                </c:pt>
                <c:pt idx="73">
                  <c:v>1842.66</c:v>
                </c:pt>
                <c:pt idx="74">
                  <c:v>2157.88</c:v>
                </c:pt>
                <c:pt idx="75">
                  <c:v>2597.9299999999998</c:v>
                </c:pt>
                <c:pt idx="76">
                  <c:v>3213.6</c:v>
                </c:pt>
                <c:pt idx="77">
                  <c:v>4069.36</c:v>
                </c:pt>
                <c:pt idx="78">
                  <c:v>5224.53</c:v>
                </c:pt>
                <c:pt idx="79">
                  <c:v>6620.26</c:v>
                </c:pt>
                <c:pt idx="80">
                  <c:v>7937.89</c:v>
                </c:pt>
                <c:pt idx="81">
                  <c:v>8764.6200000000008</c:v>
                </c:pt>
                <c:pt idx="82">
                  <c:v>8773.5400000000009</c:v>
                </c:pt>
                <c:pt idx="83">
                  <c:v>7861.09</c:v>
                </c:pt>
                <c:pt idx="84">
                  <c:v>6244.89</c:v>
                </c:pt>
                <c:pt idx="85">
                  <c:v>4430.16</c:v>
                </c:pt>
                <c:pt idx="86">
                  <c:v>2969.92</c:v>
                </c:pt>
                <c:pt idx="87">
                  <c:v>2001.53</c:v>
                </c:pt>
                <c:pt idx="88">
                  <c:v>1384.42</c:v>
                </c:pt>
                <c:pt idx="89">
                  <c:v>987.53</c:v>
                </c:pt>
                <c:pt idx="90">
                  <c:v>726.58</c:v>
                </c:pt>
                <c:pt idx="91">
                  <c:v>550.44000000000005</c:v>
                </c:pt>
                <c:pt idx="92">
                  <c:v>428.33</c:v>
                </c:pt>
                <c:pt idx="93">
                  <c:v>341.48</c:v>
                </c:pt>
                <c:pt idx="94">
                  <c:v>278.22000000000003</c:v>
                </c:pt>
                <c:pt idx="95">
                  <c:v>231.09</c:v>
                </c:pt>
                <c:pt idx="96">
                  <c:v>195.27</c:v>
                </c:pt>
                <c:pt idx="97">
                  <c:v>167.54</c:v>
                </c:pt>
                <c:pt idx="98">
                  <c:v>145.72999999999999</c:v>
                </c:pt>
                <c:pt idx="99">
                  <c:v>128.38</c:v>
                </c:pt>
                <c:pt idx="100">
                  <c:v>114.46</c:v>
                </c:pt>
                <c:pt idx="101">
                  <c:v>103.23</c:v>
                </c:pt>
                <c:pt idx="102">
                  <c:v>94.16</c:v>
                </c:pt>
                <c:pt idx="103">
                  <c:v>86.83</c:v>
                </c:pt>
                <c:pt idx="104">
                  <c:v>80.94</c:v>
                </c:pt>
                <c:pt idx="105">
                  <c:v>76.22</c:v>
                </c:pt>
                <c:pt idx="106">
                  <c:v>72.47</c:v>
                </c:pt>
                <c:pt idx="107">
                  <c:v>69.53</c:v>
                </c:pt>
                <c:pt idx="108">
                  <c:v>67.260000000000005</c:v>
                </c:pt>
                <c:pt idx="109">
                  <c:v>65.55</c:v>
                </c:pt>
                <c:pt idx="110">
                  <c:v>64.319999999999993</c:v>
                </c:pt>
                <c:pt idx="111">
                  <c:v>63.49</c:v>
                </c:pt>
                <c:pt idx="112">
                  <c:v>63.02</c:v>
                </c:pt>
                <c:pt idx="113">
                  <c:v>62.85</c:v>
                </c:pt>
                <c:pt idx="114">
                  <c:v>62.94</c:v>
                </c:pt>
                <c:pt idx="115">
                  <c:v>63.28</c:v>
                </c:pt>
                <c:pt idx="116">
                  <c:v>63.8</c:v>
                </c:pt>
                <c:pt idx="117">
                  <c:v>64.3</c:v>
                </c:pt>
              </c:numCache>
            </c:numRef>
          </c:val>
          <c:smooth val="0"/>
          <c:extLst>
            <c:ext xmlns:c16="http://schemas.microsoft.com/office/drawing/2014/chart" uri="{C3380CC4-5D6E-409C-BE32-E72D297353CC}">
              <c16:uniqueId val="{00000012-20CA-4C1B-A834-BE5B83AD144A}"/>
            </c:ext>
          </c:extLst>
        </c:ser>
        <c:ser>
          <c:idx val="19"/>
          <c:order val="19"/>
          <c:tx>
            <c:strRef>
              <c:f>'50..800_F2'!$U$3:$U$4</c:f>
              <c:strCache>
                <c:ptCount val="1"/>
                <c:pt idx="0">
                  <c:v>E10</c:v>
                </c:pt>
              </c:strCache>
            </c:strRef>
          </c:tx>
          <c:spPr>
            <a:ln w="28575" cap="rnd">
              <a:solidFill>
                <a:schemeClr val="accent2">
                  <a:lumMod val="8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'50..800_F2'!$U$5:$U$123</c:f>
              <c:numCache>
                <c:formatCode>General</c:formatCode>
                <c:ptCount val="118"/>
                <c:pt idx="0">
                  <c:v>353.86</c:v>
                </c:pt>
                <c:pt idx="1">
                  <c:v>356.64</c:v>
                </c:pt>
                <c:pt idx="2">
                  <c:v>360.01</c:v>
                </c:pt>
                <c:pt idx="3">
                  <c:v>363.6</c:v>
                </c:pt>
                <c:pt idx="4">
                  <c:v>367.33</c:v>
                </c:pt>
                <c:pt idx="5">
                  <c:v>371.22</c:v>
                </c:pt>
                <c:pt idx="6">
                  <c:v>375.25</c:v>
                </c:pt>
                <c:pt idx="7">
                  <c:v>379.46</c:v>
                </c:pt>
                <c:pt idx="8">
                  <c:v>383.83</c:v>
                </c:pt>
                <c:pt idx="9">
                  <c:v>388.38</c:v>
                </c:pt>
                <c:pt idx="10">
                  <c:v>393.11</c:v>
                </c:pt>
                <c:pt idx="11">
                  <c:v>398.05</c:v>
                </c:pt>
                <c:pt idx="12">
                  <c:v>403.18</c:v>
                </c:pt>
                <c:pt idx="13">
                  <c:v>408.53</c:v>
                </c:pt>
                <c:pt idx="14">
                  <c:v>414.09</c:v>
                </c:pt>
                <c:pt idx="15">
                  <c:v>419.88</c:v>
                </c:pt>
                <c:pt idx="16">
                  <c:v>425.9</c:v>
                </c:pt>
                <c:pt idx="17">
                  <c:v>432.17</c:v>
                </c:pt>
                <c:pt idx="18">
                  <c:v>438.68</c:v>
                </c:pt>
                <c:pt idx="19">
                  <c:v>445.44</c:v>
                </c:pt>
                <c:pt idx="20">
                  <c:v>452.46</c:v>
                </c:pt>
                <c:pt idx="21">
                  <c:v>459.73</c:v>
                </c:pt>
                <c:pt idx="22">
                  <c:v>467.26</c:v>
                </c:pt>
                <c:pt idx="23">
                  <c:v>475.05</c:v>
                </c:pt>
                <c:pt idx="24">
                  <c:v>483.08</c:v>
                </c:pt>
                <c:pt idx="25">
                  <c:v>491.34</c:v>
                </c:pt>
                <c:pt idx="26">
                  <c:v>499.84</c:v>
                </c:pt>
                <c:pt idx="27">
                  <c:v>508.54</c:v>
                </c:pt>
                <c:pt idx="28">
                  <c:v>517.42999999999995</c:v>
                </c:pt>
                <c:pt idx="29">
                  <c:v>526.49</c:v>
                </c:pt>
                <c:pt idx="30">
                  <c:v>535.66</c:v>
                </c:pt>
                <c:pt idx="31">
                  <c:v>544.92999999999995</c:v>
                </c:pt>
                <c:pt idx="32">
                  <c:v>554.25</c:v>
                </c:pt>
                <c:pt idx="33">
                  <c:v>563.55999999999995</c:v>
                </c:pt>
                <c:pt idx="34">
                  <c:v>572.83000000000004</c:v>
                </c:pt>
                <c:pt idx="35">
                  <c:v>581.98</c:v>
                </c:pt>
                <c:pt idx="36">
                  <c:v>590.97</c:v>
                </c:pt>
                <c:pt idx="37">
                  <c:v>599.74</c:v>
                </c:pt>
                <c:pt idx="38">
                  <c:v>608.24</c:v>
                </c:pt>
                <c:pt idx="39">
                  <c:v>616.42999999999995</c:v>
                </c:pt>
                <c:pt idx="40">
                  <c:v>624.27</c:v>
                </c:pt>
                <c:pt idx="41">
                  <c:v>631.74</c:v>
                </c:pt>
                <c:pt idx="42">
                  <c:v>638.86</c:v>
                </c:pt>
                <c:pt idx="43">
                  <c:v>645.64</c:v>
                </c:pt>
                <c:pt idx="44">
                  <c:v>652.16</c:v>
                </c:pt>
                <c:pt idx="45">
                  <c:v>658.49</c:v>
                </c:pt>
                <c:pt idx="46">
                  <c:v>664.77</c:v>
                </c:pt>
                <c:pt idx="47">
                  <c:v>671.18</c:v>
                </c:pt>
                <c:pt idx="48">
                  <c:v>677.92</c:v>
                </c:pt>
                <c:pt idx="49">
                  <c:v>685.26</c:v>
                </c:pt>
                <c:pt idx="50">
                  <c:v>693.46</c:v>
                </c:pt>
                <c:pt idx="51">
                  <c:v>702.83</c:v>
                </c:pt>
                <c:pt idx="52">
                  <c:v>713.68</c:v>
                </c:pt>
                <c:pt idx="53">
                  <c:v>726.3</c:v>
                </c:pt>
                <c:pt idx="54">
                  <c:v>740.94</c:v>
                </c:pt>
                <c:pt idx="55">
                  <c:v>757.79</c:v>
                </c:pt>
                <c:pt idx="56">
                  <c:v>776.96</c:v>
                </c:pt>
                <c:pt idx="57">
                  <c:v>798.45</c:v>
                </c:pt>
                <c:pt idx="58">
                  <c:v>822.17</c:v>
                </c:pt>
                <c:pt idx="59">
                  <c:v>847.93</c:v>
                </c:pt>
                <c:pt idx="60">
                  <c:v>875.51</c:v>
                </c:pt>
                <c:pt idx="61">
                  <c:v>904.71</c:v>
                </c:pt>
                <c:pt idx="62">
                  <c:v>935.41</c:v>
                </c:pt>
                <c:pt idx="63">
                  <c:v>967.69</c:v>
                </c:pt>
                <c:pt idx="64">
                  <c:v>1001.92</c:v>
                </c:pt>
                <c:pt idx="65">
                  <c:v>1038.8699999999999</c:v>
                </c:pt>
                <c:pt idx="66">
                  <c:v>1079.8599999999999</c:v>
                </c:pt>
                <c:pt idx="67">
                  <c:v>1126.99</c:v>
                </c:pt>
                <c:pt idx="68">
                  <c:v>1183.42</c:v>
                </c:pt>
                <c:pt idx="69">
                  <c:v>1253.74</c:v>
                </c:pt>
                <c:pt idx="70">
                  <c:v>1344.57</c:v>
                </c:pt>
                <c:pt idx="71">
                  <c:v>1465.27</c:v>
                </c:pt>
                <c:pt idx="72">
                  <c:v>1629.02</c:v>
                </c:pt>
                <c:pt idx="73">
                  <c:v>1854.26</c:v>
                </c:pt>
                <c:pt idx="74">
                  <c:v>2166.89</c:v>
                </c:pt>
                <c:pt idx="75">
                  <c:v>2603.34</c:v>
                </c:pt>
                <c:pt idx="76">
                  <c:v>3214.06</c:v>
                </c:pt>
                <c:pt idx="77">
                  <c:v>4064.22</c:v>
                </c:pt>
                <c:pt idx="78">
                  <c:v>5218.9799999999996</c:v>
                </c:pt>
                <c:pt idx="79">
                  <c:v>6638.39</c:v>
                </c:pt>
                <c:pt idx="80">
                  <c:v>8019.19</c:v>
                </c:pt>
                <c:pt idx="81">
                  <c:v>8945.5300000000007</c:v>
                </c:pt>
                <c:pt idx="82">
                  <c:v>9067.82</c:v>
                </c:pt>
                <c:pt idx="83">
                  <c:v>8242.56</c:v>
                </c:pt>
                <c:pt idx="84">
                  <c:v>6651.02</c:v>
                </c:pt>
                <c:pt idx="85">
                  <c:v>4788.97</c:v>
                </c:pt>
                <c:pt idx="86">
                  <c:v>3241.03</c:v>
                </c:pt>
                <c:pt idx="87">
                  <c:v>2192.91</c:v>
                </c:pt>
                <c:pt idx="88">
                  <c:v>1518.27</c:v>
                </c:pt>
                <c:pt idx="89">
                  <c:v>1082.1600000000001</c:v>
                </c:pt>
                <c:pt idx="90">
                  <c:v>794.89</c:v>
                </c:pt>
                <c:pt idx="91">
                  <c:v>601.07000000000005</c:v>
                </c:pt>
                <c:pt idx="92">
                  <c:v>466.92</c:v>
                </c:pt>
                <c:pt idx="93">
                  <c:v>371.69</c:v>
                </c:pt>
                <c:pt idx="94">
                  <c:v>302.45999999999998</c:v>
                </c:pt>
                <c:pt idx="95">
                  <c:v>250.99</c:v>
                </c:pt>
                <c:pt idx="96">
                  <c:v>211.95</c:v>
                </c:pt>
                <c:pt idx="97">
                  <c:v>181.81</c:v>
                </c:pt>
                <c:pt idx="98">
                  <c:v>158.18</c:v>
                </c:pt>
                <c:pt idx="99">
                  <c:v>139.43</c:v>
                </c:pt>
                <c:pt idx="100">
                  <c:v>124.4</c:v>
                </c:pt>
                <c:pt idx="101">
                  <c:v>112.31</c:v>
                </c:pt>
                <c:pt idx="102">
                  <c:v>102.54</c:v>
                </c:pt>
                <c:pt idx="103">
                  <c:v>94.66</c:v>
                </c:pt>
                <c:pt idx="104">
                  <c:v>88.31</c:v>
                </c:pt>
                <c:pt idx="105">
                  <c:v>83.22</c:v>
                </c:pt>
                <c:pt idx="106">
                  <c:v>79.17</c:v>
                </c:pt>
                <c:pt idx="107">
                  <c:v>75.98</c:v>
                </c:pt>
                <c:pt idx="108">
                  <c:v>73.5</c:v>
                </c:pt>
                <c:pt idx="109">
                  <c:v>71.63</c:v>
                </c:pt>
                <c:pt idx="110">
                  <c:v>70.260000000000005</c:v>
                </c:pt>
                <c:pt idx="111">
                  <c:v>69.33</c:v>
                </c:pt>
                <c:pt idx="112">
                  <c:v>68.77</c:v>
                </c:pt>
                <c:pt idx="113">
                  <c:v>68.540000000000006</c:v>
                </c:pt>
                <c:pt idx="114">
                  <c:v>68.599999999999994</c:v>
                </c:pt>
                <c:pt idx="115">
                  <c:v>68.91</c:v>
                </c:pt>
                <c:pt idx="116">
                  <c:v>69.42</c:v>
                </c:pt>
                <c:pt idx="117">
                  <c:v>69.92</c:v>
                </c:pt>
              </c:numCache>
            </c:numRef>
          </c:val>
          <c:smooth val="0"/>
          <c:extLst>
            <c:ext xmlns:c16="http://schemas.microsoft.com/office/drawing/2014/chart" uri="{C3380CC4-5D6E-409C-BE32-E72D297353CC}">
              <c16:uniqueId val="{00000013-20CA-4C1B-A834-BE5B83AD144A}"/>
            </c:ext>
          </c:extLst>
        </c:ser>
        <c:ser>
          <c:idx val="20"/>
          <c:order val="20"/>
          <c:tx>
            <c:strRef>
              <c:f>'50..800_F2'!$V$3:$V$4</c:f>
              <c:strCache>
                <c:ptCount val="1"/>
                <c:pt idx="0">
                  <c:v>E11</c:v>
                </c:pt>
              </c:strCache>
            </c:strRef>
          </c:tx>
          <c:spPr>
            <a:ln w="28575" cap="rnd">
              <a:solidFill>
                <a:schemeClr val="accent3">
                  <a:lumMod val="8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'50..800_F2'!$V$5:$V$123</c:f>
              <c:numCache>
                <c:formatCode>General</c:formatCode>
                <c:ptCount val="118"/>
                <c:pt idx="0">
                  <c:v>331.98</c:v>
                </c:pt>
                <c:pt idx="1">
                  <c:v>334.89</c:v>
                </c:pt>
                <c:pt idx="2">
                  <c:v>338.53</c:v>
                </c:pt>
                <c:pt idx="3">
                  <c:v>342.46</c:v>
                </c:pt>
                <c:pt idx="4">
                  <c:v>346.55</c:v>
                </c:pt>
                <c:pt idx="5">
                  <c:v>350.84</c:v>
                </c:pt>
                <c:pt idx="6">
                  <c:v>355.31</c:v>
                </c:pt>
                <c:pt idx="7">
                  <c:v>359.98</c:v>
                </c:pt>
                <c:pt idx="8">
                  <c:v>364.87</c:v>
                </c:pt>
                <c:pt idx="9">
                  <c:v>369.99</c:v>
                </c:pt>
                <c:pt idx="10">
                  <c:v>375.34</c:v>
                </c:pt>
                <c:pt idx="11">
                  <c:v>380.93</c:v>
                </c:pt>
                <c:pt idx="12">
                  <c:v>386.78</c:v>
                </c:pt>
                <c:pt idx="13">
                  <c:v>392.91</c:v>
                </c:pt>
                <c:pt idx="14">
                  <c:v>399.31</c:v>
                </c:pt>
                <c:pt idx="15">
                  <c:v>406.01</c:v>
                </c:pt>
                <c:pt idx="16">
                  <c:v>413.01</c:v>
                </c:pt>
                <c:pt idx="17">
                  <c:v>420.32</c:v>
                </c:pt>
                <c:pt idx="18">
                  <c:v>427.96</c:v>
                </c:pt>
                <c:pt idx="19">
                  <c:v>435.93</c:v>
                </c:pt>
                <c:pt idx="20">
                  <c:v>444.24</c:v>
                </c:pt>
                <c:pt idx="21">
                  <c:v>452.89</c:v>
                </c:pt>
                <c:pt idx="22">
                  <c:v>461.88</c:v>
                </c:pt>
                <c:pt idx="23">
                  <c:v>471.22</c:v>
                </c:pt>
                <c:pt idx="24">
                  <c:v>480.89</c:v>
                </c:pt>
                <c:pt idx="25">
                  <c:v>490.89</c:v>
                </c:pt>
                <c:pt idx="26">
                  <c:v>501.2</c:v>
                </c:pt>
                <c:pt idx="27">
                  <c:v>511.81</c:v>
                </c:pt>
                <c:pt idx="28">
                  <c:v>522.67999999999995</c:v>
                </c:pt>
                <c:pt idx="29">
                  <c:v>533.77</c:v>
                </c:pt>
                <c:pt idx="30">
                  <c:v>545.04999999999995</c:v>
                </c:pt>
                <c:pt idx="31">
                  <c:v>556.46</c:v>
                </c:pt>
                <c:pt idx="32">
                  <c:v>567.95000000000005</c:v>
                </c:pt>
                <c:pt idx="33">
                  <c:v>579.42999999999995</c:v>
                </c:pt>
                <c:pt idx="34">
                  <c:v>590.85</c:v>
                </c:pt>
                <c:pt idx="35">
                  <c:v>602.11</c:v>
                </c:pt>
                <c:pt idx="36">
                  <c:v>613.12</c:v>
                </c:pt>
                <c:pt idx="37">
                  <c:v>623.80999999999995</c:v>
                </c:pt>
                <c:pt idx="38">
                  <c:v>634.07000000000005</c:v>
                </c:pt>
                <c:pt idx="39">
                  <c:v>643.82000000000005</c:v>
                </c:pt>
                <c:pt idx="40">
                  <c:v>652.98</c:v>
                </c:pt>
                <c:pt idx="41">
                  <c:v>661.49</c:v>
                </c:pt>
                <c:pt idx="42">
                  <c:v>669.28</c:v>
                </c:pt>
                <c:pt idx="43">
                  <c:v>676.31</c:v>
                </c:pt>
                <c:pt idx="44">
                  <c:v>682.57</c:v>
                </c:pt>
                <c:pt idx="45">
                  <c:v>688.05</c:v>
                </c:pt>
                <c:pt idx="46">
                  <c:v>692.79</c:v>
                </c:pt>
                <c:pt idx="47">
                  <c:v>696.83</c:v>
                </c:pt>
                <c:pt idx="48">
                  <c:v>700.26</c:v>
                </c:pt>
                <c:pt idx="49">
                  <c:v>703.18</c:v>
                </c:pt>
                <c:pt idx="50">
                  <c:v>705.71</c:v>
                </c:pt>
                <c:pt idx="51">
                  <c:v>708.02</c:v>
                </c:pt>
                <c:pt idx="52">
                  <c:v>710.29</c:v>
                </c:pt>
                <c:pt idx="53">
                  <c:v>712.71</c:v>
                </c:pt>
                <c:pt idx="54">
                  <c:v>715.51</c:v>
                </c:pt>
                <c:pt idx="55">
                  <c:v>718.95</c:v>
                </c:pt>
                <c:pt idx="56">
                  <c:v>723.29</c:v>
                </c:pt>
                <c:pt idx="57">
                  <c:v>728.87</c:v>
                </c:pt>
                <c:pt idx="58">
                  <c:v>736.03</c:v>
                </c:pt>
                <c:pt idx="59">
                  <c:v>745.19</c:v>
                </c:pt>
                <c:pt idx="60">
                  <c:v>756.86</c:v>
                </c:pt>
                <c:pt idx="61">
                  <c:v>771.63</c:v>
                </c:pt>
                <c:pt idx="62">
                  <c:v>790.25</c:v>
                </c:pt>
                <c:pt idx="63">
                  <c:v>813.65</c:v>
                </c:pt>
                <c:pt idx="64">
                  <c:v>843.03</c:v>
                </c:pt>
                <c:pt idx="65">
                  <c:v>879.85</c:v>
                </c:pt>
                <c:pt idx="66">
                  <c:v>926.01</c:v>
                </c:pt>
                <c:pt idx="67">
                  <c:v>983.92</c:v>
                </c:pt>
                <c:pt idx="68">
                  <c:v>1056.76</c:v>
                </c:pt>
                <c:pt idx="69">
                  <c:v>1148.92</c:v>
                </c:pt>
                <c:pt idx="70">
                  <c:v>1266.78</c:v>
                </c:pt>
                <c:pt idx="71">
                  <c:v>1420.04</c:v>
                </c:pt>
                <c:pt idx="72">
                  <c:v>1623.67</c:v>
                </c:pt>
                <c:pt idx="73">
                  <c:v>1900.67</c:v>
                </c:pt>
                <c:pt idx="74">
                  <c:v>2285.37</c:v>
                </c:pt>
                <c:pt idx="75">
                  <c:v>2826.93</c:v>
                </c:pt>
                <c:pt idx="76">
                  <c:v>3591.15</c:v>
                </c:pt>
                <c:pt idx="77">
                  <c:v>4652.1099999999997</c:v>
                </c:pt>
                <c:pt idx="78">
                  <c:v>5992.33</c:v>
                </c:pt>
                <c:pt idx="79">
                  <c:v>7317.98</c:v>
                </c:pt>
                <c:pt idx="80">
                  <c:v>8207.1299999999992</c:v>
                </c:pt>
                <c:pt idx="81">
                  <c:v>8316</c:v>
                </c:pt>
                <c:pt idx="82">
                  <c:v>7521.62</c:v>
                </c:pt>
                <c:pt idx="83">
                  <c:v>6020.61</c:v>
                </c:pt>
                <c:pt idx="84">
                  <c:v>4296.1400000000003</c:v>
                </c:pt>
                <c:pt idx="85">
                  <c:v>2888.98</c:v>
                </c:pt>
                <c:pt idx="86">
                  <c:v>1949.06</c:v>
                </c:pt>
                <c:pt idx="87">
                  <c:v>1348.73</c:v>
                </c:pt>
                <c:pt idx="88">
                  <c:v>962.51</c:v>
                </c:pt>
                <c:pt idx="89">
                  <c:v>708.81</c:v>
                </c:pt>
                <c:pt idx="90">
                  <c:v>537.85</c:v>
                </c:pt>
                <c:pt idx="91">
                  <c:v>419.55</c:v>
                </c:pt>
                <c:pt idx="92">
                  <c:v>335.53</c:v>
                </c:pt>
                <c:pt idx="93">
                  <c:v>274.35000000000002</c:v>
                </c:pt>
                <c:pt idx="94">
                  <c:v>228.76</c:v>
                </c:pt>
                <c:pt idx="95">
                  <c:v>194.06</c:v>
                </c:pt>
                <c:pt idx="96">
                  <c:v>167.15</c:v>
                </c:pt>
                <c:pt idx="97">
                  <c:v>145.93</c:v>
                </c:pt>
                <c:pt idx="98">
                  <c:v>128.99</c:v>
                </c:pt>
                <c:pt idx="99">
                  <c:v>115.33</c:v>
                </c:pt>
                <c:pt idx="100">
                  <c:v>104.24</c:v>
                </c:pt>
                <c:pt idx="101">
                  <c:v>95.23</c:v>
                </c:pt>
                <c:pt idx="102">
                  <c:v>87.9</c:v>
                </c:pt>
                <c:pt idx="103">
                  <c:v>81.95</c:v>
                </c:pt>
                <c:pt idx="104">
                  <c:v>77.150000000000006</c:v>
                </c:pt>
                <c:pt idx="105">
                  <c:v>73.290000000000006</c:v>
                </c:pt>
                <c:pt idx="106">
                  <c:v>70.23</c:v>
                </c:pt>
                <c:pt idx="107">
                  <c:v>67.819999999999993</c:v>
                </c:pt>
                <c:pt idx="108">
                  <c:v>65.959999999999994</c:v>
                </c:pt>
                <c:pt idx="109">
                  <c:v>64.569999999999993</c:v>
                </c:pt>
                <c:pt idx="110">
                  <c:v>63.58</c:v>
                </c:pt>
                <c:pt idx="111">
                  <c:v>62.93</c:v>
                </c:pt>
                <c:pt idx="112">
                  <c:v>62.57</c:v>
                </c:pt>
                <c:pt idx="113">
                  <c:v>62.47</c:v>
                </c:pt>
                <c:pt idx="114">
                  <c:v>62.61</c:v>
                </c:pt>
                <c:pt idx="115">
                  <c:v>62.94</c:v>
                </c:pt>
                <c:pt idx="116">
                  <c:v>63.43</c:v>
                </c:pt>
                <c:pt idx="117">
                  <c:v>63.9</c:v>
                </c:pt>
              </c:numCache>
            </c:numRef>
          </c:val>
          <c:smooth val="0"/>
          <c:extLst>
            <c:ext xmlns:c16="http://schemas.microsoft.com/office/drawing/2014/chart" uri="{C3380CC4-5D6E-409C-BE32-E72D297353CC}">
              <c16:uniqueId val="{00000014-20CA-4C1B-A834-BE5B83AD144A}"/>
            </c:ext>
          </c:extLst>
        </c:ser>
        <c:ser>
          <c:idx val="21"/>
          <c:order val="21"/>
          <c:tx>
            <c:strRef>
              <c:f>'50..800_F2'!$W$3:$W$4</c:f>
              <c:strCache>
                <c:ptCount val="1"/>
                <c:pt idx="0">
                  <c:v>E12</c:v>
                </c:pt>
              </c:strCache>
            </c:strRef>
          </c:tx>
          <c:spPr>
            <a:ln w="28575" cap="rnd">
              <a:solidFill>
                <a:schemeClr val="accent4">
                  <a:lumMod val="8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'50..800_F2'!$W$5:$W$123</c:f>
              <c:numCache>
                <c:formatCode>General</c:formatCode>
                <c:ptCount val="118"/>
                <c:pt idx="0">
                  <c:v>240.51</c:v>
                </c:pt>
                <c:pt idx="1">
                  <c:v>242.71</c:v>
                </c:pt>
                <c:pt idx="2">
                  <c:v>245.5</c:v>
                </c:pt>
                <c:pt idx="3">
                  <c:v>248.53</c:v>
                </c:pt>
                <c:pt idx="4">
                  <c:v>251.73</c:v>
                </c:pt>
                <c:pt idx="5">
                  <c:v>255.11</c:v>
                </c:pt>
                <c:pt idx="6">
                  <c:v>258.67</c:v>
                </c:pt>
                <c:pt idx="7">
                  <c:v>262.44</c:v>
                </c:pt>
                <c:pt idx="8">
                  <c:v>266.41000000000003</c:v>
                </c:pt>
                <c:pt idx="9">
                  <c:v>270.61</c:v>
                </c:pt>
                <c:pt idx="10">
                  <c:v>275.04000000000002</c:v>
                </c:pt>
                <c:pt idx="11">
                  <c:v>279.73</c:v>
                </c:pt>
                <c:pt idx="12">
                  <c:v>284.69</c:v>
                </c:pt>
                <c:pt idx="13">
                  <c:v>289.94</c:v>
                </c:pt>
                <c:pt idx="14">
                  <c:v>295.48</c:v>
                </c:pt>
                <c:pt idx="15">
                  <c:v>301.35000000000002</c:v>
                </c:pt>
                <c:pt idx="16">
                  <c:v>307.55</c:v>
                </c:pt>
                <c:pt idx="17">
                  <c:v>314.10000000000002</c:v>
                </c:pt>
                <c:pt idx="18">
                  <c:v>321.02999999999997</c:v>
                </c:pt>
                <c:pt idx="19">
                  <c:v>328.35</c:v>
                </c:pt>
                <c:pt idx="20">
                  <c:v>336.08</c:v>
                </c:pt>
                <c:pt idx="21">
                  <c:v>344.22</c:v>
                </c:pt>
                <c:pt idx="22">
                  <c:v>352.81</c:v>
                </c:pt>
                <c:pt idx="23">
                  <c:v>361.84</c:v>
                </c:pt>
                <c:pt idx="24">
                  <c:v>371.33</c:v>
                </c:pt>
                <c:pt idx="25">
                  <c:v>381.27</c:v>
                </c:pt>
                <c:pt idx="26">
                  <c:v>391.68</c:v>
                </c:pt>
                <c:pt idx="27">
                  <c:v>402.54</c:v>
                </c:pt>
                <c:pt idx="28">
                  <c:v>413.83</c:v>
                </c:pt>
                <c:pt idx="29">
                  <c:v>425.54</c:v>
                </c:pt>
                <c:pt idx="30">
                  <c:v>437.63</c:v>
                </c:pt>
                <c:pt idx="31">
                  <c:v>450.05</c:v>
                </c:pt>
                <c:pt idx="32">
                  <c:v>462.76</c:v>
                </c:pt>
                <c:pt idx="33">
                  <c:v>475.68</c:v>
                </c:pt>
                <c:pt idx="34">
                  <c:v>488.73</c:v>
                </c:pt>
                <c:pt idx="35">
                  <c:v>501.82</c:v>
                </c:pt>
                <c:pt idx="36">
                  <c:v>514.86</c:v>
                </c:pt>
                <c:pt idx="37">
                  <c:v>527.74</c:v>
                </c:pt>
                <c:pt idx="38">
                  <c:v>540.36</c:v>
                </c:pt>
                <c:pt idx="39">
                  <c:v>552.61</c:v>
                </c:pt>
                <c:pt idx="40">
                  <c:v>564.4</c:v>
                </c:pt>
                <c:pt idx="41">
                  <c:v>575.67999999999995</c:v>
                </c:pt>
                <c:pt idx="42">
                  <c:v>586.39</c:v>
                </c:pt>
                <c:pt idx="43">
                  <c:v>596.52</c:v>
                </c:pt>
                <c:pt idx="44">
                  <c:v>606.12</c:v>
                </c:pt>
                <c:pt idx="45">
                  <c:v>615.27</c:v>
                </c:pt>
                <c:pt idx="46">
                  <c:v>624.12</c:v>
                </c:pt>
                <c:pt idx="47">
                  <c:v>632.86</c:v>
                </c:pt>
                <c:pt idx="48">
                  <c:v>641.74</c:v>
                </c:pt>
                <c:pt idx="49">
                  <c:v>651.04999999999995</c:v>
                </c:pt>
                <c:pt idx="50">
                  <c:v>661.12</c:v>
                </c:pt>
                <c:pt idx="51">
                  <c:v>672.26</c:v>
                </c:pt>
                <c:pt idx="52">
                  <c:v>684.79</c:v>
                </c:pt>
                <c:pt idx="53">
                  <c:v>698.97</c:v>
                </c:pt>
                <c:pt idx="54">
                  <c:v>715.02</c:v>
                </c:pt>
                <c:pt idx="55">
                  <c:v>733.03</c:v>
                </c:pt>
                <c:pt idx="56">
                  <c:v>753.01</c:v>
                </c:pt>
                <c:pt idx="57">
                  <c:v>774.84</c:v>
                </c:pt>
                <c:pt idx="58">
                  <c:v>798.31</c:v>
                </c:pt>
                <c:pt idx="59">
                  <c:v>823.12</c:v>
                </c:pt>
                <c:pt idx="60">
                  <c:v>848.98</c:v>
                </c:pt>
                <c:pt idx="61">
                  <c:v>875.65</c:v>
                </c:pt>
                <c:pt idx="62">
                  <c:v>903.11</c:v>
                </c:pt>
                <c:pt idx="63">
                  <c:v>931.6</c:v>
                </c:pt>
                <c:pt idx="64">
                  <c:v>961.8</c:v>
                </c:pt>
                <c:pt idx="65">
                  <c:v>994.94</c:v>
                </c:pt>
                <c:pt idx="66">
                  <c:v>1032.8399999999999</c:v>
                </c:pt>
                <c:pt idx="67">
                  <c:v>1078.1199999999999</c:v>
                </c:pt>
                <c:pt idx="68">
                  <c:v>1134.33</c:v>
                </c:pt>
                <c:pt idx="69">
                  <c:v>1206.32</c:v>
                </c:pt>
                <c:pt idx="70">
                  <c:v>1300.92</c:v>
                </c:pt>
                <c:pt idx="71">
                  <c:v>1427.78</c:v>
                </c:pt>
                <c:pt idx="72">
                  <c:v>1600.66</c:v>
                </c:pt>
                <c:pt idx="73">
                  <c:v>1839.09</c:v>
                </c:pt>
                <c:pt idx="74">
                  <c:v>2170.6999999999998</c:v>
                </c:pt>
                <c:pt idx="75">
                  <c:v>2634.18</c:v>
                </c:pt>
                <c:pt idx="76">
                  <c:v>3282.19</c:v>
                </c:pt>
                <c:pt idx="77">
                  <c:v>4180.3100000000004</c:v>
                </c:pt>
                <c:pt idx="78">
                  <c:v>5378.16</c:v>
                </c:pt>
                <c:pt idx="79">
                  <c:v>6758.73</c:v>
                </c:pt>
                <c:pt idx="80">
                  <c:v>7960.61</c:v>
                </c:pt>
                <c:pt idx="81">
                  <c:v>8589.83</c:v>
                </c:pt>
                <c:pt idx="82">
                  <c:v>8368.41</c:v>
                </c:pt>
                <c:pt idx="83">
                  <c:v>7272.42</c:v>
                </c:pt>
                <c:pt idx="84">
                  <c:v>5596.45</c:v>
                </c:pt>
                <c:pt idx="85">
                  <c:v>3887.24</c:v>
                </c:pt>
                <c:pt idx="86">
                  <c:v>2602.89</c:v>
                </c:pt>
                <c:pt idx="87">
                  <c:v>1764.73</c:v>
                </c:pt>
                <c:pt idx="88">
                  <c:v>1229.06</c:v>
                </c:pt>
                <c:pt idx="89">
                  <c:v>882.44</c:v>
                </c:pt>
                <c:pt idx="90">
                  <c:v>652.85</c:v>
                </c:pt>
                <c:pt idx="91">
                  <c:v>496.28</c:v>
                </c:pt>
                <c:pt idx="92">
                  <c:v>385.7</c:v>
                </c:pt>
                <c:pt idx="93">
                  <c:v>304.44</c:v>
                </c:pt>
                <c:pt idx="94">
                  <c:v>242.34</c:v>
                </c:pt>
                <c:pt idx="95">
                  <c:v>193.41</c:v>
                </c:pt>
                <c:pt idx="96">
                  <c:v>154.19999999999999</c:v>
                </c:pt>
                <c:pt idx="97">
                  <c:v>122.68</c:v>
                </c:pt>
                <c:pt idx="98">
                  <c:v>97.51</c:v>
                </c:pt>
                <c:pt idx="99">
                  <c:v>77.66</c:v>
                </c:pt>
                <c:pt idx="100">
                  <c:v>62.24</c:v>
                </c:pt>
                <c:pt idx="101">
                  <c:v>50.45</c:v>
                </c:pt>
                <c:pt idx="102">
                  <c:v>41.58</c:v>
                </c:pt>
                <c:pt idx="103">
                  <c:v>34.99</c:v>
                </c:pt>
                <c:pt idx="104">
                  <c:v>30.19</c:v>
                </c:pt>
                <c:pt idx="105">
                  <c:v>26.75</c:v>
                </c:pt>
                <c:pt idx="106">
                  <c:v>24.35</c:v>
                </c:pt>
                <c:pt idx="107">
                  <c:v>22.74</c:v>
                </c:pt>
                <c:pt idx="108">
                  <c:v>21.74</c:v>
                </c:pt>
                <c:pt idx="109">
                  <c:v>21.22</c:v>
                </c:pt>
                <c:pt idx="110">
                  <c:v>21.06</c:v>
                </c:pt>
                <c:pt idx="111">
                  <c:v>21.2</c:v>
                </c:pt>
                <c:pt idx="112">
                  <c:v>21.59</c:v>
                </c:pt>
                <c:pt idx="113">
                  <c:v>22.17</c:v>
                </c:pt>
                <c:pt idx="114">
                  <c:v>22.93</c:v>
                </c:pt>
                <c:pt idx="115">
                  <c:v>23.84</c:v>
                </c:pt>
                <c:pt idx="116">
                  <c:v>24.82</c:v>
                </c:pt>
                <c:pt idx="117">
                  <c:v>25.55</c:v>
                </c:pt>
              </c:numCache>
            </c:numRef>
          </c:val>
          <c:smooth val="0"/>
          <c:extLst>
            <c:ext xmlns:c16="http://schemas.microsoft.com/office/drawing/2014/chart" uri="{C3380CC4-5D6E-409C-BE32-E72D297353CC}">
              <c16:uniqueId val="{00000015-20CA-4C1B-A834-BE5B83AD144A}"/>
            </c:ext>
          </c:extLst>
        </c:ser>
        <c:ser>
          <c:idx val="22"/>
          <c:order val="22"/>
          <c:tx>
            <c:strRef>
              <c:f>'50..800_F2'!$X$3:$X$4</c:f>
              <c:strCache>
                <c:ptCount val="1"/>
                <c:pt idx="0">
                  <c:v>F02</c:v>
                </c:pt>
              </c:strCache>
            </c:strRef>
          </c:tx>
          <c:spPr>
            <a:ln w="28575" cap="rnd">
              <a:solidFill>
                <a:schemeClr val="accent5">
                  <a:lumMod val="8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'50..800_F2'!$X$5:$X$123</c:f>
              <c:numCache>
                <c:formatCode>General</c:formatCode>
                <c:ptCount val="118"/>
                <c:pt idx="0">
                  <c:v>303.82</c:v>
                </c:pt>
                <c:pt idx="1">
                  <c:v>306.42</c:v>
                </c:pt>
                <c:pt idx="2">
                  <c:v>309.67</c:v>
                </c:pt>
                <c:pt idx="3">
                  <c:v>313.17</c:v>
                </c:pt>
                <c:pt idx="4">
                  <c:v>316.83</c:v>
                </c:pt>
                <c:pt idx="5">
                  <c:v>320.66000000000003</c:v>
                </c:pt>
                <c:pt idx="6">
                  <c:v>324.68</c:v>
                </c:pt>
                <c:pt idx="7">
                  <c:v>328.88</c:v>
                </c:pt>
                <c:pt idx="8">
                  <c:v>333.28</c:v>
                </c:pt>
                <c:pt idx="9">
                  <c:v>337.9</c:v>
                </c:pt>
                <c:pt idx="10">
                  <c:v>342.74</c:v>
                </c:pt>
                <c:pt idx="11">
                  <c:v>347.82</c:v>
                </c:pt>
                <c:pt idx="12">
                  <c:v>353.15</c:v>
                </c:pt>
                <c:pt idx="13">
                  <c:v>358.75</c:v>
                </c:pt>
                <c:pt idx="14">
                  <c:v>364.62</c:v>
                </c:pt>
                <c:pt idx="15">
                  <c:v>370.78</c:v>
                </c:pt>
                <c:pt idx="16">
                  <c:v>377.25</c:v>
                </c:pt>
                <c:pt idx="17">
                  <c:v>384.04</c:v>
                </c:pt>
                <c:pt idx="18">
                  <c:v>391.15</c:v>
                </c:pt>
                <c:pt idx="19">
                  <c:v>398.62</c:v>
                </c:pt>
                <c:pt idx="20">
                  <c:v>406.44</c:v>
                </c:pt>
                <c:pt idx="21">
                  <c:v>414.63</c:v>
                </c:pt>
                <c:pt idx="22">
                  <c:v>423.2</c:v>
                </c:pt>
                <c:pt idx="23">
                  <c:v>432.16</c:v>
                </c:pt>
                <c:pt idx="24">
                  <c:v>441.51</c:v>
                </c:pt>
                <c:pt idx="25">
                  <c:v>451.25</c:v>
                </c:pt>
                <c:pt idx="26">
                  <c:v>461.37</c:v>
                </c:pt>
                <c:pt idx="27">
                  <c:v>471.88</c:v>
                </c:pt>
                <c:pt idx="28">
                  <c:v>482.75</c:v>
                </c:pt>
                <c:pt idx="29">
                  <c:v>493.97</c:v>
                </c:pt>
                <c:pt idx="30">
                  <c:v>505.5</c:v>
                </c:pt>
                <c:pt idx="31">
                  <c:v>517.29999999999995</c:v>
                </c:pt>
                <c:pt idx="32">
                  <c:v>529.33000000000004</c:v>
                </c:pt>
                <c:pt idx="33">
                  <c:v>541.53</c:v>
                </c:pt>
                <c:pt idx="34">
                  <c:v>553.80999999999995</c:v>
                </c:pt>
                <c:pt idx="35">
                  <c:v>566.11</c:v>
                </c:pt>
                <c:pt idx="36">
                  <c:v>578.33000000000004</c:v>
                </c:pt>
                <c:pt idx="37">
                  <c:v>590.36</c:v>
                </c:pt>
                <c:pt idx="38">
                  <c:v>602.1</c:v>
                </c:pt>
                <c:pt idx="39">
                  <c:v>613.42999999999995</c:v>
                </c:pt>
                <c:pt idx="40">
                  <c:v>624.21</c:v>
                </c:pt>
                <c:pt idx="41">
                  <c:v>634.35</c:v>
                </c:pt>
                <c:pt idx="42">
                  <c:v>643.71</c:v>
                </c:pt>
                <c:pt idx="43">
                  <c:v>652.17999999999995</c:v>
                </c:pt>
                <c:pt idx="44">
                  <c:v>659.68</c:v>
                </c:pt>
                <c:pt idx="45">
                  <c:v>666.14</c:v>
                </c:pt>
                <c:pt idx="46">
                  <c:v>671.5</c:v>
                </c:pt>
                <c:pt idx="47">
                  <c:v>675.74</c:v>
                </c:pt>
                <c:pt idx="48">
                  <c:v>678.9</c:v>
                </c:pt>
                <c:pt idx="49">
                  <c:v>681.04</c:v>
                </c:pt>
                <c:pt idx="50">
                  <c:v>682.27</c:v>
                </c:pt>
                <c:pt idx="51">
                  <c:v>682.78</c:v>
                </c:pt>
                <c:pt idx="52">
                  <c:v>682.79</c:v>
                </c:pt>
                <c:pt idx="53">
                  <c:v>682.59</c:v>
                </c:pt>
                <c:pt idx="54">
                  <c:v>682.55</c:v>
                </c:pt>
                <c:pt idx="55">
                  <c:v>683.1</c:v>
                </c:pt>
                <c:pt idx="56">
                  <c:v>684.76</c:v>
                </c:pt>
                <c:pt idx="57">
                  <c:v>688.11</c:v>
                </c:pt>
                <c:pt idx="58">
                  <c:v>693.82</c:v>
                </c:pt>
                <c:pt idx="59">
                  <c:v>702.63</c:v>
                </c:pt>
                <c:pt idx="60">
                  <c:v>715.34</c:v>
                </c:pt>
                <c:pt idx="61">
                  <c:v>732.79</c:v>
                </c:pt>
                <c:pt idx="62">
                  <c:v>755.79</c:v>
                </c:pt>
                <c:pt idx="63">
                  <c:v>785.08</c:v>
                </c:pt>
                <c:pt idx="64">
                  <c:v>821.25</c:v>
                </c:pt>
                <c:pt idx="65">
                  <c:v>864.73</c:v>
                </c:pt>
                <c:pt idx="66">
                  <c:v>915.83</c:v>
                </c:pt>
                <c:pt idx="67">
                  <c:v>975.04</c:v>
                </c:pt>
                <c:pt idx="68">
                  <c:v>1043.48</c:v>
                </c:pt>
                <c:pt idx="69">
                  <c:v>1123.6600000000001</c:v>
                </c:pt>
                <c:pt idx="70">
                  <c:v>1220.4000000000001</c:v>
                </c:pt>
                <c:pt idx="71">
                  <c:v>1341.78</c:v>
                </c:pt>
                <c:pt idx="72">
                  <c:v>1500.21</c:v>
                </c:pt>
                <c:pt idx="73">
                  <c:v>1713.69</c:v>
                </c:pt>
                <c:pt idx="74">
                  <c:v>2007.8</c:v>
                </c:pt>
                <c:pt idx="75">
                  <c:v>2418.5</c:v>
                </c:pt>
                <c:pt idx="76">
                  <c:v>2995.46</c:v>
                </c:pt>
                <c:pt idx="77">
                  <c:v>3803.04</c:v>
                </c:pt>
                <c:pt idx="78">
                  <c:v>4908.67</c:v>
                </c:pt>
                <c:pt idx="79">
                  <c:v>6284.04</c:v>
                </c:pt>
                <c:pt idx="80">
                  <c:v>7638.03</c:v>
                </c:pt>
                <c:pt idx="81">
                  <c:v>8558.41</c:v>
                </c:pt>
                <c:pt idx="82">
                  <c:v>8696.34</c:v>
                </c:pt>
                <c:pt idx="83">
                  <c:v>7909.05</c:v>
                </c:pt>
                <c:pt idx="84">
                  <c:v>6376.01</c:v>
                </c:pt>
                <c:pt idx="85">
                  <c:v>4583.13</c:v>
                </c:pt>
                <c:pt idx="86">
                  <c:v>3097.18</c:v>
                </c:pt>
                <c:pt idx="87">
                  <c:v>2094.2199999999998</c:v>
                </c:pt>
                <c:pt idx="88">
                  <c:v>1450.3</c:v>
                </c:pt>
                <c:pt idx="89">
                  <c:v>1034.8</c:v>
                </c:pt>
                <c:pt idx="90">
                  <c:v>761.27</c:v>
                </c:pt>
                <c:pt idx="91">
                  <c:v>576.64</c:v>
                </c:pt>
                <c:pt idx="92">
                  <c:v>448.72</c:v>
                </c:pt>
                <c:pt idx="93">
                  <c:v>357.84</c:v>
                </c:pt>
                <c:pt idx="94">
                  <c:v>291.75</c:v>
                </c:pt>
                <c:pt idx="95">
                  <c:v>242.63</c:v>
                </c:pt>
                <c:pt idx="96">
                  <c:v>205.38</c:v>
                </c:pt>
                <c:pt idx="97">
                  <c:v>176.63</c:v>
                </c:pt>
                <c:pt idx="98">
                  <c:v>154.08000000000001</c:v>
                </c:pt>
                <c:pt idx="99">
                  <c:v>136.15</c:v>
                </c:pt>
                <c:pt idx="100">
                  <c:v>121.75</c:v>
                </c:pt>
                <c:pt idx="101">
                  <c:v>110.12</c:v>
                </c:pt>
                <c:pt idx="102">
                  <c:v>100.69</c:v>
                </c:pt>
                <c:pt idx="103">
                  <c:v>93.05</c:v>
                </c:pt>
                <c:pt idx="104">
                  <c:v>86.86</c:v>
                </c:pt>
                <c:pt idx="105">
                  <c:v>81.89</c:v>
                </c:pt>
                <c:pt idx="106">
                  <c:v>77.92</c:v>
                </c:pt>
                <c:pt idx="107">
                  <c:v>74.77</c:v>
                </c:pt>
                <c:pt idx="108">
                  <c:v>72.33</c:v>
                </c:pt>
                <c:pt idx="109">
                  <c:v>70.47</c:v>
                </c:pt>
                <c:pt idx="110">
                  <c:v>69.11</c:v>
                </c:pt>
                <c:pt idx="111">
                  <c:v>68.180000000000007</c:v>
                </c:pt>
                <c:pt idx="112">
                  <c:v>67.61</c:v>
                </c:pt>
                <c:pt idx="113">
                  <c:v>67.36</c:v>
                </c:pt>
                <c:pt idx="114">
                  <c:v>67.39</c:v>
                </c:pt>
                <c:pt idx="115">
                  <c:v>67.67</c:v>
                </c:pt>
                <c:pt idx="116">
                  <c:v>68.150000000000006</c:v>
                </c:pt>
                <c:pt idx="117">
                  <c:v>68.62</c:v>
                </c:pt>
              </c:numCache>
            </c:numRef>
          </c:val>
          <c:smooth val="0"/>
          <c:extLst>
            <c:ext xmlns:c16="http://schemas.microsoft.com/office/drawing/2014/chart" uri="{C3380CC4-5D6E-409C-BE32-E72D297353CC}">
              <c16:uniqueId val="{00000016-20CA-4C1B-A834-BE5B83AD144A}"/>
            </c:ext>
          </c:extLst>
        </c:ser>
        <c:ser>
          <c:idx val="23"/>
          <c:order val="23"/>
          <c:tx>
            <c:strRef>
              <c:f>'50..800_F2'!$Y$3:$Y$4</c:f>
              <c:strCache>
                <c:ptCount val="1"/>
                <c:pt idx="0">
                  <c:v>F03</c:v>
                </c:pt>
              </c:strCache>
            </c:strRef>
          </c:tx>
          <c:spPr>
            <a:ln w="28575" cap="rnd">
              <a:solidFill>
                <a:schemeClr val="accent6">
                  <a:lumMod val="8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'50..800_F2'!$Y$5:$Y$123</c:f>
              <c:numCache>
                <c:formatCode>General</c:formatCode>
                <c:ptCount val="118"/>
                <c:pt idx="0">
                  <c:v>299.11</c:v>
                </c:pt>
                <c:pt idx="1">
                  <c:v>301.45</c:v>
                </c:pt>
                <c:pt idx="2">
                  <c:v>304.3</c:v>
                </c:pt>
                <c:pt idx="3">
                  <c:v>307.35000000000002</c:v>
                </c:pt>
                <c:pt idx="4">
                  <c:v>310.55</c:v>
                </c:pt>
                <c:pt idx="5">
                  <c:v>313.89</c:v>
                </c:pt>
                <c:pt idx="6">
                  <c:v>317.38</c:v>
                </c:pt>
                <c:pt idx="7">
                  <c:v>321.04000000000002</c:v>
                </c:pt>
                <c:pt idx="8">
                  <c:v>324.87</c:v>
                </c:pt>
                <c:pt idx="9">
                  <c:v>328.88</c:v>
                </c:pt>
                <c:pt idx="10">
                  <c:v>333.09</c:v>
                </c:pt>
                <c:pt idx="11">
                  <c:v>337.51</c:v>
                </c:pt>
                <c:pt idx="12">
                  <c:v>342.14</c:v>
                </c:pt>
                <c:pt idx="13">
                  <c:v>347.01</c:v>
                </c:pt>
                <c:pt idx="14">
                  <c:v>352.11</c:v>
                </c:pt>
                <c:pt idx="15">
                  <c:v>357.48</c:v>
                </c:pt>
                <c:pt idx="16">
                  <c:v>363.12</c:v>
                </c:pt>
                <c:pt idx="17">
                  <c:v>369.05</c:v>
                </c:pt>
                <c:pt idx="18">
                  <c:v>375.28</c:v>
                </c:pt>
                <c:pt idx="19">
                  <c:v>381.83</c:v>
                </c:pt>
                <c:pt idx="20">
                  <c:v>388.71</c:v>
                </c:pt>
                <c:pt idx="21">
                  <c:v>395.95</c:v>
                </c:pt>
                <c:pt idx="22">
                  <c:v>403.55</c:v>
                </c:pt>
                <c:pt idx="23">
                  <c:v>411.53</c:v>
                </c:pt>
                <c:pt idx="24">
                  <c:v>419.9</c:v>
                </c:pt>
                <c:pt idx="25">
                  <c:v>428.69</c:v>
                </c:pt>
                <c:pt idx="26">
                  <c:v>437.89</c:v>
                </c:pt>
                <c:pt idx="27">
                  <c:v>447.51</c:v>
                </c:pt>
                <c:pt idx="28">
                  <c:v>457.57</c:v>
                </c:pt>
                <c:pt idx="29">
                  <c:v>468.06</c:v>
                </c:pt>
                <c:pt idx="30">
                  <c:v>478.98</c:v>
                </c:pt>
                <c:pt idx="31">
                  <c:v>490.32</c:v>
                </c:pt>
                <c:pt idx="32">
                  <c:v>502.07</c:v>
                </c:pt>
                <c:pt idx="33">
                  <c:v>514.20000000000005</c:v>
                </c:pt>
                <c:pt idx="34">
                  <c:v>526.66999999999996</c:v>
                </c:pt>
                <c:pt idx="35">
                  <c:v>539.46</c:v>
                </c:pt>
                <c:pt idx="36">
                  <c:v>552.51</c:v>
                </c:pt>
                <c:pt idx="37">
                  <c:v>565.77</c:v>
                </c:pt>
                <c:pt idx="38">
                  <c:v>579.16999999999996</c:v>
                </c:pt>
                <c:pt idx="39">
                  <c:v>592.63</c:v>
                </c:pt>
                <c:pt idx="40">
                  <c:v>606.07000000000005</c:v>
                </c:pt>
                <c:pt idx="41">
                  <c:v>619.41</c:v>
                </c:pt>
                <c:pt idx="42">
                  <c:v>632.55999999999995</c:v>
                </c:pt>
                <c:pt idx="43">
                  <c:v>645.44000000000005</c:v>
                </c:pt>
                <c:pt idx="44">
                  <c:v>657.96</c:v>
                </c:pt>
                <c:pt idx="45">
                  <c:v>670.06</c:v>
                </c:pt>
                <c:pt idx="46">
                  <c:v>681.68</c:v>
                </c:pt>
                <c:pt idx="47">
                  <c:v>692.8</c:v>
                </c:pt>
                <c:pt idx="48">
                  <c:v>703.42</c:v>
                </c:pt>
                <c:pt idx="49">
                  <c:v>713.57</c:v>
                </c:pt>
                <c:pt idx="50">
                  <c:v>723.33</c:v>
                </c:pt>
                <c:pt idx="51">
                  <c:v>732.82</c:v>
                </c:pt>
                <c:pt idx="52">
                  <c:v>742.22</c:v>
                </c:pt>
                <c:pt idx="53">
                  <c:v>751.73</c:v>
                </c:pt>
                <c:pt idx="54">
                  <c:v>761.63</c:v>
                </c:pt>
                <c:pt idx="55">
                  <c:v>772.22</c:v>
                </c:pt>
                <c:pt idx="56">
                  <c:v>783.85</c:v>
                </c:pt>
                <c:pt idx="57">
                  <c:v>796.86</c:v>
                </c:pt>
                <c:pt idx="58">
                  <c:v>811.61</c:v>
                </c:pt>
                <c:pt idx="59">
                  <c:v>828.44</c:v>
                </c:pt>
                <c:pt idx="60">
                  <c:v>847.68</c:v>
                </c:pt>
                <c:pt idx="61">
                  <c:v>869.63</c:v>
                </c:pt>
                <c:pt idx="62">
                  <c:v>894.67</c:v>
                </c:pt>
                <c:pt idx="63">
                  <c:v>923.27</c:v>
                </c:pt>
                <c:pt idx="64">
                  <c:v>956.21</c:v>
                </c:pt>
                <c:pt idx="65">
                  <c:v>994.63</c:v>
                </c:pt>
                <c:pt idx="66">
                  <c:v>1040.27</c:v>
                </c:pt>
                <c:pt idx="67">
                  <c:v>1095.55</c:v>
                </c:pt>
                <c:pt idx="68">
                  <c:v>1163.78</c:v>
                </c:pt>
                <c:pt idx="69">
                  <c:v>1249.45</c:v>
                </c:pt>
                <c:pt idx="70">
                  <c:v>1358.91</c:v>
                </c:pt>
                <c:pt idx="71">
                  <c:v>1501.52</c:v>
                </c:pt>
                <c:pt idx="72">
                  <c:v>1691.07</c:v>
                </c:pt>
                <c:pt idx="73">
                  <c:v>1947.64</c:v>
                </c:pt>
                <c:pt idx="74">
                  <c:v>2299.7399999999998</c:v>
                </c:pt>
                <c:pt idx="75">
                  <c:v>2787.47</c:v>
                </c:pt>
                <c:pt idx="76">
                  <c:v>3465.78</c:v>
                </c:pt>
                <c:pt idx="77">
                  <c:v>4404.18</c:v>
                </c:pt>
                <c:pt idx="78">
                  <c:v>5661.44</c:v>
                </c:pt>
                <c:pt idx="79">
                  <c:v>7131.47</c:v>
                </c:pt>
                <c:pt idx="80">
                  <c:v>8444.01</c:v>
                </c:pt>
                <c:pt idx="81">
                  <c:v>9179.2199999999993</c:v>
                </c:pt>
                <c:pt idx="82">
                  <c:v>9023.26</c:v>
                </c:pt>
                <c:pt idx="83">
                  <c:v>7921.15</c:v>
                </c:pt>
                <c:pt idx="84">
                  <c:v>6161.96</c:v>
                </c:pt>
                <c:pt idx="85">
                  <c:v>4322.53</c:v>
                </c:pt>
                <c:pt idx="86">
                  <c:v>2913.94</c:v>
                </c:pt>
                <c:pt idx="87">
                  <c:v>1984.99</c:v>
                </c:pt>
                <c:pt idx="88">
                  <c:v>1387.74</c:v>
                </c:pt>
                <c:pt idx="89">
                  <c:v>999.62</c:v>
                </c:pt>
                <c:pt idx="90">
                  <c:v>741.92</c:v>
                </c:pt>
                <c:pt idx="91">
                  <c:v>566.51</c:v>
                </c:pt>
                <c:pt idx="92">
                  <c:v>444.04</c:v>
                </c:pt>
                <c:pt idx="93">
                  <c:v>356.41</c:v>
                </c:pt>
                <c:pt idx="94">
                  <c:v>292.22000000000003</c:v>
                </c:pt>
                <c:pt idx="95">
                  <c:v>244.15</c:v>
                </c:pt>
                <c:pt idx="96">
                  <c:v>207.42</c:v>
                </c:pt>
                <c:pt idx="97">
                  <c:v>178.84</c:v>
                </c:pt>
                <c:pt idx="98">
                  <c:v>156.27000000000001</c:v>
                </c:pt>
                <c:pt idx="99">
                  <c:v>138.22</c:v>
                </c:pt>
                <c:pt idx="100">
                  <c:v>123.68</c:v>
                </c:pt>
                <c:pt idx="101">
                  <c:v>111.9</c:v>
                </c:pt>
                <c:pt idx="102">
                  <c:v>102.35</c:v>
                </c:pt>
                <c:pt idx="103">
                  <c:v>94.6</c:v>
                </c:pt>
                <c:pt idx="104">
                  <c:v>88.34</c:v>
                </c:pt>
                <c:pt idx="105">
                  <c:v>83.31</c:v>
                </c:pt>
                <c:pt idx="106">
                  <c:v>79.3</c:v>
                </c:pt>
                <c:pt idx="107">
                  <c:v>76.13</c:v>
                </c:pt>
                <c:pt idx="108">
                  <c:v>73.67</c:v>
                </c:pt>
                <c:pt idx="109">
                  <c:v>71.8</c:v>
                </c:pt>
                <c:pt idx="110">
                  <c:v>70.430000000000007</c:v>
                </c:pt>
                <c:pt idx="111">
                  <c:v>69.5</c:v>
                </c:pt>
                <c:pt idx="112">
                  <c:v>68.94</c:v>
                </c:pt>
                <c:pt idx="113">
                  <c:v>68.7</c:v>
                </c:pt>
                <c:pt idx="114">
                  <c:v>68.75</c:v>
                </c:pt>
                <c:pt idx="115">
                  <c:v>69.05</c:v>
                </c:pt>
                <c:pt idx="116">
                  <c:v>69.55</c:v>
                </c:pt>
                <c:pt idx="117">
                  <c:v>70.05</c:v>
                </c:pt>
              </c:numCache>
            </c:numRef>
          </c:val>
          <c:smooth val="0"/>
          <c:extLst>
            <c:ext xmlns:c16="http://schemas.microsoft.com/office/drawing/2014/chart" uri="{C3380CC4-5D6E-409C-BE32-E72D297353CC}">
              <c16:uniqueId val="{00000017-20CA-4C1B-A834-BE5B83AD144A}"/>
            </c:ext>
          </c:extLst>
        </c:ser>
        <c:ser>
          <c:idx val="24"/>
          <c:order val="24"/>
          <c:tx>
            <c:strRef>
              <c:f>'50..800_F2'!$Z$3:$Z$4</c:f>
              <c:strCache>
                <c:ptCount val="1"/>
                <c:pt idx="0">
                  <c:v>F04</c:v>
                </c:pt>
              </c:strCache>
            </c:strRef>
          </c:tx>
          <c:spPr>
            <a:ln w="28575" cap="rnd">
              <a:solidFill>
                <a:schemeClr val="accent1">
                  <a:lumMod val="60000"/>
                  <a:lumOff val="4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'50..800_F2'!$Z$5:$Z$123</c:f>
              <c:numCache>
                <c:formatCode>General</c:formatCode>
                <c:ptCount val="118"/>
                <c:pt idx="0">
                  <c:v>281.76</c:v>
                </c:pt>
                <c:pt idx="1">
                  <c:v>284.05</c:v>
                </c:pt>
                <c:pt idx="2">
                  <c:v>286.88</c:v>
                </c:pt>
                <c:pt idx="3">
                  <c:v>289.89999999999998</c:v>
                </c:pt>
                <c:pt idx="4">
                  <c:v>293.07</c:v>
                </c:pt>
                <c:pt idx="5">
                  <c:v>296.38</c:v>
                </c:pt>
                <c:pt idx="6">
                  <c:v>299.83999999999997</c:v>
                </c:pt>
                <c:pt idx="7">
                  <c:v>303.45999999999998</c:v>
                </c:pt>
                <c:pt idx="8">
                  <c:v>307.26</c:v>
                </c:pt>
                <c:pt idx="9">
                  <c:v>311.23</c:v>
                </c:pt>
                <c:pt idx="10">
                  <c:v>315.39</c:v>
                </c:pt>
                <c:pt idx="11">
                  <c:v>319.76</c:v>
                </c:pt>
                <c:pt idx="12">
                  <c:v>324.33999999999997</c:v>
                </c:pt>
                <c:pt idx="13">
                  <c:v>329.14</c:v>
                </c:pt>
                <c:pt idx="14">
                  <c:v>334.18</c:v>
                </c:pt>
                <c:pt idx="15">
                  <c:v>339.46</c:v>
                </c:pt>
                <c:pt idx="16">
                  <c:v>345.01</c:v>
                </c:pt>
                <c:pt idx="17">
                  <c:v>350.84</c:v>
                </c:pt>
                <c:pt idx="18">
                  <c:v>356.95</c:v>
                </c:pt>
                <c:pt idx="19">
                  <c:v>363.37</c:v>
                </c:pt>
                <c:pt idx="20">
                  <c:v>370.11</c:v>
                </c:pt>
                <c:pt idx="21">
                  <c:v>377.17</c:v>
                </c:pt>
                <c:pt idx="22">
                  <c:v>384.57</c:v>
                </c:pt>
                <c:pt idx="23">
                  <c:v>392.33</c:v>
                </c:pt>
                <c:pt idx="24">
                  <c:v>400.45</c:v>
                </c:pt>
                <c:pt idx="25">
                  <c:v>408.93</c:v>
                </c:pt>
                <c:pt idx="26">
                  <c:v>417.8</c:v>
                </c:pt>
                <c:pt idx="27">
                  <c:v>427.04</c:v>
                </c:pt>
                <c:pt idx="28">
                  <c:v>436.66</c:v>
                </c:pt>
                <c:pt idx="29">
                  <c:v>446.64</c:v>
                </c:pt>
                <c:pt idx="30">
                  <c:v>456.99</c:v>
                </c:pt>
                <c:pt idx="31">
                  <c:v>467.67</c:v>
                </c:pt>
                <c:pt idx="32">
                  <c:v>478.68</c:v>
                </c:pt>
                <c:pt idx="33">
                  <c:v>489.96</c:v>
                </c:pt>
                <c:pt idx="34">
                  <c:v>501.48</c:v>
                </c:pt>
                <c:pt idx="35">
                  <c:v>513.19000000000005</c:v>
                </c:pt>
                <c:pt idx="36">
                  <c:v>525.03</c:v>
                </c:pt>
                <c:pt idx="37">
                  <c:v>536.92999999999995</c:v>
                </c:pt>
                <c:pt idx="38">
                  <c:v>548.80999999999995</c:v>
                </c:pt>
                <c:pt idx="39">
                  <c:v>560.58000000000004</c:v>
                </c:pt>
                <c:pt idx="40">
                  <c:v>572.14</c:v>
                </c:pt>
                <c:pt idx="41">
                  <c:v>583.39</c:v>
                </c:pt>
                <c:pt idx="42">
                  <c:v>594.22</c:v>
                </c:pt>
                <c:pt idx="43">
                  <c:v>604.54</c:v>
                </c:pt>
                <c:pt idx="44">
                  <c:v>614.24</c:v>
                </c:pt>
                <c:pt idx="45">
                  <c:v>623.23</c:v>
                </c:pt>
                <c:pt idx="46">
                  <c:v>631.42999999999995</c:v>
                </c:pt>
                <c:pt idx="47">
                  <c:v>638.78</c:v>
                </c:pt>
                <c:pt idx="48">
                  <c:v>645.26</c:v>
                </c:pt>
                <c:pt idx="49">
                  <c:v>650.86</c:v>
                </c:pt>
                <c:pt idx="50">
                  <c:v>655.62</c:v>
                </c:pt>
                <c:pt idx="51">
                  <c:v>659.64</c:v>
                </c:pt>
                <c:pt idx="52">
                  <c:v>663.05</c:v>
                </c:pt>
                <c:pt idx="53">
                  <c:v>666.02</c:v>
                </c:pt>
                <c:pt idx="54">
                  <c:v>668.81</c:v>
                </c:pt>
                <c:pt idx="55">
                  <c:v>671.7</c:v>
                </c:pt>
                <c:pt idx="56">
                  <c:v>675.02</c:v>
                </c:pt>
                <c:pt idx="57">
                  <c:v>679.15</c:v>
                </c:pt>
                <c:pt idx="58">
                  <c:v>684.51</c:v>
                </c:pt>
                <c:pt idx="59">
                  <c:v>691.51</c:v>
                </c:pt>
                <c:pt idx="60">
                  <c:v>700.62</c:v>
                </c:pt>
                <c:pt idx="61">
                  <c:v>712.29</c:v>
                </c:pt>
                <c:pt idx="62">
                  <c:v>726.99</c:v>
                </c:pt>
                <c:pt idx="63">
                  <c:v>745.24</c:v>
                </c:pt>
                <c:pt idx="64">
                  <c:v>767.63</c:v>
                </c:pt>
                <c:pt idx="65">
                  <c:v>794.96</c:v>
                </c:pt>
                <c:pt idx="66">
                  <c:v>828.48</c:v>
                </c:pt>
                <c:pt idx="67">
                  <c:v>870.22</c:v>
                </c:pt>
                <c:pt idx="68">
                  <c:v>923.54</c:v>
                </c:pt>
                <c:pt idx="69">
                  <c:v>993.78</c:v>
                </c:pt>
                <c:pt idx="70">
                  <c:v>1088.8499999999999</c:v>
                </c:pt>
                <c:pt idx="71">
                  <c:v>1219.6500000000001</c:v>
                </c:pt>
                <c:pt idx="72">
                  <c:v>1399.88</c:v>
                </c:pt>
                <c:pt idx="73">
                  <c:v>1646.11</c:v>
                </c:pt>
                <c:pt idx="74">
                  <c:v>1979.33</c:v>
                </c:pt>
                <c:pt idx="75">
                  <c:v>2429.85</c:v>
                </c:pt>
                <c:pt idx="76">
                  <c:v>3044.37</c:v>
                </c:pt>
                <c:pt idx="77">
                  <c:v>3887.55</c:v>
                </c:pt>
                <c:pt idx="78">
                  <c:v>5015.54</c:v>
                </c:pt>
                <c:pt idx="79">
                  <c:v>6333.21</c:v>
                </c:pt>
                <c:pt idx="80">
                  <c:v>7508.44</c:v>
                </c:pt>
                <c:pt idx="81">
                  <c:v>8167.65</c:v>
                </c:pt>
                <c:pt idx="82">
                  <c:v>8032.83</c:v>
                </c:pt>
                <c:pt idx="83">
                  <c:v>7055.28</c:v>
                </c:pt>
                <c:pt idx="84">
                  <c:v>5490.94</c:v>
                </c:pt>
                <c:pt idx="85">
                  <c:v>3851.86</c:v>
                </c:pt>
                <c:pt idx="86">
                  <c:v>2594.19</c:v>
                </c:pt>
                <c:pt idx="87">
                  <c:v>1764.03</c:v>
                </c:pt>
                <c:pt idx="88">
                  <c:v>1230.5</c:v>
                </c:pt>
                <c:pt idx="89">
                  <c:v>884.27</c:v>
                </c:pt>
                <c:pt idx="90">
                  <c:v>654.79999999999995</c:v>
                </c:pt>
                <c:pt idx="91">
                  <c:v>498.82</c:v>
                </c:pt>
                <c:pt idx="92">
                  <c:v>390</c:v>
                </c:pt>
                <c:pt idx="93">
                  <c:v>312.14</c:v>
                </c:pt>
                <c:pt idx="94">
                  <c:v>255.1</c:v>
                </c:pt>
                <c:pt idx="95">
                  <c:v>212.4</c:v>
                </c:pt>
                <c:pt idx="96">
                  <c:v>179.78</c:v>
                </c:pt>
                <c:pt idx="97">
                  <c:v>154.43</c:v>
                </c:pt>
                <c:pt idx="98">
                  <c:v>134.43</c:v>
                </c:pt>
                <c:pt idx="99">
                  <c:v>118.46</c:v>
                </c:pt>
                <c:pt idx="100">
                  <c:v>105.6</c:v>
                </c:pt>
                <c:pt idx="101">
                  <c:v>95.21</c:v>
                </c:pt>
                <c:pt idx="102">
                  <c:v>86.79</c:v>
                </c:pt>
                <c:pt idx="103">
                  <c:v>79.989999999999995</c:v>
                </c:pt>
                <c:pt idx="104">
                  <c:v>74.510000000000005</c:v>
                </c:pt>
                <c:pt idx="105">
                  <c:v>70.12</c:v>
                </c:pt>
                <c:pt idx="106">
                  <c:v>66.63</c:v>
                </c:pt>
                <c:pt idx="107">
                  <c:v>63.88</c:v>
                </c:pt>
                <c:pt idx="108">
                  <c:v>61.77</c:v>
                </c:pt>
                <c:pt idx="109">
                  <c:v>60.17</c:v>
                </c:pt>
                <c:pt idx="110">
                  <c:v>59.02</c:v>
                </c:pt>
                <c:pt idx="111">
                  <c:v>58.24</c:v>
                </c:pt>
                <c:pt idx="112">
                  <c:v>57.79</c:v>
                </c:pt>
                <c:pt idx="113">
                  <c:v>57.62</c:v>
                </c:pt>
                <c:pt idx="114">
                  <c:v>57.7</c:v>
                </c:pt>
                <c:pt idx="115">
                  <c:v>58</c:v>
                </c:pt>
                <c:pt idx="116">
                  <c:v>58.47</c:v>
                </c:pt>
                <c:pt idx="117">
                  <c:v>58.92</c:v>
                </c:pt>
              </c:numCache>
            </c:numRef>
          </c:val>
          <c:smooth val="0"/>
          <c:extLst>
            <c:ext xmlns:c16="http://schemas.microsoft.com/office/drawing/2014/chart" uri="{C3380CC4-5D6E-409C-BE32-E72D297353CC}">
              <c16:uniqueId val="{00000018-20CA-4C1B-A834-BE5B83AD144A}"/>
            </c:ext>
          </c:extLst>
        </c:ser>
        <c:ser>
          <c:idx val="25"/>
          <c:order val="25"/>
          <c:tx>
            <c:strRef>
              <c:f>'50..800_F2'!$AA$3:$AA$4</c:f>
              <c:strCache>
                <c:ptCount val="1"/>
                <c:pt idx="0">
                  <c:v>F05</c:v>
                </c:pt>
              </c:strCache>
            </c:strRef>
          </c:tx>
          <c:spPr>
            <a:ln w="28575" cap="rnd">
              <a:solidFill>
                <a:schemeClr val="accent2">
                  <a:lumMod val="60000"/>
                  <a:lumOff val="4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'50..800_F2'!$AA$5:$AA$123</c:f>
              <c:numCache>
                <c:formatCode>General</c:formatCode>
                <c:ptCount val="118"/>
                <c:pt idx="0">
                  <c:v>387.13</c:v>
                </c:pt>
                <c:pt idx="1">
                  <c:v>390.08</c:v>
                </c:pt>
                <c:pt idx="2">
                  <c:v>393.64</c:v>
                </c:pt>
                <c:pt idx="3">
                  <c:v>397.42</c:v>
                </c:pt>
                <c:pt idx="4">
                  <c:v>401.35</c:v>
                </c:pt>
                <c:pt idx="5">
                  <c:v>405.42</c:v>
                </c:pt>
                <c:pt idx="6">
                  <c:v>409.66</c:v>
                </c:pt>
                <c:pt idx="7">
                  <c:v>414.07</c:v>
                </c:pt>
                <c:pt idx="8">
                  <c:v>418.65</c:v>
                </c:pt>
                <c:pt idx="9">
                  <c:v>423.42</c:v>
                </c:pt>
                <c:pt idx="10">
                  <c:v>428.38</c:v>
                </c:pt>
                <c:pt idx="11">
                  <c:v>433.55</c:v>
                </c:pt>
                <c:pt idx="12">
                  <c:v>438.93</c:v>
                </c:pt>
                <c:pt idx="13">
                  <c:v>444.53</c:v>
                </c:pt>
                <c:pt idx="14">
                  <c:v>450.37</c:v>
                </c:pt>
                <c:pt idx="15">
                  <c:v>456.45</c:v>
                </c:pt>
                <c:pt idx="16">
                  <c:v>462.79</c:v>
                </c:pt>
                <c:pt idx="17">
                  <c:v>469.39</c:v>
                </c:pt>
                <c:pt idx="18">
                  <c:v>476.26</c:v>
                </c:pt>
                <c:pt idx="19">
                  <c:v>483.42</c:v>
                </c:pt>
                <c:pt idx="20">
                  <c:v>490.86</c:v>
                </c:pt>
                <c:pt idx="21">
                  <c:v>498.6</c:v>
                </c:pt>
                <c:pt idx="22">
                  <c:v>506.64</c:v>
                </c:pt>
                <c:pt idx="23">
                  <c:v>514.99</c:v>
                </c:pt>
                <c:pt idx="24">
                  <c:v>523.65</c:v>
                </c:pt>
                <c:pt idx="25">
                  <c:v>532.61</c:v>
                </c:pt>
                <c:pt idx="26">
                  <c:v>541.88</c:v>
                </c:pt>
                <c:pt idx="27">
                  <c:v>551.44000000000005</c:v>
                </c:pt>
                <c:pt idx="28">
                  <c:v>561.29</c:v>
                </c:pt>
                <c:pt idx="29">
                  <c:v>571.4</c:v>
                </c:pt>
                <c:pt idx="30">
                  <c:v>581.77</c:v>
                </c:pt>
                <c:pt idx="31">
                  <c:v>592.35</c:v>
                </c:pt>
                <c:pt idx="32">
                  <c:v>603.13</c:v>
                </c:pt>
                <c:pt idx="33">
                  <c:v>614.05999999999995</c:v>
                </c:pt>
                <c:pt idx="34">
                  <c:v>625.09</c:v>
                </c:pt>
                <c:pt idx="35">
                  <c:v>636.19000000000005</c:v>
                </c:pt>
                <c:pt idx="36">
                  <c:v>647.29</c:v>
                </c:pt>
                <c:pt idx="37">
                  <c:v>658.33</c:v>
                </c:pt>
                <c:pt idx="38">
                  <c:v>669.25</c:v>
                </c:pt>
                <c:pt idx="39">
                  <c:v>679.98</c:v>
                </c:pt>
                <c:pt idx="40">
                  <c:v>690.45</c:v>
                </c:pt>
                <c:pt idx="41">
                  <c:v>700.59</c:v>
                </c:pt>
                <c:pt idx="42">
                  <c:v>710.33</c:v>
                </c:pt>
                <c:pt idx="43">
                  <c:v>719.61</c:v>
                </c:pt>
                <c:pt idx="44">
                  <c:v>728.35</c:v>
                </c:pt>
                <c:pt idx="45">
                  <c:v>736.51</c:v>
                </c:pt>
                <c:pt idx="46">
                  <c:v>744.04</c:v>
                </c:pt>
                <c:pt idx="47">
                  <c:v>750.91</c:v>
                </c:pt>
                <c:pt idx="48">
                  <c:v>757.11</c:v>
                </c:pt>
                <c:pt idx="49">
                  <c:v>762.64</c:v>
                </c:pt>
                <c:pt idx="50">
                  <c:v>767.54</c:v>
                </c:pt>
                <c:pt idx="51">
                  <c:v>771.86</c:v>
                </c:pt>
                <c:pt idx="52">
                  <c:v>775.69</c:v>
                </c:pt>
                <c:pt idx="53">
                  <c:v>779.17</c:v>
                </c:pt>
                <c:pt idx="54">
                  <c:v>782.44</c:v>
                </c:pt>
                <c:pt idx="55">
                  <c:v>785.71</c:v>
                </c:pt>
                <c:pt idx="56">
                  <c:v>789.2</c:v>
                </c:pt>
                <c:pt idx="57">
                  <c:v>793.18</c:v>
                </c:pt>
                <c:pt idx="58">
                  <c:v>797.95</c:v>
                </c:pt>
                <c:pt idx="59">
                  <c:v>803.84</c:v>
                </c:pt>
                <c:pt idx="60">
                  <c:v>811.22</c:v>
                </c:pt>
                <c:pt idx="61">
                  <c:v>820.52</c:v>
                </c:pt>
                <c:pt idx="62">
                  <c:v>832.26</c:v>
                </c:pt>
                <c:pt idx="63">
                  <c:v>847.12</c:v>
                </c:pt>
                <c:pt idx="64">
                  <c:v>866.04</c:v>
                </c:pt>
                <c:pt idx="65">
                  <c:v>890.37</c:v>
                </c:pt>
                <c:pt idx="66">
                  <c:v>922.12</c:v>
                </c:pt>
                <c:pt idx="67">
                  <c:v>964.3</c:v>
                </c:pt>
                <c:pt idx="68">
                  <c:v>1021.35</c:v>
                </c:pt>
                <c:pt idx="69">
                  <c:v>1099.55</c:v>
                </c:pt>
                <c:pt idx="70">
                  <c:v>1207.4000000000001</c:v>
                </c:pt>
                <c:pt idx="71">
                  <c:v>1355.61</c:v>
                </c:pt>
                <c:pt idx="72">
                  <c:v>1556.91</c:v>
                </c:pt>
                <c:pt idx="73">
                  <c:v>1826.47</c:v>
                </c:pt>
                <c:pt idx="74">
                  <c:v>2184.89</c:v>
                </c:pt>
                <c:pt idx="75">
                  <c:v>2664.76</c:v>
                </c:pt>
                <c:pt idx="76">
                  <c:v>3317.75</c:v>
                </c:pt>
                <c:pt idx="77">
                  <c:v>4213.78</c:v>
                </c:pt>
                <c:pt idx="78">
                  <c:v>5415.62</c:v>
                </c:pt>
                <c:pt idx="79">
                  <c:v>6856.39</c:v>
                </c:pt>
                <c:pt idx="80">
                  <c:v>8201.64</c:v>
                </c:pt>
                <c:pt idx="81">
                  <c:v>9027.59</c:v>
                </c:pt>
                <c:pt idx="82">
                  <c:v>9004.91</c:v>
                </c:pt>
                <c:pt idx="83">
                  <c:v>8038.18</c:v>
                </c:pt>
                <c:pt idx="84">
                  <c:v>6360.89</c:v>
                </c:pt>
                <c:pt idx="85">
                  <c:v>4495.8999999999996</c:v>
                </c:pt>
                <c:pt idx="86">
                  <c:v>3005.9</c:v>
                </c:pt>
                <c:pt idx="87">
                  <c:v>2021.88</c:v>
                </c:pt>
                <c:pt idx="88">
                  <c:v>1396.13</c:v>
                </c:pt>
                <c:pt idx="89">
                  <c:v>994.4</c:v>
                </c:pt>
                <c:pt idx="90">
                  <c:v>730.72</c:v>
                </c:pt>
                <c:pt idx="91">
                  <c:v>553.04</c:v>
                </c:pt>
                <c:pt idx="92">
                  <c:v>430.08</c:v>
                </c:pt>
                <c:pt idx="93">
                  <c:v>342.8</c:v>
                </c:pt>
                <c:pt idx="94">
                  <c:v>279.35000000000002</c:v>
                </c:pt>
                <c:pt idx="95">
                  <c:v>232.18</c:v>
                </c:pt>
                <c:pt idx="96">
                  <c:v>196.38</c:v>
                </c:pt>
                <c:pt idx="97">
                  <c:v>168.68</c:v>
                </c:pt>
                <c:pt idx="98">
                  <c:v>146.91</c:v>
                </c:pt>
                <c:pt idx="99">
                  <c:v>129.56</c:v>
                </c:pt>
                <c:pt idx="100">
                  <c:v>115.61</c:v>
                </c:pt>
                <c:pt idx="101">
                  <c:v>104.34</c:v>
                </c:pt>
                <c:pt idx="102">
                  <c:v>95.2</c:v>
                </c:pt>
                <c:pt idx="103">
                  <c:v>87.8</c:v>
                </c:pt>
                <c:pt idx="104">
                  <c:v>81.84</c:v>
                </c:pt>
                <c:pt idx="105">
                  <c:v>77.06</c:v>
                </c:pt>
                <c:pt idx="106">
                  <c:v>73.260000000000005</c:v>
                </c:pt>
                <c:pt idx="107">
                  <c:v>70.27</c:v>
                </c:pt>
                <c:pt idx="108">
                  <c:v>67.97</c:v>
                </c:pt>
                <c:pt idx="109">
                  <c:v>66.23</c:v>
                </c:pt>
                <c:pt idx="110">
                  <c:v>64.989999999999995</c:v>
                </c:pt>
                <c:pt idx="111">
                  <c:v>64.150000000000006</c:v>
                </c:pt>
                <c:pt idx="112">
                  <c:v>63.67</c:v>
                </c:pt>
                <c:pt idx="113">
                  <c:v>63.51</c:v>
                </c:pt>
                <c:pt idx="114">
                  <c:v>63.62</c:v>
                </c:pt>
                <c:pt idx="115">
                  <c:v>63.97</c:v>
                </c:pt>
                <c:pt idx="116">
                  <c:v>64.5</c:v>
                </c:pt>
                <c:pt idx="117">
                  <c:v>65.02</c:v>
                </c:pt>
              </c:numCache>
            </c:numRef>
          </c:val>
          <c:smooth val="0"/>
          <c:extLst>
            <c:ext xmlns:c16="http://schemas.microsoft.com/office/drawing/2014/chart" uri="{C3380CC4-5D6E-409C-BE32-E72D297353CC}">
              <c16:uniqueId val="{00000019-20CA-4C1B-A834-BE5B83AD144A}"/>
            </c:ext>
          </c:extLst>
        </c:ser>
        <c:ser>
          <c:idx val="26"/>
          <c:order val="26"/>
          <c:tx>
            <c:strRef>
              <c:f>'50..800_F2'!$AB$3:$AB$4</c:f>
              <c:strCache>
                <c:ptCount val="1"/>
                <c:pt idx="0">
                  <c:v>F06</c:v>
                </c:pt>
              </c:strCache>
            </c:strRef>
          </c:tx>
          <c:spPr>
            <a:ln w="28575" cap="rnd">
              <a:solidFill>
                <a:schemeClr val="accent3">
                  <a:lumMod val="60000"/>
                  <a:lumOff val="4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'50..800_F2'!$AB$5:$AB$123</c:f>
              <c:numCache>
                <c:formatCode>General</c:formatCode>
                <c:ptCount val="118"/>
                <c:pt idx="0">
                  <c:v>360.94</c:v>
                </c:pt>
                <c:pt idx="1">
                  <c:v>363.81</c:v>
                </c:pt>
                <c:pt idx="2">
                  <c:v>367.32</c:v>
                </c:pt>
                <c:pt idx="3">
                  <c:v>371.07</c:v>
                </c:pt>
                <c:pt idx="4">
                  <c:v>374.98</c:v>
                </c:pt>
                <c:pt idx="5">
                  <c:v>379.06</c:v>
                </c:pt>
                <c:pt idx="6">
                  <c:v>383.31</c:v>
                </c:pt>
                <c:pt idx="7">
                  <c:v>387.75</c:v>
                </c:pt>
                <c:pt idx="8">
                  <c:v>392.38</c:v>
                </c:pt>
                <c:pt idx="9">
                  <c:v>397.22</c:v>
                </c:pt>
                <c:pt idx="10">
                  <c:v>402.28</c:v>
                </c:pt>
                <c:pt idx="11">
                  <c:v>407.57</c:v>
                </c:pt>
                <c:pt idx="12">
                  <c:v>413.09</c:v>
                </c:pt>
                <c:pt idx="13">
                  <c:v>418.87</c:v>
                </c:pt>
                <c:pt idx="14">
                  <c:v>424.91</c:v>
                </c:pt>
                <c:pt idx="15">
                  <c:v>431.23</c:v>
                </c:pt>
                <c:pt idx="16">
                  <c:v>437.84</c:v>
                </c:pt>
                <c:pt idx="17">
                  <c:v>444.75</c:v>
                </c:pt>
                <c:pt idx="18">
                  <c:v>451.98</c:v>
                </c:pt>
                <c:pt idx="19">
                  <c:v>459.53</c:v>
                </c:pt>
                <c:pt idx="20">
                  <c:v>467.42</c:v>
                </c:pt>
                <c:pt idx="21">
                  <c:v>475.65</c:v>
                </c:pt>
                <c:pt idx="22">
                  <c:v>484.25</c:v>
                </c:pt>
                <c:pt idx="23">
                  <c:v>493.2</c:v>
                </c:pt>
                <c:pt idx="24">
                  <c:v>502.53</c:v>
                </c:pt>
                <c:pt idx="25">
                  <c:v>512.22</c:v>
                </c:pt>
                <c:pt idx="26">
                  <c:v>522.29</c:v>
                </c:pt>
                <c:pt idx="27">
                  <c:v>532.72</c:v>
                </c:pt>
                <c:pt idx="28">
                  <c:v>543.5</c:v>
                </c:pt>
                <c:pt idx="29">
                  <c:v>554.61</c:v>
                </c:pt>
                <c:pt idx="30">
                  <c:v>566.04</c:v>
                </c:pt>
                <c:pt idx="31">
                  <c:v>577.75</c:v>
                </c:pt>
                <c:pt idx="32">
                  <c:v>589.71</c:v>
                </c:pt>
                <c:pt idx="33">
                  <c:v>601.86</c:v>
                </c:pt>
                <c:pt idx="34">
                  <c:v>614.16</c:v>
                </c:pt>
                <c:pt idx="35">
                  <c:v>626.54</c:v>
                </c:pt>
                <c:pt idx="36">
                  <c:v>638.91999999999996</c:v>
                </c:pt>
                <c:pt idx="37">
                  <c:v>651.24</c:v>
                </c:pt>
                <c:pt idx="38">
                  <c:v>663.39</c:v>
                </c:pt>
                <c:pt idx="39">
                  <c:v>675.29</c:v>
                </c:pt>
                <c:pt idx="40">
                  <c:v>686.85</c:v>
                </c:pt>
                <c:pt idx="41">
                  <c:v>697.97</c:v>
                </c:pt>
                <c:pt idx="42">
                  <c:v>708.56</c:v>
                </c:pt>
                <c:pt idx="43">
                  <c:v>718.55</c:v>
                </c:pt>
                <c:pt idx="44">
                  <c:v>727.87</c:v>
                </c:pt>
                <c:pt idx="45">
                  <c:v>736.47</c:v>
                </c:pt>
                <c:pt idx="46">
                  <c:v>744.35</c:v>
                </c:pt>
                <c:pt idx="47">
                  <c:v>751.52</c:v>
                </c:pt>
                <c:pt idx="48">
                  <c:v>758.05</c:v>
                </c:pt>
                <c:pt idx="49">
                  <c:v>764.06</c:v>
                </c:pt>
                <c:pt idx="50">
                  <c:v>769.7</c:v>
                </c:pt>
                <c:pt idx="51">
                  <c:v>775.23</c:v>
                </c:pt>
                <c:pt idx="52">
                  <c:v>780.91</c:v>
                </c:pt>
                <c:pt idx="53">
                  <c:v>787.12</c:v>
                </c:pt>
                <c:pt idx="54">
                  <c:v>794.26</c:v>
                </c:pt>
                <c:pt idx="55">
                  <c:v>802.78</c:v>
                </c:pt>
                <c:pt idx="56">
                  <c:v>813.15</c:v>
                </c:pt>
                <c:pt idx="57">
                  <c:v>825.88</c:v>
                </c:pt>
                <c:pt idx="58">
                  <c:v>841.42</c:v>
                </c:pt>
                <c:pt idx="59">
                  <c:v>860.22</c:v>
                </c:pt>
                <c:pt idx="60">
                  <c:v>882.62</c:v>
                </c:pt>
                <c:pt idx="61">
                  <c:v>908.9</c:v>
                </c:pt>
                <c:pt idx="62">
                  <c:v>939.24</c:v>
                </c:pt>
                <c:pt idx="63">
                  <c:v>973.73</c:v>
                </c:pt>
                <c:pt idx="64">
                  <c:v>1012.49</c:v>
                </c:pt>
                <c:pt idx="65">
                  <c:v>1055.79</c:v>
                </c:pt>
                <c:pt idx="66">
                  <c:v>1104.28</c:v>
                </c:pt>
                <c:pt idx="67">
                  <c:v>1159.3499999999999</c:v>
                </c:pt>
                <c:pt idx="68">
                  <c:v>1223.57</c:v>
                </c:pt>
                <c:pt idx="69">
                  <c:v>1301.2</c:v>
                </c:pt>
                <c:pt idx="70">
                  <c:v>1398.81</c:v>
                </c:pt>
                <c:pt idx="71">
                  <c:v>1526.1</c:v>
                </c:pt>
                <c:pt idx="72">
                  <c:v>1696.99</c:v>
                </c:pt>
                <c:pt idx="73">
                  <c:v>1931.45</c:v>
                </c:pt>
                <c:pt idx="74">
                  <c:v>2258.35</c:v>
                </c:pt>
                <c:pt idx="75">
                  <c:v>2719.97</c:v>
                </c:pt>
                <c:pt idx="76">
                  <c:v>3377.81</c:v>
                </c:pt>
                <c:pt idx="77">
                  <c:v>4315.68</c:v>
                </c:pt>
                <c:pt idx="78">
                  <c:v>5617.26</c:v>
                </c:pt>
                <c:pt idx="79">
                  <c:v>7218.23</c:v>
                </c:pt>
                <c:pt idx="80">
                  <c:v>8732.89</c:v>
                </c:pt>
                <c:pt idx="81">
                  <c:v>9677.81</c:v>
                </c:pt>
                <c:pt idx="82">
                  <c:v>9689.64</c:v>
                </c:pt>
                <c:pt idx="83">
                  <c:v>8667.23</c:v>
                </c:pt>
                <c:pt idx="84">
                  <c:v>6867.48</c:v>
                </c:pt>
                <c:pt idx="85">
                  <c:v>4858.76</c:v>
                </c:pt>
                <c:pt idx="86">
                  <c:v>3250.98</c:v>
                </c:pt>
                <c:pt idx="87">
                  <c:v>2187.77</c:v>
                </c:pt>
                <c:pt idx="88">
                  <c:v>1510.88</c:v>
                </c:pt>
                <c:pt idx="89">
                  <c:v>1075.9000000000001</c:v>
                </c:pt>
                <c:pt idx="90">
                  <c:v>790.26</c:v>
                </c:pt>
                <c:pt idx="91">
                  <c:v>597.83000000000004</c:v>
                </c:pt>
                <c:pt idx="92">
                  <c:v>464.78</c:v>
                </c:pt>
                <c:pt idx="93">
                  <c:v>370.43</c:v>
                </c:pt>
                <c:pt idx="94">
                  <c:v>301.89999999999998</c:v>
                </c:pt>
                <c:pt idx="95">
                  <c:v>250.99</c:v>
                </c:pt>
                <c:pt idx="96">
                  <c:v>212.38</c:v>
                </c:pt>
                <c:pt idx="97">
                  <c:v>182.53</c:v>
                </c:pt>
                <c:pt idx="98">
                  <c:v>159.07</c:v>
                </c:pt>
                <c:pt idx="99">
                  <c:v>140.4</c:v>
                </c:pt>
                <c:pt idx="100">
                  <c:v>125.4</c:v>
                </c:pt>
                <c:pt idx="101">
                  <c:v>113.3</c:v>
                </c:pt>
                <c:pt idx="102">
                  <c:v>103.51</c:v>
                </c:pt>
                <c:pt idx="103">
                  <c:v>95.6</c:v>
                </c:pt>
                <c:pt idx="104">
                  <c:v>89.24</c:v>
                </c:pt>
                <c:pt idx="105">
                  <c:v>84.16</c:v>
                </c:pt>
                <c:pt idx="106">
                  <c:v>80.13</c:v>
                </c:pt>
                <c:pt idx="107">
                  <c:v>76.989999999999995</c:v>
                </c:pt>
                <c:pt idx="108">
                  <c:v>74.569999999999993</c:v>
                </c:pt>
                <c:pt idx="109">
                  <c:v>72.760000000000005</c:v>
                </c:pt>
                <c:pt idx="110">
                  <c:v>71.48</c:v>
                </c:pt>
                <c:pt idx="111">
                  <c:v>70.63</c:v>
                </c:pt>
                <c:pt idx="112">
                  <c:v>70.17</c:v>
                </c:pt>
                <c:pt idx="113">
                  <c:v>70.03</c:v>
                </c:pt>
                <c:pt idx="114">
                  <c:v>70.19</c:v>
                </c:pt>
                <c:pt idx="115">
                  <c:v>70.599999999999994</c:v>
                </c:pt>
                <c:pt idx="116">
                  <c:v>71.209999999999994</c:v>
                </c:pt>
                <c:pt idx="117">
                  <c:v>71.78</c:v>
                </c:pt>
              </c:numCache>
            </c:numRef>
          </c:val>
          <c:smooth val="0"/>
          <c:extLst>
            <c:ext xmlns:c16="http://schemas.microsoft.com/office/drawing/2014/chart" uri="{C3380CC4-5D6E-409C-BE32-E72D297353CC}">
              <c16:uniqueId val="{0000001A-20CA-4C1B-A834-BE5B83AD144A}"/>
            </c:ext>
          </c:extLst>
        </c:ser>
        <c:ser>
          <c:idx val="27"/>
          <c:order val="27"/>
          <c:tx>
            <c:strRef>
              <c:f>'50..800_F2'!$AC$3:$AC$4</c:f>
              <c:strCache>
                <c:ptCount val="1"/>
                <c:pt idx="0">
                  <c:v>F07</c:v>
                </c:pt>
              </c:strCache>
            </c:strRef>
          </c:tx>
          <c:spPr>
            <a:ln w="28575" cap="rnd">
              <a:solidFill>
                <a:schemeClr val="accent4">
                  <a:lumMod val="60000"/>
                  <a:lumOff val="4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'50..800_F2'!$AC$5:$AC$123</c:f>
              <c:numCache>
                <c:formatCode>General</c:formatCode>
                <c:ptCount val="118"/>
                <c:pt idx="0">
                  <c:v>341.62</c:v>
                </c:pt>
                <c:pt idx="1">
                  <c:v>344.26</c:v>
                </c:pt>
                <c:pt idx="2">
                  <c:v>347.47</c:v>
                </c:pt>
                <c:pt idx="3">
                  <c:v>350.88</c:v>
                </c:pt>
                <c:pt idx="4">
                  <c:v>354.43</c:v>
                </c:pt>
                <c:pt idx="5">
                  <c:v>358.12</c:v>
                </c:pt>
                <c:pt idx="6">
                  <c:v>361.96</c:v>
                </c:pt>
                <c:pt idx="7">
                  <c:v>365.95</c:v>
                </c:pt>
                <c:pt idx="8">
                  <c:v>370.11</c:v>
                </c:pt>
                <c:pt idx="9">
                  <c:v>374.44</c:v>
                </c:pt>
                <c:pt idx="10">
                  <c:v>378.95</c:v>
                </c:pt>
                <c:pt idx="11">
                  <c:v>383.65</c:v>
                </c:pt>
                <c:pt idx="12">
                  <c:v>388.54</c:v>
                </c:pt>
                <c:pt idx="13">
                  <c:v>393.64</c:v>
                </c:pt>
                <c:pt idx="14">
                  <c:v>398.96</c:v>
                </c:pt>
                <c:pt idx="15">
                  <c:v>404.5</c:v>
                </c:pt>
                <c:pt idx="16">
                  <c:v>410.28</c:v>
                </c:pt>
                <c:pt idx="17">
                  <c:v>416.3</c:v>
                </c:pt>
                <c:pt idx="18">
                  <c:v>422.57</c:v>
                </c:pt>
                <c:pt idx="19">
                  <c:v>429.09</c:v>
                </c:pt>
                <c:pt idx="20">
                  <c:v>435.88</c:v>
                </c:pt>
                <c:pt idx="21">
                  <c:v>442.94</c:v>
                </c:pt>
                <c:pt idx="22">
                  <c:v>450.27</c:v>
                </c:pt>
                <c:pt idx="23">
                  <c:v>457.87</c:v>
                </c:pt>
                <c:pt idx="24">
                  <c:v>465.75</c:v>
                </c:pt>
                <c:pt idx="25">
                  <c:v>473.89</c:v>
                </c:pt>
                <c:pt idx="26">
                  <c:v>482.3</c:v>
                </c:pt>
                <c:pt idx="27">
                  <c:v>490.96</c:v>
                </c:pt>
                <c:pt idx="28">
                  <c:v>499.85</c:v>
                </c:pt>
                <c:pt idx="29">
                  <c:v>508.96</c:v>
                </c:pt>
                <c:pt idx="30">
                  <c:v>518.26</c:v>
                </c:pt>
                <c:pt idx="31">
                  <c:v>527.71</c:v>
                </c:pt>
                <c:pt idx="32">
                  <c:v>537.27</c:v>
                </c:pt>
                <c:pt idx="33">
                  <c:v>546.9</c:v>
                </c:pt>
                <c:pt idx="34">
                  <c:v>556.54999999999995</c:v>
                </c:pt>
                <c:pt idx="35">
                  <c:v>566.14</c:v>
                </c:pt>
                <c:pt idx="36">
                  <c:v>575.62</c:v>
                </c:pt>
                <c:pt idx="37">
                  <c:v>584.91</c:v>
                </c:pt>
                <c:pt idx="38">
                  <c:v>593.92999999999995</c:v>
                </c:pt>
                <c:pt idx="39">
                  <c:v>602.59</c:v>
                </c:pt>
                <c:pt idx="40">
                  <c:v>610.82000000000005</c:v>
                </c:pt>
                <c:pt idx="41">
                  <c:v>618.53</c:v>
                </c:pt>
                <c:pt idx="42">
                  <c:v>625.63</c:v>
                </c:pt>
                <c:pt idx="43">
                  <c:v>632.05999999999995</c:v>
                </c:pt>
                <c:pt idx="44">
                  <c:v>637.75</c:v>
                </c:pt>
                <c:pt idx="45">
                  <c:v>642.66999999999996</c:v>
                </c:pt>
                <c:pt idx="46">
                  <c:v>646.78</c:v>
                </c:pt>
                <c:pt idx="47">
                  <c:v>650.08000000000004</c:v>
                </c:pt>
                <c:pt idx="48">
                  <c:v>652.61</c:v>
                </c:pt>
                <c:pt idx="49">
                  <c:v>654.42999999999995</c:v>
                </c:pt>
                <c:pt idx="50">
                  <c:v>655.66</c:v>
                </c:pt>
                <c:pt idx="51">
                  <c:v>656.44</c:v>
                </c:pt>
                <c:pt idx="52">
                  <c:v>657</c:v>
                </c:pt>
                <c:pt idx="53">
                  <c:v>657.57</c:v>
                </c:pt>
                <c:pt idx="54">
                  <c:v>658.5</c:v>
                </c:pt>
                <c:pt idx="55">
                  <c:v>660.14</c:v>
                </c:pt>
                <c:pt idx="56">
                  <c:v>662.95</c:v>
                </c:pt>
                <c:pt idx="57">
                  <c:v>667.46</c:v>
                </c:pt>
                <c:pt idx="58">
                  <c:v>674.25</c:v>
                </c:pt>
                <c:pt idx="59">
                  <c:v>684.01</c:v>
                </c:pt>
                <c:pt idx="60">
                  <c:v>697.52</c:v>
                </c:pt>
                <c:pt idx="61">
                  <c:v>715.64</c:v>
                </c:pt>
                <c:pt idx="62">
                  <c:v>739.35</c:v>
                </c:pt>
                <c:pt idx="63">
                  <c:v>769.68</c:v>
                </c:pt>
                <c:pt idx="64">
                  <c:v>807.72</c:v>
                </c:pt>
                <c:pt idx="65">
                  <c:v>854.55</c:v>
                </c:pt>
                <c:pt idx="66">
                  <c:v>911.23</c:v>
                </c:pt>
                <c:pt idx="67">
                  <c:v>978.77</c:v>
                </c:pt>
                <c:pt idx="68">
                  <c:v>1058.44</c:v>
                </c:pt>
                <c:pt idx="69">
                  <c:v>1152.26</c:v>
                </c:pt>
                <c:pt idx="70">
                  <c:v>1264.3</c:v>
                </c:pt>
                <c:pt idx="71">
                  <c:v>1402.32</c:v>
                </c:pt>
                <c:pt idx="72">
                  <c:v>1579.74</c:v>
                </c:pt>
                <c:pt idx="73">
                  <c:v>1817.2</c:v>
                </c:pt>
                <c:pt idx="74">
                  <c:v>2143.94</c:v>
                </c:pt>
                <c:pt idx="75">
                  <c:v>2599.87</c:v>
                </c:pt>
                <c:pt idx="76">
                  <c:v>3238.21</c:v>
                </c:pt>
                <c:pt idx="77">
                  <c:v>4124.2299999999996</c:v>
                </c:pt>
                <c:pt idx="78">
                  <c:v>5306.93</c:v>
                </c:pt>
                <c:pt idx="79">
                  <c:v>6672.04</c:v>
                </c:pt>
                <c:pt idx="80">
                  <c:v>7863.77</c:v>
                </c:pt>
                <c:pt idx="81">
                  <c:v>8492.0499999999993</c:v>
                </c:pt>
                <c:pt idx="82">
                  <c:v>8279.7900000000009</c:v>
                </c:pt>
                <c:pt idx="83">
                  <c:v>7201.51</c:v>
                </c:pt>
                <c:pt idx="84">
                  <c:v>5548.13</c:v>
                </c:pt>
                <c:pt idx="85">
                  <c:v>3860.76</c:v>
                </c:pt>
                <c:pt idx="86">
                  <c:v>2592.25</c:v>
                </c:pt>
                <c:pt idx="87">
                  <c:v>1763.41</c:v>
                </c:pt>
                <c:pt idx="88">
                  <c:v>1232.51</c:v>
                </c:pt>
                <c:pt idx="89">
                  <c:v>888.15</c:v>
                </c:pt>
                <c:pt idx="90">
                  <c:v>659.75</c:v>
                </c:pt>
                <c:pt idx="91">
                  <c:v>504.39</c:v>
                </c:pt>
                <c:pt idx="92">
                  <c:v>396.02</c:v>
                </c:pt>
                <c:pt idx="93">
                  <c:v>318.55</c:v>
                </c:pt>
                <c:pt idx="94">
                  <c:v>261.88</c:v>
                </c:pt>
                <c:pt idx="95">
                  <c:v>219.49</c:v>
                </c:pt>
                <c:pt idx="96">
                  <c:v>187.11</c:v>
                </c:pt>
                <c:pt idx="97">
                  <c:v>161.91</c:v>
                </c:pt>
                <c:pt idx="98">
                  <c:v>141.97999999999999</c:v>
                </c:pt>
                <c:pt idx="99">
                  <c:v>126.01</c:v>
                </c:pt>
                <c:pt idx="100">
                  <c:v>113.13</c:v>
                </c:pt>
                <c:pt idx="101">
                  <c:v>102.69</c:v>
                </c:pt>
                <c:pt idx="102">
                  <c:v>94.22</c:v>
                </c:pt>
                <c:pt idx="103">
                  <c:v>87.37</c:v>
                </c:pt>
                <c:pt idx="104">
                  <c:v>81.86</c:v>
                </c:pt>
                <c:pt idx="105">
                  <c:v>77.44</c:v>
                </c:pt>
                <c:pt idx="106">
                  <c:v>73.94</c:v>
                </c:pt>
                <c:pt idx="107">
                  <c:v>71.2</c:v>
                </c:pt>
                <c:pt idx="108">
                  <c:v>69.099999999999994</c:v>
                </c:pt>
                <c:pt idx="109">
                  <c:v>67.53</c:v>
                </c:pt>
                <c:pt idx="110">
                  <c:v>66.41</c:v>
                </c:pt>
                <c:pt idx="111">
                  <c:v>65.67</c:v>
                </c:pt>
                <c:pt idx="112">
                  <c:v>65.27</c:v>
                </c:pt>
                <c:pt idx="113">
                  <c:v>65.150000000000006</c:v>
                </c:pt>
                <c:pt idx="114">
                  <c:v>65.290000000000006</c:v>
                </c:pt>
                <c:pt idx="115">
                  <c:v>65.650000000000006</c:v>
                </c:pt>
                <c:pt idx="116">
                  <c:v>66.180000000000007</c:v>
                </c:pt>
                <c:pt idx="117">
                  <c:v>66.680000000000007</c:v>
                </c:pt>
              </c:numCache>
            </c:numRef>
          </c:val>
          <c:smooth val="0"/>
          <c:extLst>
            <c:ext xmlns:c16="http://schemas.microsoft.com/office/drawing/2014/chart" uri="{C3380CC4-5D6E-409C-BE32-E72D297353CC}">
              <c16:uniqueId val="{0000001B-20CA-4C1B-A834-BE5B83AD144A}"/>
            </c:ext>
          </c:extLst>
        </c:ser>
        <c:ser>
          <c:idx val="28"/>
          <c:order val="28"/>
          <c:tx>
            <c:strRef>
              <c:f>'50..800_F2'!$AD$3:$AD$4</c:f>
              <c:strCache>
                <c:ptCount val="1"/>
                <c:pt idx="0">
                  <c:v>F08</c:v>
                </c:pt>
              </c:strCache>
            </c:strRef>
          </c:tx>
          <c:spPr>
            <a:ln w="28575" cap="rnd">
              <a:solidFill>
                <a:schemeClr val="accent5">
                  <a:lumMod val="60000"/>
                  <a:lumOff val="4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'50..800_F2'!$AD$5:$AD$123</c:f>
              <c:numCache>
                <c:formatCode>General</c:formatCode>
                <c:ptCount val="118"/>
                <c:pt idx="0">
                  <c:v>443.98</c:v>
                </c:pt>
                <c:pt idx="1">
                  <c:v>447.12</c:v>
                </c:pt>
                <c:pt idx="2">
                  <c:v>450.81</c:v>
                </c:pt>
                <c:pt idx="3">
                  <c:v>454.7</c:v>
                </c:pt>
                <c:pt idx="4">
                  <c:v>458.72</c:v>
                </c:pt>
                <c:pt idx="5">
                  <c:v>462.87</c:v>
                </c:pt>
                <c:pt idx="6">
                  <c:v>467.16</c:v>
                </c:pt>
                <c:pt idx="7">
                  <c:v>471.6</c:v>
                </c:pt>
                <c:pt idx="8">
                  <c:v>476.19</c:v>
                </c:pt>
                <c:pt idx="9">
                  <c:v>480.95</c:v>
                </c:pt>
                <c:pt idx="10">
                  <c:v>485.87</c:v>
                </c:pt>
                <c:pt idx="11">
                  <c:v>490.96</c:v>
                </c:pt>
                <c:pt idx="12">
                  <c:v>496.24</c:v>
                </c:pt>
                <c:pt idx="13">
                  <c:v>501.71</c:v>
                </c:pt>
                <c:pt idx="14">
                  <c:v>507.37</c:v>
                </c:pt>
                <c:pt idx="15">
                  <c:v>513.25</c:v>
                </c:pt>
                <c:pt idx="16">
                  <c:v>519.33000000000004</c:v>
                </c:pt>
                <c:pt idx="17">
                  <c:v>525.63</c:v>
                </c:pt>
                <c:pt idx="18">
                  <c:v>532.16</c:v>
                </c:pt>
                <c:pt idx="19">
                  <c:v>538.91999999999996</c:v>
                </c:pt>
                <c:pt idx="20">
                  <c:v>545.91999999999996</c:v>
                </c:pt>
                <c:pt idx="21">
                  <c:v>553.15</c:v>
                </c:pt>
                <c:pt idx="22">
                  <c:v>560.64</c:v>
                </c:pt>
                <c:pt idx="23">
                  <c:v>568.37</c:v>
                </c:pt>
                <c:pt idx="24">
                  <c:v>576.35</c:v>
                </c:pt>
                <c:pt idx="25">
                  <c:v>584.58000000000004</c:v>
                </c:pt>
                <c:pt idx="26">
                  <c:v>593.05999999999995</c:v>
                </c:pt>
                <c:pt idx="27">
                  <c:v>601.77</c:v>
                </c:pt>
                <c:pt idx="28">
                  <c:v>610.72</c:v>
                </c:pt>
                <c:pt idx="29">
                  <c:v>619.89</c:v>
                </c:pt>
                <c:pt idx="30">
                  <c:v>629.27</c:v>
                </c:pt>
                <c:pt idx="31">
                  <c:v>638.85</c:v>
                </c:pt>
                <c:pt idx="32">
                  <c:v>648.59</c:v>
                </c:pt>
                <c:pt idx="33">
                  <c:v>658.49</c:v>
                </c:pt>
                <c:pt idx="34">
                  <c:v>668.51</c:v>
                </c:pt>
                <c:pt idx="35">
                  <c:v>678.62</c:v>
                </c:pt>
                <c:pt idx="36">
                  <c:v>688.79</c:v>
                </c:pt>
                <c:pt idx="37">
                  <c:v>698.98</c:v>
                </c:pt>
                <c:pt idx="38">
                  <c:v>709.15</c:v>
                </c:pt>
                <c:pt idx="39">
                  <c:v>719.25</c:v>
                </c:pt>
                <c:pt idx="40">
                  <c:v>729.23</c:v>
                </c:pt>
                <c:pt idx="41">
                  <c:v>739.03</c:v>
                </c:pt>
                <c:pt idx="42">
                  <c:v>748.61</c:v>
                </c:pt>
                <c:pt idx="43">
                  <c:v>757.9</c:v>
                </c:pt>
                <c:pt idx="44">
                  <c:v>766.85</c:v>
                </c:pt>
                <c:pt idx="45">
                  <c:v>775.4</c:v>
                </c:pt>
                <c:pt idx="46">
                  <c:v>783.52</c:v>
                </c:pt>
                <c:pt idx="47">
                  <c:v>791.18</c:v>
                </c:pt>
                <c:pt idx="48">
                  <c:v>798.38</c:v>
                </c:pt>
                <c:pt idx="49">
                  <c:v>805.15</c:v>
                </c:pt>
                <c:pt idx="50">
                  <c:v>811.54</c:v>
                </c:pt>
                <c:pt idx="51">
                  <c:v>817.68</c:v>
                </c:pt>
                <c:pt idx="52">
                  <c:v>823.73</c:v>
                </c:pt>
                <c:pt idx="53">
                  <c:v>829.92</c:v>
                </c:pt>
                <c:pt idx="54">
                  <c:v>836.52</c:v>
                </c:pt>
                <c:pt idx="55">
                  <c:v>843.87</c:v>
                </c:pt>
                <c:pt idx="56">
                  <c:v>852.32</c:v>
                </c:pt>
                <c:pt idx="57">
                  <c:v>862.3</c:v>
                </c:pt>
                <c:pt idx="58">
                  <c:v>874.21</c:v>
                </c:pt>
                <c:pt idx="59">
                  <c:v>888.5</c:v>
                </c:pt>
                <c:pt idx="60">
                  <c:v>905.58</c:v>
                </c:pt>
                <c:pt idx="61">
                  <c:v>925.88</c:v>
                </c:pt>
                <c:pt idx="62">
                  <c:v>949.85</c:v>
                </c:pt>
                <c:pt idx="63">
                  <c:v>977.94</c:v>
                </c:pt>
                <c:pt idx="64">
                  <c:v>1010.7</c:v>
                </c:pt>
                <c:pt idx="65">
                  <c:v>1048.8699999999999</c:v>
                </c:pt>
                <c:pt idx="66">
                  <c:v>1093.56</c:v>
                </c:pt>
                <c:pt idx="67">
                  <c:v>1146.53</c:v>
                </c:pt>
                <c:pt idx="68">
                  <c:v>1210.6300000000001</c:v>
                </c:pt>
                <c:pt idx="69">
                  <c:v>1290.3399999999999</c:v>
                </c:pt>
                <c:pt idx="70">
                  <c:v>1392.56</c:v>
                </c:pt>
                <c:pt idx="71">
                  <c:v>1527.55</c:v>
                </c:pt>
                <c:pt idx="72">
                  <c:v>1710.2</c:v>
                </c:pt>
                <c:pt idx="73">
                  <c:v>1961.68</c:v>
                </c:pt>
                <c:pt idx="74">
                  <c:v>2311.89</c:v>
                </c:pt>
                <c:pt idx="75">
                  <c:v>2802.74</c:v>
                </c:pt>
                <c:pt idx="76">
                  <c:v>3491.15</c:v>
                </c:pt>
                <c:pt idx="77">
                  <c:v>4446.13</c:v>
                </c:pt>
                <c:pt idx="78">
                  <c:v>5712.17</c:v>
                </c:pt>
                <c:pt idx="79">
                  <c:v>7152.67</c:v>
                </c:pt>
                <c:pt idx="80">
                  <c:v>8388.5300000000007</c:v>
                </c:pt>
                <c:pt idx="81">
                  <c:v>9017.2900000000009</c:v>
                </c:pt>
                <c:pt idx="82">
                  <c:v>8759.43</c:v>
                </c:pt>
                <c:pt idx="83">
                  <c:v>7597.67</c:v>
                </c:pt>
                <c:pt idx="84">
                  <c:v>5841.39</c:v>
                </c:pt>
                <c:pt idx="85">
                  <c:v>4058.57</c:v>
                </c:pt>
                <c:pt idx="86">
                  <c:v>2721.86</c:v>
                </c:pt>
                <c:pt idx="87">
                  <c:v>1849.56</c:v>
                </c:pt>
                <c:pt idx="88">
                  <c:v>1291.3499999999999</c:v>
                </c:pt>
                <c:pt idx="89">
                  <c:v>929.48</c:v>
                </c:pt>
                <c:pt idx="90">
                  <c:v>689.52</c:v>
                </c:pt>
                <c:pt idx="91">
                  <c:v>526.29999999999995</c:v>
                </c:pt>
                <c:pt idx="92">
                  <c:v>412.41</c:v>
                </c:pt>
                <c:pt idx="93">
                  <c:v>330.96</c:v>
                </c:pt>
                <c:pt idx="94">
                  <c:v>271.35000000000002</c:v>
                </c:pt>
                <c:pt idx="95">
                  <c:v>226.76</c:v>
                </c:pt>
                <c:pt idx="96">
                  <c:v>192.73</c:v>
                </c:pt>
                <c:pt idx="97">
                  <c:v>166.3</c:v>
                </c:pt>
                <c:pt idx="98">
                  <c:v>145.44999999999999</c:v>
                </c:pt>
                <c:pt idx="99">
                  <c:v>128.80000000000001</c:v>
                </c:pt>
                <c:pt idx="100">
                  <c:v>115.39</c:v>
                </c:pt>
                <c:pt idx="101">
                  <c:v>104.52</c:v>
                </c:pt>
                <c:pt idx="102">
                  <c:v>95.7</c:v>
                </c:pt>
                <c:pt idx="103">
                  <c:v>88.54</c:v>
                </c:pt>
                <c:pt idx="104">
                  <c:v>82.74</c:v>
                </c:pt>
                <c:pt idx="105">
                  <c:v>78.08</c:v>
                </c:pt>
                <c:pt idx="106">
                  <c:v>74.36</c:v>
                </c:pt>
                <c:pt idx="107">
                  <c:v>71.42</c:v>
                </c:pt>
                <c:pt idx="108">
                  <c:v>69.14</c:v>
                </c:pt>
                <c:pt idx="109">
                  <c:v>67.41</c:v>
                </c:pt>
                <c:pt idx="110">
                  <c:v>66.16</c:v>
                </c:pt>
                <c:pt idx="111">
                  <c:v>65.31</c:v>
                </c:pt>
                <c:pt idx="112">
                  <c:v>64.81</c:v>
                </c:pt>
                <c:pt idx="113">
                  <c:v>64.62</c:v>
                </c:pt>
                <c:pt idx="114">
                  <c:v>64.69</c:v>
                </c:pt>
                <c:pt idx="115">
                  <c:v>65.010000000000005</c:v>
                </c:pt>
                <c:pt idx="116">
                  <c:v>65.52</c:v>
                </c:pt>
                <c:pt idx="117">
                  <c:v>66.010000000000005</c:v>
                </c:pt>
              </c:numCache>
            </c:numRef>
          </c:val>
          <c:smooth val="0"/>
          <c:extLst>
            <c:ext xmlns:c16="http://schemas.microsoft.com/office/drawing/2014/chart" uri="{C3380CC4-5D6E-409C-BE32-E72D297353CC}">
              <c16:uniqueId val="{0000001C-20CA-4C1B-A834-BE5B83AD144A}"/>
            </c:ext>
          </c:extLst>
        </c:ser>
        <c:ser>
          <c:idx val="29"/>
          <c:order val="29"/>
          <c:tx>
            <c:strRef>
              <c:f>'50..800_F2'!$AE$3:$AE$4</c:f>
              <c:strCache>
                <c:ptCount val="1"/>
                <c:pt idx="0">
                  <c:v>F09</c:v>
                </c:pt>
              </c:strCache>
            </c:strRef>
          </c:tx>
          <c:spPr>
            <a:ln w="28575" cap="rnd">
              <a:solidFill>
                <a:schemeClr val="accent6">
                  <a:lumMod val="60000"/>
                  <a:lumOff val="4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'50..800_F2'!$AE$5:$AE$123</c:f>
              <c:numCache>
                <c:formatCode>General</c:formatCode>
                <c:ptCount val="118"/>
                <c:pt idx="0">
                  <c:v>341.28</c:v>
                </c:pt>
                <c:pt idx="1">
                  <c:v>343.63</c:v>
                </c:pt>
                <c:pt idx="2">
                  <c:v>346.36</c:v>
                </c:pt>
                <c:pt idx="3">
                  <c:v>349.24</c:v>
                </c:pt>
                <c:pt idx="4">
                  <c:v>352.2</c:v>
                </c:pt>
                <c:pt idx="5">
                  <c:v>355.25</c:v>
                </c:pt>
                <c:pt idx="6">
                  <c:v>358.4</c:v>
                </c:pt>
                <c:pt idx="7">
                  <c:v>361.64</c:v>
                </c:pt>
                <c:pt idx="8">
                  <c:v>364.98</c:v>
                </c:pt>
                <c:pt idx="9">
                  <c:v>368.43</c:v>
                </c:pt>
                <c:pt idx="10">
                  <c:v>371.98</c:v>
                </c:pt>
                <c:pt idx="11">
                  <c:v>375.65</c:v>
                </c:pt>
                <c:pt idx="12">
                  <c:v>379.42</c:v>
                </c:pt>
                <c:pt idx="13">
                  <c:v>383.31</c:v>
                </c:pt>
                <c:pt idx="14">
                  <c:v>387.32</c:v>
                </c:pt>
                <c:pt idx="15">
                  <c:v>391.45</c:v>
                </c:pt>
                <c:pt idx="16">
                  <c:v>395.7</c:v>
                </c:pt>
                <c:pt idx="17">
                  <c:v>400.06</c:v>
                </c:pt>
                <c:pt idx="18">
                  <c:v>404.55</c:v>
                </c:pt>
                <c:pt idx="19">
                  <c:v>409.15</c:v>
                </c:pt>
                <c:pt idx="20">
                  <c:v>413.86</c:v>
                </c:pt>
                <c:pt idx="21">
                  <c:v>418.69</c:v>
                </c:pt>
                <c:pt idx="22">
                  <c:v>423.61</c:v>
                </c:pt>
                <c:pt idx="23">
                  <c:v>428.62</c:v>
                </c:pt>
                <c:pt idx="24">
                  <c:v>433.72</c:v>
                </c:pt>
                <c:pt idx="25">
                  <c:v>438.88</c:v>
                </c:pt>
                <c:pt idx="26">
                  <c:v>444.1</c:v>
                </c:pt>
                <c:pt idx="27">
                  <c:v>449.34</c:v>
                </c:pt>
                <c:pt idx="28">
                  <c:v>454.59</c:v>
                </c:pt>
                <c:pt idx="29">
                  <c:v>459.82</c:v>
                </c:pt>
                <c:pt idx="30">
                  <c:v>465</c:v>
                </c:pt>
                <c:pt idx="31">
                  <c:v>470.11</c:v>
                </c:pt>
                <c:pt idx="32">
                  <c:v>475.09</c:v>
                </c:pt>
                <c:pt idx="33">
                  <c:v>479.92</c:v>
                </c:pt>
                <c:pt idx="34">
                  <c:v>484.56</c:v>
                </c:pt>
                <c:pt idx="35">
                  <c:v>488.97</c:v>
                </c:pt>
                <c:pt idx="36">
                  <c:v>493.1</c:v>
                </c:pt>
                <c:pt idx="37">
                  <c:v>496.93</c:v>
                </c:pt>
                <c:pt idx="38">
                  <c:v>500.43</c:v>
                </c:pt>
                <c:pt idx="39">
                  <c:v>503.57</c:v>
                </c:pt>
                <c:pt idx="40">
                  <c:v>506.34</c:v>
                </c:pt>
                <c:pt idx="41">
                  <c:v>508.75</c:v>
                </c:pt>
                <c:pt idx="42">
                  <c:v>510.81</c:v>
                </c:pt>
                <c:pt idx="43">
                  <c:v>512.55999999999995</c:v>
                </c:pt>
                <c:pt idx="44">
                  <c:v>514.07000000000005</c:v>
                </c:pt>
                <c:pt idx="45">
                  <c:v>515.42999999999995</c:v>
                </c:pt>
                <c:pt idx="46">
                  <c:v>516.78</c:v>
                </c:pt>
                <c:pt idx="47">
                  <c:v>518.27</c:v>
                </c:pt>
                <c:pt idx="48">
                  <c:v>520.12</c:v>
                </c:pt>
                <c:pt idx="49">
                  <c:v>522.55999999999995</c:v>
                </c:pt>
                <c:pt idx="50">
                  <c:v>525.88</c:v>
                </c:pt>
                <c:pt idx="51">
                  <c:v>530.39</c:v>
                </c:pt>
                <c:pt idx="52">
                  <c:v>536.41</c:v>
                </c:pt>
                <c:pt idx="53">
                  <c:v>544.29</c:v>
                </c:pt>
                <c:pt idx="54">
                  <c:v>554.34</c:v>
                </c:pt>
                <c:pt idx="55">
                  <c:v>566.88</c:v>
                </c:pt>
                <c:pt idx="56">
                  <c:v>582.13</c:v>
                </c:pt>
                <c:pt idx="57">
                  <c:v>600.27</c:v>
                </c:pt>
                <c:pt idx="58">
                  <c:v>621.41</c:v>
                </c:pt>
                <c:pt idx="59">
                  <c:v>645.59</c:v>
                </c:pt>
                <c:pt idx="60">
                  <c:v>672.79</c:v>
                </c:pt>
                <c:pt idx="61">
                  <c:v>703.01</c:v>
                </c:pt>
                <c:pt idx="62">
                  <c:v>736.24</c:v>
                </c:pt>
                <c:pt idx="63">
                  <c:v>772.56</c:v>
                </c:pt>
                <c:pt idx="64">
                  <c:v>812.14</c:v>
                </c:pt>
                <c:pt idx="65">
                  <c:v>855.27</c:v>
                </c:pt>
                <c:pt idx="66">
                  <c:v>902.47</c:v>
                </c:pt>
                <c:pt idx="67">
                  <c:v>954.69</c:v>
                </c:pt>
                <c:pt idx="68">
                  <c:v>1013.71</c:v>
                </c:pt>
                <c:pt idx="69">
                  <c:v>1082.75</c:v>
                </c:pt>
                <c:pt idx="70">
                  <c:v>1167.1400000000001</c:v>
                </c:pt>
                <c:pt idx="71">
                  <c:v>1275.07</c:v>
                </c:pt>
                <c:pt idx="72">
                  <c:v>1418.35</c:v>
                </c:pt>
                <c:pt idx="73">
                  <c:v>1613.48</c:v>
                </c:pt>
                <c:pt idx="74">
                  <c:v>1883.32</c:v>
                </c:pt>
                <c:pt idx="75">
                  <c:v>2259.5700000000002</c:v>
                </c:pt>
                <c:pt idx="76">
                  <c:v>2785.7</c:v>
                </c:pt>
                <c:pt idx="77">
                  <c:v>3517.66</c:v>
                </c:pt>
                <c:pt idx="78">
                  <c:v>4511.54</c:v>
                </c:pt>
                <c:pt idx="79">
                  <c:v>5731.91</c:v>
                </c:pt>
                <c:pt idx="80">
                  <c:v>6914.08</c:v>
                </c:pt>
                <c:pt idx="81">
                  <c:v>7696.74</c:v>
                </c:pt>
                <c:pt idx="82">
                  <c:v>7780.11</c:v>
                </c:pt>
                <c:pt idx="83">
                  <c:v>7047.48</c:v>
                </c:pt>
                <c:pt idx="84">
                  <c:v>5663.74</c:v>
                </c:pt>
                <c:pt idx="85">
                  <c:v>4061.11</c:v>
                </c:pt>
                <c:pt idx="86">
                  <c:v>2739.96</c:v>
                </c:pt>
                <c:pt idx="87">
                  <c:v>1850.64</c:v>
                </c:pt>
                <c:pt idx="88">
                  <c:v>1280.06</c:v>
                </c:pt>
                <c:pt idx="89">
                  <c:v>911.8</c:v>
                </c:pt>
                <c:pt idx="90">
                  <c:v>669.27</c:v>
                </c:pt>
                <c:pt idx="91">
                  <c:v>505.54</c:v>
                </c:pt>
                <c:pt idx="92">
                  <c:v>392.13</c:v>
                </c:pt>
                <c:pt idx="93">
                  <c:v>311.61</c:v>
                </c:pt>
                <c:pt idx="94">
                  <c:v>253.09</c:v>
                </c:pt>
                <c:pt idx="95">
                  <c:v>209.64</c:v>
                </c:pt>
                <c:pt idx="96">
                  <c:v>176.73</c:v>
                </c:pt>
                <c:pt idx="97">
                  <c:v>151.38</c:v>
                </c:pt>
                <c:pt idx="98">
                  <c:v>131.54</c:v>
                </c:pt>
                <c:pt idx="99">
                  <c:v>115.82</c:v>
                </c:pt>
                <c:pt idx="100">
                  <c:v>103.28</c:v>
                </c:pt>
                <c:pt idx="101">
                  <c:v>93.21</c:v>
                </c:pt>
                <c:pt idx="102">
                  <c:v>85.11</c:v>
                </c:pt>
                <c:pt idx="103">
                  <c:v>78.61</c:v>
                </c:pt>
                <c:pt idx="104">
                  <c:v>73.41</c:v>
                </c:pt>
                <c:pt idx="105">
                  <c:v>69.28</c:v>
                </c:pt>
                <c:pt idx="106">
                  <c:v>66.03</c:v>
                </c:pt>
                <c:pt idx="107">
                  <c:v>63.5</c:v>
                </c:pt>
                <c:pt idx="108">
                  <c:v>61.57</c:v>
                </c:pt>
                <c:pt idx="109">
                  <c:v>60.15</c:v>
                </c:pt>
                <c:pt idx="110">
                  <c:v>59.14</c:v>
                </c:pt>
                <c:pt idx="111">
                  <c:v>58.5</c:v>
                </c:pt>
                <c:pt idx="112">
                  <c:v>58.16</c:v>
                </c:pt>
                <c:pt idx="113">
                  <c:v>58.09</c:v>
                </c:pt>
                <c:pt idx="114">
                  <c:v>58.26</c:v>
                </c:pt>
                <c:pt idx="115">
                  <c:v>58.63</c:v>
                </c:pt>
                <c:pt idx="116">
                  <c:v>59.16</c:v>
                </c:pt>
                <c:pt idx="117">
                  <c:v>59.65</c:v>
                </c:pt>
              </c:numCache>
            </c:numRef>
          </c:val>
          <c:smooth val="0"/>
          <c:extLst>
            <c:ext xmlns:c16="http://schemas.microsoft.com/office/drawing/2014/chart" uri="{C3380CC4-5D6E-409C-BE32-E72D297353CC}">
              <c16:uniqueId val="{0000001D-20CA-4C1B-A834-BE5B83AD144A}"/>
            </c:ext>
          </c:extLst>
        </c:ser>
        <c:ser>
          <c:idx val="30"/>
          <c:order val="30"/>
          <c:tx>
            <c:strRef>
              <c:f>'50..800_F2'!$AF$3:$AF$4</c:f>
              <c:strCache>
                <c:ptCount val="1"/>
                <c:pt idx="0">
                  <c:v>F10</c:v>
                </c:pt>
              </c:strCache>
            </c:strRef>
          </c:tx>
          <c:spPr>
            <a:ln w="28575" cap="rnd">
              <a:solidFill>
                <a:schemeClr val="accent1">
                  <a:lumMod val="5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'50..800_F2'!$AF$5:$AF$123</c:f>
              <c:numCache>
                <c:formatCode>General</c:formatCode>
                <c:ptCount val="118"/>
                <c:pt idx="0">
                  <c:v>295.07</c:v>
                </c:pt>
                <c:pt idx="1">
                  <c:v>298.26</c:v>
                </c:pt>
                <c:pt idx="2">
                  <c:v>302.45</c:v>
                </c:pt>
                <c:pt idx="3">
                  <c:v>307.02</c:v>
                </c:pt>
                <c:pt idx="4">
                  <c:v>311.83</c:v>
                </c:pt>
                <c:pt idx="5">
                  <c:v>316.89</c:v>
                </c:pt>
                <c:pt idx="6">
                  <c:v>322.2</c:v>
                </c:pt>
                <c:pt idx="7">
                  <c:v>327.8</c:v>
                </c:pt>
                <c:pt idx="8">
                  <c:v>333.68</c:v>
                </c:pt>
                <c:pt idx="9">
                  <c:v>339.87</c:v>
                </c:pt>
                <c:pt idx="10">
                  <c:v>346.39</c:v>
                </c:pt>
                <c:pt idx="11">
                  <c:v>353.24</c:v>
                </c:pt>
                <c:pt idx="12">
                  <c:v>360.44</c:v>
                </c:pt>
                <c:pt idx="13">
                  <c:v>368.01</c:v>
                </c:pt>
                <c:pt idx="14">
                  <c:v>375.97</c:v>
                </c:pt>
                <c:pt idx="15">
                  <c:v>384.33</c:v>
                </c:pt>
                <c:pt idx="16">
                  <c:v>393.11</c:v>
                </c:pt>
                <c:pt idx="17">
                  <c:v>402.32</c:v>
                </c:pt>
                <c:pt idx="18">
                  <c:v>411.97</c:v>
                </c:pt>
                <c:pt idx="19">
                  <c:v>422.08</c:v>
                </c:pt>
                <c:pt idx="20">
                  <c:v>432.66</c:v>
                </c:pt>
                <c:pt idx="21">
                  <c:v>443.7</c:v>
                </c:pt>
                <c:pt idx="22">
                  <c:v>455.21</c:v>
                </c:pt>
                <c:pt idx="23">
                  <c:v>467.19</c:v>
                </c:pt>
                <c:pt idx="24">
                  <c:v>479.63</c:v>
                </c:pt>
                <c:pt idx="25">
                  <c:v>492.51</c:v>
                </c:pt>
                <c:pt idx="26">
                  <c:v>505.81</c:v>
                </c:pt>
                <c:pt idx="27">
                  <c:v>519.5</c:v>
                </c:pt>
                <c:pt idx="28">
                  <c:v>533.52</c:v>
                </c:pt>
                <c:pt idx="29">
                  <c:v>547.84</c:v>
                </c:pt>
                <c:pt idx="30">
                  <c:v>562.37</c:v>
                </c:pt>
                <c:pt idx="31">
                  <c:v>577.04999999999995</c:v>
                </c:pt>
                <c:pt idx="32">
                  <c:v>591.77</c:v>
                </c:pt>
                <c:pt idx="33">
                  <c:v>606.42999999999995</c:v>
                </c:pt>
                <c:pt idx="34">
                  <c:v>620.91</c:v>
                </c:pt>
                <c:pt idx="35">
                  <c:v>635.09</c:v>
                </c:pt>
                <c:pt idx="36">
                  <c:v>648.84</c:v>
                </c:pt>
                <c:pt idx="37">
                  <c:v>662.01</c:v>
                </c:pt>
                <c:pt idx="38">
                  <c:v>674.47</c:v>
                </c:pt>
                <c:pt idx="39">
                  <c:v>686.1</c:v>
                </c:pt>
                <c:pt idx="40">
                  <c:v>696.78</c:v>
                </c:pt>
                <c:pt idx="41">
                  <c:v>706.41</c:v>
                </c:pt>
                <c:pt idx="42">
                  <c:v>714.94</c:v>
                </c:pt>
                <c:pt idx="43">
                  <c:v>722.34</c:v>
                </c:pt>
                <c:pt idx="44">
                  <c:v>728.62</c:v>
                </c:pt>
                <c:pt idx="45">
                  <c:v>733.84</c:v>
                </c:pt>
                <c:pt idx="46">
                  <c:v>738.1</c:v>
                </c:pt>
                <c:pt idx="47">
                  <c:v>741.57</c:v>
                </c:pt>
                <c:pt idx="48">
                  <c:v>744.47</c:v>
                </c:pt>
                <c:pt idx="49">
                  <c:v>747.06</c:v>
                </c:pt>
                <c:pt idx="50">
                  <c:v>749.66</c:v>
                </c:pt>
                <c:pt idx="51">
                  <c:v>752.61</c:v>
                </c:pt>
                <c:pt idx="52">
                  <c:v>756.29</c:v>
                </c:pt>
                <c:pt idx="53">
                  <c:v>761.1</c:v>
                </c:pt>
                <c:pt idx="54">
                  <c:v>767.45</c:v>
                </c:pt>
                <c:pt idx="55">
                  <c:v>775.72</c:v>
                </c:pt>
                <c:pt idx="56">
                  <c:v>786.29</c:v>
                </c:pt>
                <c:pt idx="57">
                  <c:v>799.48</c:v>
                </c:pt>
                <c:pt idx="58">
                  <c:v>815.56</c:v>
                </c:pt>
                <c:pt idx="59">
                  <c:v>834.74</c:v>
                </c:pt>
                <c:pt idx="60">
                  <c:v>857.12</c:v>
                </c:pt>
                <c:pt idx="61">
                  <c:v>882.73</c:v>
                </c:pt>
                <c:pt idx="62">
                  <c:v>911.53</c:v>
                </c:pt>
                <c:pt idx="63">
                  <c:v>943.46</c:v>
                </c:pt>
                <c:pt idx="64">
                  <c:v>978.54</c:v>
                </c:pt>
                <c:pt idx="65">
                  <c:v>1017.08</c:v>
                </c:pt>
                <c:pt idx="66">
                  <c:v>1059.8599999999999</c:v>
                </c:pt>
                <c:pt idx="67">
                  <c:v>1108.49</c:v>
                </c:pt>
                <c:pt idx="68">
                  <c:v>1165.7</c:v>
                </c:pt>
                <c:pt idx="69">
                  <c:v>1235.82</c:v>
                </c:pt>
                <c:pt idx="70">
                  <c:v>1325.22</c:v>
                </c:pt>
                <c:pt idx="71">
                  <c:v>1443.13</c:v>
                </c:pt>
                <c:pt idx="72">
                  <c:v>1602.75</c:v>
                </c:pt>
                <c:pt idx="73">
                  <c:v>1822.93</c:v>
                </c:pt>
                <c:pt idx="74">
                  <c:v>2130.4499999999998</c:v>
                </c:pt>
                <c:pt idx="75">
                  <c:v>2562.8200000000002</c:v>
                </c:pt>
                <c:pt idx="76">
                  <c:v>3171.34</c:v>
                </c:pt>
                <c:pt idx="77">
                  <c:v>4022.27</c:v>
                </c:pt>
                <c:pt idx="78">
                  <c:v>5187.74</c:v>
                </c:pt>
                <c:pt idx="79">
                  <c:v>6645.72</c:v>
                </c:pt>
                <c:pt idx="80">
                  <c:v>8096.38</c:v>
                </c:pt>
                <c:pt idx="81">
                  <c:v>9105.94</c:v>
                </c:pt>
                <c:pt idx="82">
                  <c:v>9299.16</c:v>
                </c:pt>
                <c:pt idx="83">
                  <c:v>8506.23</c:v>
                </c:pt>
                <c:pt idx="84">
                  <c:v>6893.29</c:v>
                </c:pt>
                <c:pt idx="85">
                  <c:v>4962.17</c:v>
                </c:pt>
                <c:pt idx="86">
                  <c:v>3331.35</c:v>
                </c:pt>
                <c:pt idx="87">
                  <c:v>2224</c:v>
                </c:pt>
                <c:pt idx="88">
                  <c:v>1518.65</c:v>
                </c:pt>
                <c:pt idx="89">
                  <c:v>1070.0899999999999</c:v>
                </c:pt>
                <c:pt idx="90">
                  <c:v>779.55</c:v>
                </c:pt>
                <c:pt idx="91">
                  <c:v>586.29999999999995</c:v>
                </c:pt>
                <c:pt idx="92">
                  <c:v>454</c:v>
                </c:pt>
                <c:pt idx="93">
                  <c:v>360.82</c:v>
                </c:pt>
                <c:pt idx="94">
                  <c:v>293.41000000000003</c:v>
                </c:pt>
                <c:pt idx="95">
                  <c:v>243.43</c:v>
                </c:pt>
                <c:pt idx="96">
                  <c:v>205.54</c:v>
                </c:pt>
                <c:pt idx="97">
                  <c:v>176.25</c:v>
                </c:pt>
                <c:pt idx="98">
                  <c:v>153.22</c:v>
                </c:pt>
                <c:pt idx="99">
                  <c:v>134.88999999999999</c:v>
                </c:pt>
                <c:pt idx="100">
                  <c:v>120.16</c:v>
                </c:pt>
                <c:pt idx="101">
                  <c:v>108.27</c:v>
                </c:pt>
                <c:pt idx="102">
                  <c:v>98.65</c:v>
                </c:pt>
                <c:pt idx="103">
                  <c:v>90.88</c:v>
                </c:pt>
                <c:pt idx="104">
                  <c:v>84.63</c:v>
                </c:pt>
                <c:pt idx="105">
                  <c:v>79.64</c:v>
                </c:pt>
                <c:pt idx="106">
                  <c:v>75.67</c:v>
                </c:pt>
                <c:pt idx="107">
                  <c:v>72.569999999999993</c:v>
                </c:pt>
                <c:pt idx="108">
                  <c:v>70.180000000000007</c:v>
                </c:pt>
                <c:pt idx="109">
                  <c:v>68.400000000000006</c:v>
                </c:pt>
                <c:pt idx="110">
                  <c:v>67.12</c:v>
                </c:pt>
                <c:pt idx="111">
                  <c:v>66.27</c:v>
                </c:pt>
                <c:pt idx="112">
                  <c:v>65.790000000000006</c:v>
                </c:pt>
                <c:pt idx="113">
                  <c:v>65.63</c:v>
                </c:pt>
                <c:pt idx="114">
                  <c:v>65.760000000000005</c:v>
                </c:pt>
                <c:pt idx="115">
                  <c:v>66.14</c:v>
                </c:pt>
                <c:pt idx="116">
                  <c:v>66.709999999999994</c:v>
                </c:pt>
                <c:pt idx="117">
                  <c:v>67.25</c:v>
                </c:pt>
              </c:numCache>
            </c:numRef>
          </c:val>
          <c:smooth val="0"/>
          <c:extLst>
            <c:ext xmlns:c16="http://schemas.microsoft.com/office/drawing/2014/chart" uri="{C3380CC4-5D6E-409C-BE32-E72D297353CC}">
              <c16:uniqueId val="{0000001E-20CA-4C1B-A834-BE5B83AD144A}"/>
            </c:ext>
          </c:extLst>
        </c:ser>
        <c:ser>
          <c:idx val="31"/>
          <c:order val="31"/>
          <c:tx>
            <c:strRef>
              <c:f>'50..800_F2'!$AG$3:$AG$4</c:f>
              <c:strCache>
                <c:ptCount val="1"/>
                <c:pt idx="0">
                  <c:v>F11</c:v>
                </c:pt>
              </c:strCache>
            </c:strRef>
          </c:tx>
          <c:spPr>
            <a:ln w="28575" cap="rnd">
              <a:solidFill>
                <a:schemeClr val="accent2">
                  <a:lumMod val="5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'50..800_F2'!$AG$5:$AG$123</c:f>
              <c:numCache>
                <c:formatCode>General</c:formatCode>
                <c:ptCount val="118"/>
                <c:pt idx="0">
                  <c:v>391.96</c:v>
                </c:pt>
                <c:pt idx="1">
                  <c:v>395.35</c:v>
                </c:pt>
                <c:pt idx="2">
                  <c:v>399.58</c:v>
                </c:pt>
                <c:pt idx="3">
                  <c:v>404.13</c:v>
                </c:pt>
                <c:pt idx="4">
                  <c:v>408.88</c:v>
                </c:pt>
                <c:pt idx="5">
                  <c:v>413.85</c:v>
                </c:pt>
                <c:pt idx="6">
                  <c:v>419.05</c:v>
                </c:pt>
                <c:pt idx="7">
                  <c:v>424.48</c:v>
                </c:pt>
                <c:pt idx="8">
                  <c:v>430.17</c:v>
                </c:pt>
                <c:pt idx="9">
                  <c:v>436.13</c:v>
                </c:pt>
                <c:pt idx="10">
                  <c:v>442.37</c:v>
                </c:pt>
                <c:pt idx="11">
                  <c:v>448.91</c:v>
                </c:pt>
                <c:pt idx="12">
                  <c:v>455.76</c:v>
                </c:pt>
                <c:pt idx="13">
                  <c:v>462.93</c:v>
                </c:pt>
                <c:pt idx="14">
                  <c:v>470.45</c:v>
                </c:pt>
                <c:pt idx="15">
                  <c:v>478.33</c:v>
                </c:pt>
                <c:pt idx="16">
                  <c:v>486.58</c:v>
                </c:pt>
                <c:pt idx="17">
                  <c:v>495.22</c:v>
                </c:pt>
                <c:pt idx="18">
                  <c:v>504.26</c:v>
                </c:pt>
                <c:pt idx="19">
                  <c:v>513.72</c:v>
                </c:pt>
                <c:pt idx="20">
                  <c:v>523.6</c:v>
                </c:pt>
                <c:pt idx="21">
                  <c:v>533.92999999999995</c:v>
                </c:pt>
                <c:pt idx="22">
                  <c:v>544.69000000000005</c:v>
                </c:pt>
                <c:pt idx="23">
                  <c:v>555.9</c:v>
                </c:pt>
                <c:pt idx="24">
                  <c:v>567.54999999999995</c:v>
                </c:pt>
                <c:pt idx="25">
                  <c:v>579.63</c:v>
                </c:pt>
                <c:pt idx="26">
                  <c:v>592.14</c:v>
                </c:pt>
                <c:pt idx="27">
                  <c:v>605.04</c:v>
                </c:pt>
                <c:pt idx="28">
                  <c:v>618.30999999999995</c:v>
                </c:pt>
                <c:pt idx="29">
                  <c:v>631.9</c:v>
                </c:pt>
                <c:pt idx="30">
                  <c:v>645.78</c:v>
                </c:pt>
                <c:pt idx="31">
                  <c:v>659.86</c:v>
                </c:pt>
                <c:pt idx="32">
                  <c:v>674.08</c:v>
                </c:pt>
                <c:pt idx="33">
                  <c:v>688.34</c:v>
                </c:pt>
                <c:pt idx="34">
                  <c:v>702.55</c:v>
                </c:pt>
                <c:pt idx="35">
                  <c:v>716.6</c:v>
                </c:pt>
                <c:pt idx="36">
                  <c:v>730.35</c:v>
                </c:pt>
                <c:pt idx="37">
                  <c:v>743.7</c:v>
                </c:pt>
                <c:pt idx="38">
                  <c:v>756.5</c:v>
                </c:pt>
                <c:pt idx="39">
                  <c:v>768.62</c:v>
                </c:pt>
                <c:pt idx="40">
                  <c:v>779.94</c:v>
                </c:pt>
                <c:pt idx="41">
                  <c:v>790.34</c:v>
                </c:pt>
                <c:pt idx="42">
                  <c:v>799.73</c:v>
                </c:pt>
                <c:pt idx="43">
                  <c:v>808.02</c:v>
                </c:pt>
                <c:pt idx="44">
                  <c:v>815.18</c:v>
                </c:pt>
                <c:pt idx="45">
                  <c:v>821.18</c:v>
                </c:pt>
                <c:pt idx="46">
                  <c:v>826.03</c:v>
                </c:pt>
                <c:pt idx="47">
                  <c:v>829.8</c:v>
                </c:pt>
                <c:pt idx="48">
                  <c:v>832.58</c:v>
                </c:pt>
                <c:pt idx="49">
                  <c:v>834.49</c:v>
                </c:pt>
                <c:pt idx="50">
                  <c:v>835.69</c:v>
                </c:pt>
                <c:pt idx="51">
                  <c:v>836.38</c:v>
                </c:pt>
                <c:pt idx="52">
                  <c:v>836.79</c:v>
                </c:pt>
                <c:pt idx="53">
                  <c:v>837.14</c:v>
                </c:pt>
                <c:pt idx="54">
                  <c:v>837.69</c:v>
                </c:pt>
                <c:pt idx="55">
                  <c:v>838.73</c:v>
                </c:pt>
                <c:pt idx="56">
                  <c:v>840.54</c:v>
                </c:pt>
                <c:pt idx="57">
                  <c:v>843.45</c:v>
                </c:pt>
                <c:pt idx="58">
                  <c:v>847.84</c:v>
                </c:pt>
                <c:pt idx="59">
                  <c:v>854.14</c:v>
                </c:pt>
                <c:pt idx="60">
                  <c:v>862.87</c:v>
                </c:pt>
                <c:pt idx="61">
                  <c:v>874.7</c:v>
                </c:pt>
                <c:pt idx="62">
                  <c:v>890.48</c:v>
                </c:pt>
                <c:pt idx="63">
                  <c:v>911.3</c:v>
                </c:pt>
                <c:pt idx="64">
                  <c:v>938.57</c:v>
                </c:pt>
                <c:pt idx="65">
                  <c:v>974.11</c:v>
                </c:pt>
                <c:pt idx="66">
                  <c:v>1020.27</c:v>
                </c:pt>
                <c:pt idx="67">
                  <c:v>1080.06</c:v>
                </c:pt>
                <c:pt idx="68">
                  <c:v>1157.31</c:v>
                </c:pt>
                <c:pt idx="69">
                  <c:v>1256.95</c:v>
                </c:pt>
                <c:pt idx="70">
                  <c:v>1385.52</c:v>
                </c:pt>
                <c:pt idx="71">
                  <c:v>1552.12</c:v>
                </c:pt>
                <c:pt idx="72">
                  <c:v>1770.2</c:v>
                </c:pt>
                <c:pt idx="73">
                  <c:v>2060.5</c:v>
                </c:pt>
                <c:pt idx="74">
                  <c:v>2454.9699999999998</c:v>
                </c:pt>
                <c:pt idx="75">
                  <c:v>3001.09</c:v>
                </c:pt>
                <c:pt idx="76">
                  <c:v>3764.3</c:v>
                </c:pt>
                <c:pt idx="77">
                  <c:v>4824.7700000000004</c:v>
                </c:pt>
                <c:pt idx="78">
                  <c:v>6225.07</c:v>
                </c:pt>
                <c:pt idx="79">
                  <c:v>7767.11</c:v>
                </c:pt>
                <c:pt idx="80">
                  <c:v>9027.2099999999991</c:v>
                </c:pt>
                <c:pt idx="81">
                  <c:v>9590.32</c:v>
                </c:pt>
                <c:pt idx="82">
                  <c:v>9187.91</c:v>
                </c:pt>
                <c:pt idx="83">
                  <c:v>7849.21</c:v>
                </c:pt>
                <c:pt idx="84">
                  <c:v>5955.17</c:v>
                </c:pt>
                <c:pt idx="85">
                  <c:v>4134.4799999999996</c:v>
                </c:pt>
                <c:pt idx="86">
                  <c:v>2802.93</c:v>
                </c:pt>
                <c:pt idx="87">
                  <c:v>1928.04</c:v>
                </c:pt>
                <c:pt idx="88">
                  <c:v>1360.9</c:v>
                </c:pt>
                <c:pt idx="89">
                  <c:v>988.54</c:v>
                </c:pt>
                <c:pt idx="90">
                  <c:v>738.73</c:v>
                </c:pt>
                <c:pt idx="91">
                  <c:v>567.04</c:v>
                </c:pt>
                <c:pt idx="92">
                  <c:v>446.14</c:v>
                </c:pt>
                <c:pt idx="93">
                  <c:v>358.98</c:v>
                </c:pt>
                <c:pt idx="94">
                  <c:v>294.75</c:v>
                </c:pt>
                <c:pt idx="95">
                  <c:v>246.42</c:v>
                </c:pt>
                <c:pt idx="96">
                  <c:v>209.36</c:v>
                </c:pt>
                <c:pt idx="97">
                  <c:v>180.46</c:v>
                </c:pt>
                <c:pt idx="98">
                  <c:v>157.59</c:v>
                </c:pt>
                <c:pt idx="99">
                  <c:v>139.29</c:v>
                </c:pt>
                <c:pt idx="100">
                  <c:v>124.53</c:v>
                </c:pt>
                <c:pt idx="101">
                  <c:v>112.57</c:v>
                </c:pt>
                <c:pt idx="102">
                  <c:v>102.87</c:v>
                </c:pt>
                <c:pt idx="103">
                  <c:v>95.01</c:v>
                </c:pt>
                <c:pt idx="104">
                  <c:v>88.67</c:v>
                </c:pt>
                <c:pt idx="105">
                  <c:v>83.57</c:v>
                </c:pt>
                <c:pt idx="106">
                  <c:v>79.510000000000005</c:v>
                </c:pt>
                <c:pt idx="107">
                  <c:v>76.3</c:v>
                </c:pt>
                <c:pt idx="108">
                  <c:v>73.819999999999993</c:v>
                </c:pt>
                <c:pt idx="109">
                  <c:v>71.95</c:v>
                </c:pt>
                <c:pt idx="110">
                  <c:v>70.59</c:v>
                </c:pt>
                <c:pt idx="111">
                  <c:v>69.67</c:v>
                </c:pt>
                <c:pt idx="112">
                  <c:v>69.12</c:v>
                </c:pt>
                <c:pt idx="113">
                  <c:v>68.91</c:v>
                </c:pt>
                <c:pt idx="114">
                  <c:v>68.989999999999995</c:v>
                </c:pt>
                <c:pt idx="115">
                  <c:v>69.319999999999993</c:v>
                </c:pt>
                <c:pt idx="116">
                  <c:v>69.86</c:v>
                </c:pt>
                <c:pt idx="117">
                  <c:v>70.38</c:v>
                </c:pt>
              </c:numCache>
            </c:numRef>
          </c:val>
          <c:smooth val="0"/>
          <c:extLst>
            <c:ext xmlns:c16="http://schemas.microsoft.com/office/drawing/2014/chart" uri="{C3380CC4-5D6E-409C-BE32-E72D297353CC}">
              <c16:uniqueId val="{0000001F-20CA-4C1B-A834-BE5B83AD144A}"/>
            </c:ext>
          </c:extLst>
        </c:ser>
        <c:ser>
          <c:idx val="32"/>
          <c:order val="32"/>
          <c:tx>
            <c:strRef>
              <c:f>'50..800_F2'!$AH$3:$AH$4</c:f>
              <c:strCache>
                <c:ptCount val="1"/>
                <c:pt idx="0">
                  <c:v>F12</c:v>
                </c:pt>
              </c:strCache>
            </c:strRef>
          </c:tx>
          <c:spPr>
            <a:ln w="28575" cap="rnd">
              <a:solidFill>
                <a:schemeClr val="accent3">
                  <a:lumMod val="50000"/>
                </a:schemeClr>
              </a:solidFill>
              <a:round/>
            </a:ln>
            <a:effectLst/>
          </c:spPr>
          <c:marker>
            <c:symbol val="none"/>
          </c:marker>
          <c:cat>
            <c:strRef>
              <c:f>'50..800_F2'!$A$5:$A$123</c:f>
              <c:strCache>
                <c:ptCount val="1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strCache>
            </c:strRef>
          </c:cat>
          <c:val>
            <c:numRef>
              <c:f>'50..800_F2'!$AH$5:$AH$123</c:f>
              <c:numCache>
                <c:formatCode>General</c:formatCode>
                <c:ptCount val="118"/>
                <c:pt idx="0">
                  <c:v>238.66</c:v>
                </c:pt>
                <c:pt idx="1">
                  <c:v>241.77</c:v>
                </c:pt>
                <c:pt idx="2">
                  <c:v>246</c:v>
                </c:pt>
                <c:pt idx="3">
                  <c:v>250.67</c:v>
                </c:pt>
                <c:pt idx="4">
                  <c:v>255.63</c:v>
                </c:pt>
                <c:pt idx="5">
                  <c:v>260.88</c:v>
                </c:pt>
                <c:pt idx="6">
                  <c:v>266.44</c:v>
                </c:pt>
                <c:pt idx="7">
                  <c:v>272.35000000000002</c:v>
                </c:pt>
                <c:pt idx="8">
                  <c:v>278.60000000000002</c:v>
                </c:pt>
                <c:pt idx="9">
                  <c:v>285.24</c:v>
                </c:pt>
                <c:pt idx="10">
                  <c:v>292.27</c:v>
                </c:pt>
                <c:pt idx="11">
                  <c:v>299.72000000000003</c:v>
                </c:pt>
                <c:pt idx="12">
                  <c:v>307.62</c:v>
                </c:pt>
                <c:pt idx="13">
                  <c:v>315.98</c:v>
                </c:pt>
                <c:pt idx="14">
                  <c:v>324.83999999999997</c:v>
                </c:pt>
                <c:pt idx="15">
                  <c:v>334.22</c:v>
                </c:pt>
                <c:pt idx="16">
                  <c:v>344.14</c:v>
                </c:pt>
                <c:pt idx="17">
                  <c:v>354.63</c:v>
                </c:pt>
                <c:pt idx="18">
                  <c:v>365.71</c:v>
                </c:pt>
                <c:pt idx="19">
                  <c:v>377.4</c:v>
                </c:pt>
                <c:pt idx="20">
                  <c:v>389.73</c:v>
                </c:pt>
                <c:pt idx="21">
                  <c:v>402.71</c:v>
                </c:pt>
                <c:pt idx="22">
                  <c:v>416.36</c:v>
                </c:pt>
                <c:pt idx="23">
                  <c:v>430.67</c:v>
                </c:pt>
                <c:pt idx="24">
                  <c:v>445.65</c:v>
                </c:pt>
                <c:pt idx="25">
                  <c:v>461.3</c:v>
                </c:pt>
                <c:pt idx="26">
                  <c:v>477.59</c:v>
                </c:pt>
                <c:pt idx="27">
                  <c:v>494.5</c:v>
                </c:pt>
                <c:pt idx="28">
                  <c:v>511.98</c:v>
                </c:pt>
                <c:pt idx="29">
                  <c:v>529.97</c:v>
                </c:pt>
                <c:pt idx="30">
                  <c:v>548.39</c:v>
                </c:pt>
                <c:pt idx="31">
                  <c:v>567.15</c:v>
                </c:pt>
                <c:pt idx="32">
                  <c:v>586.13</c:v>
                </c:pt>
                <c:pt idx="33">
                  <c:v>605.20000000000005</c:v>
                </c:pt>
                <c:pt idx="34">
                  <c:v>624.19000000000005</c:v>
                </c:pt>
                <c:pt idx="35">
                  <c:v>642.95000000000005</c:v>
                </c:pt>
                <c:pt idx="36">
                  <c:v>661.27</c:v>
                </c:pt>
                <c:pt idx="37">
                  <c:v>678.97</c:v>
                </c:pt>
                <c:pt idx="38">
                  <c:v>695.84</c:v>
                </c:pt>
                <c:pt idx="39">
                  <c:v>711.69</c:v>
                </c:pt>
                <c:pt idx="40">
                  <c:v>726.34</c:v>
                </c:pt>
                <c:pt idx="41">
                  <c:v>739.65</c:v>
                </c:pt>
                <c:pt idx="42">
                  <c:v>751.48</c:v>
                </c:pt>
                <c:pt idx="43">
                  <c:v>761.77</c:v>
                </c:pt>
                <c:pt idx="44">
                  <c:v>770.51</c:v>
                </c:pt>
                <c:pt idx="45">
                  <c:v>777.74</c:v>
                </c:pt>
                <c:pt idx="46">
                  <c:v>783.58</c:v>
                </c:pt>
                <c:pt idx="47">
                  <c:v>788.22</c:v>
                </c:pt>
                <c:pt idx="48">
                  <c:v>791.91</c:v>
                </c:pt>
                <c:pt idx="49">
                  <c:v>794.98</c:v>
                </c:pt>
                <c:pt idx="50">
                  <c:v>797.79</c:v>
                </c:pt>
                <c:pt idx="51">
                  <c:v>800.76</c:v>
                </c:pt>
                <c:pt idx="52">
                  <c:v>804.33</c:v>
                </c:pt>
                <c:pt idx="53">
                  <c:v>808.92</c:v>
                </c:pt>
                <c:pt idx="54">
                  <c:v>814.99</c:v>
                </c:pt>
                <c:pt idx="55">
                  <c:v>822.93</c:v>
                </c:pt>
                <c:pt idx="56">
                  <c:v>833.11</c:v>
                </c:pt>
                <c:pt idx="57">
                  <c:v>845.85</c:v>
                </c:pt>
                <c:pt idx="58">
                  <c:v>861.41</c:v>
                </c:pt>
                <c:pt idx="59">
                  <c:v>879.96</c:v>
                </c:pt>
                <c:pt idx="60">
                  <c:v>901.62</c:v>
                </c:pt>
                <c:pt idx="61">
                  <c:v>926.44</c:v>
                </c:pt>
                <c:pt idx="62">
                  <c:v>954.45</c:v>
                </c:pt>
                <c:pt idx="63">
                  <c:v>985.74</c:v>
                </c:pt>
                <c:pt idx="64">
                  <c:v>1020.57</c:v>
                </c:pt>
                <c:pt idx="65">
                  <c:v>1059.56</c:v>
                </c:pt>
                <c:pt idx="66">
                  <c:v>1103.95</c:v>
                </c:pt>
                <c:pt idx="67">
                  <c:v>1155.8800000000001</c:v>
                </c:pt>
                <c:pt idx="68">
                  <c:v>1218.76</c:v>
                </c:pt>
                <c:pt idx="69">
                  <c:v>1297.72</c:v>
                </c:pt>
                <c:pt idx="70">
                  <c:v>1400.17</c:v>
                </c:pt>
                <c:pt idx="71">
                  <c:v>1536.74</c:v>
                </c:pt>
                <c:pt idx="72">
                  <c:v>1722.61</c:v>
                </c:pt>
                <c:pt idx="73">
                  <c:v>1979.42</c:v>
                </c:pt>
                <c:pt idx="74">
                  <c:v>2337.9499999999998</c:v>
                </c:pt>
                <c:pt idx="75">
                  <c:v>2841.44</c:v>
                </c:pt>
                <c:pt idx="76">
                  <c:v>3548.93</c:v>
                </c:pt>
                <c:pt idx="77">
                  <c:v>4533.99</c:v>
                </c:pt>
                <c:pt idx="78">
                  <c:v>5851.42</c:v>
                </c:pt>
                <c:pt idx="79">
                  <c:v>7369.64</c:v>
                </c:pt>
                <c:pt idx="80">
                  <c:v>8689.2199999999993</c:v>
                </c:pt>
                <c:pt idx="81">
                  <c:v>9379.4699999999993</c:v>
                </c:pt>
                <c:pt idx="82">
                  <c:v>9139.6200000000008</c:v>
                </c:pt>
                <c:pt idx="83">
                  <c:v>7946.29</c:v>
                </c:pt>
                <c:pt idx="84">
                  <c:v>6121.11</c:v>
                </c:pt>
                <c:pt idx="85">
                  <c:v>4258.33</c:v>
                </c:pt>
                <c:pt idx="86">
                  <c:v>2856.22</c:v>
                </c:pt>
                <c:pt idx="87">
                  <c:v>1939.21</c:v>
                </c:pt>
                <c:pt idx="88">
                  <c:v>1351.85</c:v>
                </c:pt>
                <c:pt idx="89">
                  <c:v>970.99</c:v>
                </c:pt>
                <c:pt idx="90">
                  <c:v>718.42</c:v>
                </c:pt>
                <c:pt idx="91">
                  <c:v>546.53</c:v>
                </c:pt>
                <c:pt idx="92">
                  <c:v>426.43</c:v>
                </c:pt>
                <c:pt idx="93">
                  <c:v>340.18</c:v>
                </c:pt>
                <c:pt idx="94">
                  <c:v>276.41000000000003</c:v>
                </c:pt>
                <c:pt idx="95">
                  <c:v>227.82</c:v>
                </c:pt>
                <c:pt idx="96">
                  <c:v>189.71</c:v>
                </c:pt>
                <c:pt idx="97">
                  <c:v>159.15</c:v>
                </c:pt>
                <c:pt idx="98">
                  <c:v>134.29</c:v>
                </c:pt>
                <c:pt idx="99">
                  <c:v>113.98</c:v>
                </c:pt>
                <c:pt idx="100">
                  <c:v>97.41</c:v>
                </c:pt>
                <c:pt idx="101">
                  <c:v>83.99</c:v>
                </c:pt>
                <c:pt idx="102">
                  <c:v>73.23</c:v>
                </c:pt>
                <c:pt idx="103">
                  <c:v>64.69</c:v>
                </c:pt>
                <c:pt idx="104">
                  <c:v>57.99</c:v>
                </c:pt>
                <c:pt idx="105">
                  <c:v>52.8</c:v>
                </c:pt>
                <c:pt idx="106">
                  <c:v>48.83</c:v>
                </c:pt>
                <c:pt idx="107">
                  <c:v>45.85</c:v>
                </c:pt>
                <c:pt idx="108">
                  <c:v>43.67</c:v>
                </c:pt>
                <c:pt idx="109">
                  <c:v>42.15</c:v>
                </c:pt>
                <c:pt idx="110">
                  <c:v>41.15</c:v>
                </c:pt>
                <c:pt idx="111">
                  <c:v>40.6</c:v>
                </c:pt>
                <c:pt idx="112">
                  <c:v>40.409999999999997</c:v>
                </c:pt>
                <c:pt idx="113">
                  <c:v>40.53</c:v>
                </c:pt>
                <c:pt idx="114">
                  <c:v>40.92</c:v>
                </c:pt>
                <c:pt idx="115">
                  <c:v>41.54</c:v>
                </c:pt>
                <c:pt idx="116">
                  <c:v>42.31</c:v>
                </c:pt>
                <c:pt idx="117">
                  <c:v>42.94</c:v>
                </c:pt>
              </c:numCache>
            </c:numRef>
          </c:val>
          <c:smooth val="0"/>
          <c:extLst>
            <c:ext xmlns:c16="http://schemas.microsoft.com/office/drawing/2014/chart" uri="{C3380CC4-5D6E-409C-BE32-E72D297353CC}">
              <c16:uniqueId val="{00000021-20CA-4C1B-A834-BE5B83AD144A}"/>
            </c:ext>
          </c:extLst>
        </c:ser>
        <c:dLbls>
          <c:showLegendKey val="0"/>
          <c:showVal val="0"/>
          <c:showCatName val="0"/>
          <c:showSerName val="0"/>
          <c:showPercent val="0"/>
          <c:showBubbleSize val="0"/>
        </c:dLbls>
        <c:smooth val="0"/>
        <c:axId val="517125471"/>
        <c:axId val="517131295"/>
      </c:lineChart>
      <c:catAx>
        <c:axId val="517125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Sample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31295"/>
        <c:crosses val="autoZero"/>
        <c:auto val="1"/>
        <c:lblAlgn val="ctr"/>
        <c:lblOffset val="100"/>
        <c:noMultiLvlLbl val="0"/>
      </c:catAx>
      <c:valAx>
        <c:axId val="517131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CFU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2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[Exp800.10 Optimal Conc of IAC in Leg pneumo assay.xlsx]50..800_amp!PivotTable8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IAC</a:t>
            </a:r>
            <a:r>
              <a:rPr lang="en-US" baseline="0"/>
              <a:t> Amplification (Cy5) in Presence of 50, 800nM Leg pneumo F primer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pivotFmt>
      <c:pivotFmt>
        <c:idx val="134"/>
        <c:spPr>
          <a:solidFill>
            <a:schemeClr val="accent1"/>
          </a:solidFill>
          <a:ln w="28575" cap="rnd">
            <a:solidFill>
              <a:schemeClr val="accent1"/>
            </a:solidFill>
            <a:round/>
          </a:ln>
          <a:effectLst/>
        </c:spPr>
      </c:pivotFmt>
      <c:pivotFmt>
        <c:idx val="135"/>
        <c:spPr>
          <a:solidFill>
            <a:schemeClr val="accent1"/>
          </a:solidFill>
          <a:ln w="28575" cap="rnd">
            <a:solidFill>
              <a:schemeClr val="accent1"/>
            </a:solidFill>
            <a:round/>
          </a:ln>
          <a:effectLst/>
        </c:spPr>
      </c:pivotFmt>
      <c:pivotFmt>
        <c:idx val="136"/>
        <c:spPr>
          <a:solidFill>
            <a:schemeClr val="accent1"/>
          </a:solidFill>
          <a:ln w="28575" cap="rnd">
            <a:solidFill>
              <a:schemeClr val="accent1"/>
            </a:solidFill>
            <a:round/>
          </a:ln>
          <a:effectLst/>
        </c:spPr>
      </c:pivotFmt>
      <c:pivotFmt>
        <c:idx val="137"/>
        <c:spPr>
          <a:solidFill>
            <a:schemeClr val="accent1"/>
          </a:solidFill>
          <a:ln w="28575" cap="rnd">
            <a:solidFill>
              <a:schemeClr val="accent1"/>
            </a:solidFill>
            <a:round/>
          </a:ln>
          <a:effectLst/>
        </c:spPr>
      </c:pivotFmt>
      <c:pivotFmt>
        <c:idx val="138"/>
        <c:spPr>
          <a:solidFill>
            <a:schemeClr val="accent1"/>
          </a:solidFill>
          <a:ln w="28575" cap="rnd">
            <a:solidFill>
              <a:schemeClr val="accent1"/>
            </a:solidFill>
            <a:round/>
          </a:ln>
          <a:effectLst/>
        </c:spPr>
      </c:pivotFmt>
      <c:pivotFmt>
        <c:idx val="139"/>
        <c:spPr>
          <a:solidFill>
            <a:schemeClr val="accent1"/>
          </a:solidFill>
          <a:ln w="28575" cap="rnd">
            <a:solidFill>
              <a:schemeClr val="accent1"/>
            </a:solidFill>
            <a:round/>
          </a:ln>
          <a:effectLst/>
        </c:spPr>
      </c:pivotFmt>
      <c:pivotFmt>
        <c:idx val="140"/>
        <c:spPr>
          <a:solidFill>
            <a:schemeClr val="accent1"/>
          </a:solidFill>
          <a:ln w="28575" cap="rnd">
            <a:solidFill>
              <a:schemeClr val="accent1"/>
            </a:solidFill>
            <a:round/>
          </a:ln>
          <a:effectLst/>
        </c:spPr>
      </c:pivotFmt>
      <c:pivotFmt>
        <c:idx val="141"/>
        <c:spPr>
          <a:solidFill>
            <a:schemeClr val="accent1"/>
          </a:solidFill>
          <a:ln w="28575" cap="rnd">
            <a:solidFill>
              <a:schemeClr val="accent1"/>
            </a:solidFill>
            <a:round/>
          </a:ln>
          <a:effectLst/>
        </c:spPr>
      </c:pivotFmt>
      <c:pivotFmt>
        <c:idx val="142"/>
        <c:spPr>
          <a:solidFill>
            <a:schemeClr val="accent1"/>
          </a:solidFill>
          <a:ln w="28575" cap="rnd">
            <a:solidFill>
              <a:schemeClr val="accent1"/>
            </a:solidFill>
            <a:round/>
          </a:ln>
          <a:effectLst/>
        </c:spPr>
      </c:pivotFmt>
      <c:pivotFmt>
        <c:idx val="143"/>
        <c:spPr>
          <a:solidFill>
            <a:schemeClr val="accent1"/>
          </a:solidFill>
          <a:ln w="28575" cap="rnd">
            <a:solidFill>
              <a:schemeClr val="accent1"/>
            </a:solidFill>
            <a:round/>
          </a:ln>
          <a:effectLst/>
        </c:spPr>
      </c:pivotFmt>
      <c:pivotFmt>
        <c:idx val="144"/>
        <c:spPr>
          <a:solidFill>
            <a:schemeClr val="accent1"/>
          </a:solidFill>
          <a:ln w="28575" cap="rnd">
            <a:solidFill>
              <a:schemeClr val="accent1"/>
            </a:solidFill>
            <a:round/>
          </a:ln>
          <a:effectLst/>
        </c:spPr>
      </c:pivotFmt>
      <c:pivotFmt>
        <c:idx val="145"/>
        <c:spPr>
          <a:solidFill>
            <a:schemeClr val="accent1"/>
          </a:solidFill>
          <a:ln w="28575" cap="rnd">
            <a:solidFill>
              <a:schemeClr val="accent1"/>
            </a:solidFill>
            <a:round/>
          </a:ln>
          <a:effectLst/>
        </c:spPr>
      </c:pivotFmt>
      <c:pivotFmt>
        <c:idx val="146"/>
        <c:spPr>
          <a:solidFill>
            <a:schemeClr val="accent1"/>
          </a:solidFill>
          <a:ln w="28575" cap="rnd">
            <a:solidFill>
              <a:schemeClr val="accent1"/>
            </a:solidFill>
            <a:round/>
          </a:ln>
          <a:effectLst/>
        </c:spPr>
      </c:pivotFmt>
      <c:pivotFmt>
        <c:idx val="147"/>
        <c:spPr>
          <a:solidFill>
            <a:schemeClr val="accent1"/>
          </a:solidFill>
          <a:ln w="28575" cap="rnd">
            <a:solidFill>
              <a:schemeClr val="accent1"/>
            </a:solidFill>
            <a:round/>
          </a:ln>
          <a:effectLst/>
        </c:spPr>
      </c:pivotFmt>
      <c:pivotFmt>
        <c:idx val="148"/>
        <c:spPr>
          <a:solidFill>
            <a:schemeClr val="accent1"/>
          </a:solidFill>
          <a:ln w="28575" cap="rnd">
            <a:solidFill>
              <a:schemeClr val="accent1"/>
            </a:solidFill>
            <a:round/>
          </a:ln>
          <a:effectLst/>
        </c:spPr>
      </c:pivotFmt>
      <c:pivotFmt>
        <c:idx val="149"/>
        <c:spPr>
          <a:solidFill>
            <a:schemeClr val="accent1"/>
          </a:solidFill>
          <a:ln w="28575" cap="rnd">
            <a:solidFill>
              <a:schemeClr val="accent1"/>
            </a:solidFill>
            <a:round/>
          </a:ln>
          <a:effectLst/>
        </c:spPr>
      </c:pivotFmt>
      <c:pivotFmt>
        <c:idx val="150"/>
        <c:spPr>
          <a:solidFill>
            <a:schemeClr val="accent1"/>
          </a:solidFill>
          <a:ln w="28575" cap="rnd">
            <a:solidFill>
              <a:schemeClr val="accent1"/>
            </a:solidFill>
            <a:round/>
          </a:ln>
          <a:effectLst/>
        </c:spPr>
      </c:pivotFmt>
      <c:pivotFmt>
        <c:idx val="151"/>
        <c:spPr>
          <a:solidFill>
            <a:schemeClr val="accent1"/>
          </a:solidFill>
          <a:ln w="28575" cap="rnd">
            <a:solidFill>
              <a:schemeClr val="accent1"/>
            </a:solidFill>
            <a:round/>
          </a:ln>
          <a:effectLst/>
        </c:spPr>
      </c:pivotFmt>
      <c:pivotFmt>
        <c:idx val="152"/>
        <c:spPr>
          <a:solidFill>
            <a:schemeClr val="accent1"/>
          </a:solidFill>
          <a:ln w="28575" cap="rnd">
            <a:solidFill>
              <a:schemeClr val="accent1"/>
            </a:solidFill>
            <a:round/>
          </a:ln>
          <a:effectLst/>
        </c:spPr>
      </c:pivotFmt>
      <c:pivotFmt>
        <c:idx val="153"/>
        <c:spPr>
          <a:solidFill>
            <a:schemeClr val="accent1"/>
          </a:solidFill>
          <a:ln w="28575" cap="rnd">
            <a:solidFill>
              <a:schemeClr val="accent1"/>
            </a:solidFill>
            <a:round/>
          </a:ln>
          <a:effectLst/>
        </c:spPr>
      </c:pivotFmt>
      <c:pivotFmt>
        <c:idx val="154"/>
        <c:spPr>
          <a:solidFill>
            <a:schemeClr val="accent1"/>
          </a:solidFill>
          <a:ln w="28575" cap="rnd">
            <a:solidFill>
              <a:schemeClr val="accent1"/>
            </a:solidFill>
            <a:round/>
          </a:ln>
          <a:effectLst/>
        </c:spPr>
      </c:pivotFmt>
      <c:pivotFmt>
        <c:idx val="155"/>
        <c:spPr>
          <a:solidFill>
            <a:schemeClr val="accent1"/>
          </a:solidFill>
          <a:ln w="28575" cap="rnd">
            <a:solidFill>
              <a:schemeClr val="accent1"/>
            </a:solidFill>
            <a:round/>
          </a:ln>
          <a:effectLst/>
        </c:spPr>
      </c:pivotFmt>
      <c:pivotFmt>
        <c:idx val="156"/>
        <c:spPr>
          <a:solidFill>
            <a:schemeClr val="accent1"/>
          </a:solidFill>
          <a:ln w="28575" cap="rnd">
            <a:solidFill>
              <a:schemeClr val="accent1"/>
            </a:solidFill>
            <a:round/>
          </a:ln>
          <a:effectLst/>
        </c:spPr>
      </c:pivotFmt>
      <c:pivotFmt>
        <c:idx val="157"/>
        <c:spPr>
          <a:solidFill>
            <a:schemeClr val="accent1"/>
          </a:solidFill>
          <a:ln w="28575" cap="rnd">
            <a:solidFill>
              <a:schemeClr val="accent1"/>
            </a:solidFill>
            <a:round/>
          </a:ln>
          <a:effectLst/>
        </c:spPr>
      </c:pivotFmt>
      <c:pivotFmt>
        <c:idx val="158"/>
        <c:spPr>
          <a:solidFill>
            <a:schemeClr val="accent1"/>
          </a:solidFill>
          <a:ln w="28575" cap="rnd">
            <a:solidFill>
              <a:schemeClr val="accent1"/>
            </a:solidFill>
            <a:round/>
          </a:ln>
          <a:effectLst/>
        </c:spPr>
      </c:pivotFmt>
      <c:pivotFmt>
        <c:idx val="159"/>
        <c:spPr>
          <a:solidFill>
            <a:schemeClr val="accent1"/>
          </a:solidFill>
          <a:ln w="28575" cap="rnd">
            <a:solidFill>
              <a:schemeClr val="accent1"/>
            </a:solidFill>
            <a:round/>
          </a:ln>
          <a:effectLst/>
        </c:spPr>
      </c:pivotFmt>
      <c:pivotFmt>
        <c:idx val="160"/>
        <c:spPr>
          <a:solidFill>
            <a:schemeClr val="accent1"/>
          </a:solidFill>
          <a:ln w="28575" cap="rnd">
            <a:solidFill>
              <a:schemeClr val="accent1"/>
            </a:solidFill>
            <a:round/>
          </a:ln>
          <a:effectLst/>
        </c:spPr>
      </c:pivotFmt>
      <c:pivotFmt>
        <c:idx val="161"/>
        <c:spPr>
          <a:solidFill>
            <a:schemeClr val="accent1"/>
          </a:solidFill>
          <a:ln w="28575" cap="rnd">
            <a:solidFill>
              <a:schemeClr val="accent1"/>
            </a:solidFill>
            <a:round/>
          </a:ln>
          <a:effectLst/>
        </c:spPr>
      </c:pivotFmt>
      <c:pivotFmt>
        <c:idx val="162"/>
        <c:spPr>
          <a:solidFill>
            <a:schemeClr val="accent1"/>
          </a:solidFill>
          <a:ln w="28575" cap="rnd">
            <a:solidFill>
              <a:schemeClr val="accent1"/>
            </a:solidFill>
            <a:round/>
          </a:ln>
          <a:effectLst/>
        </c:spPr>
      </c:pivotFmt>
      <c:pivotFmt>
        <c:idx val="163"/>
        <c:spPr>
          <a:solidFill>
            <a:schemeClr val="accent1"/>
          </a:solidFill>
          <a:ln w="28575" cap="rnd">
            <a:solidFill>
              <a:schemeClr val="accent1"/>
            </a:solidFill>
            <a:round/>
          </a:ln>
          <a:effectLst/>
        </c:spPr>
      </c:pivotFmt>
      <c:pivotFmt>
        <c:idx val="164"/>
        <c:spPr>
          <a:solidFill>
            <a:schemeClr val="accent1"/>
          </a:solidFill>
          <a:ln w="28575" cap="rnd">
            <a:solidFill>
              <a:schemeClr val="accent1"/>
            </a:solidFill>
            <a:round/>
          </a:ln>
          <a:effectLst/>
        </c:spPr>
      </c:pivotFmt>
      <c:pivotFmt>
        <c:idx val="165"/>
        <c:spPr>
          <a:solidFill>
            <a:schemeClr val="accent1"/>
          </a:solidFill>
          <a:ln w="28575" cap="rnd">
            <a:solidFill>
              <a:schemeClr val="accent1"/>
            </a:solidFill>
            <a:round/>
          </a:ln>
          <a:effectLst/>
        </c:spPr>
      </c:pivotFmt>
      <c:pivotFmt>
        <c:idx val="166"/>
        <c:spPr>
          <a:solidFill>
            <a:schemeClr val="accent1"/>
          </a:solidFill>
          <a:ln w="28575" cap="rnd">
            <a:solidFill>
              <a:schemeClr val="accent1"/>
            </a:solidFill>
            <a:round/>
          </a:ln>
          <a:effectLst/>
        </c:spPr>
      </c:pivotFmt>
      <c:pivotFmt>
        <c:idx val="167"/>
        <c:spPr>
          <a:solidFill>
            <a:schemeClr val="accent1"/>
          </a:solidFill>
          <a:ln w="28575" cap="rnd">
            <a:solidFill>
              <a:schemeClr val="accent1"/>
            </a:solidFill>
            <a:round/>
          </a:ln>
          <a:effectLst/>
        </c:spPr>
      </c:pivotFmt>
      <c:pivotFmt>
        <c:idx val="168"/>
        <c:spPr>
          <a:solidFill>
            <a:schemeClr val="accent1"/>
          </a:solidFill>
          <a:ln w="28575" cap="rnd">
            <a:solidFill>
              <a:schemeClr val="accent1"/>
            </a:solidFill>
            <a:round/>
          </a:ln>
          <a:effectLst/>
        </c:spPr>
      </c:pivotFmt>
      <c:pivotFmt>
        <c:idx val="169"/>
        <c:spPr>
          <a:solidFill>
            <a:schemeClr val="accent1"/>
          </a:solidFill>
          <a:ln w="28575" cap="rnd">
            <a:solidFill>
              <a:schemeClr val="accent1"/>
            </a:solidFill>
            <a:round/>
          </a:ln>
          <a:effectLst/>
        </c:spPr>
      </c:pivotFmt>
      <c:pivotFmt>
        <c:idx val="170"/>
        <c:spPr>
          <a:solidFill>
            <a:schemeClr val="accent1"/>
          </a:solidFill>
          <a:ln w="28575" cap="rnd">
            <a:solidFill>
              <a:schemeClr val="accent1"/>
            </a:solidFill>
            <a:round/>
          </a:ln>
          <a:effectLst/>
        </c:spPr>
      </c:pivotFmt>
      <c:pivotFmt>
        <c:idx val="171"/>
        <c:spPr>
          <a:solidFill>
            <a:schemeClr val="accent1"/>
          </a:solidFill>
          <a:ln w="28575" cap="rnd">
            <a:solidFill>
              <a:schemeClr val="accent1"/>
            </a:solidFill>
            <a:round/>
          </a:ln>
          <a:effectLst/>
        </c:spPr>
      </c:pivotFmt>
      <c:pivotFmt>
        <c:idx val="172"/>
        <c:spPr>
          <a:solidFill>
            <a:schemeClr val="accent1"/>
          </a:solidFill>
          <a:ln w="28575" cap="rnd">
            <a:solidFill>
              <a:schemeClr val="accent1"/>
            </a:solidFill>
            <a:round/>
          </a:ln>
          <a:effectLst/>
        </c:spPr>
      </c:pivotFmt>
      <c:pivotFmt>
        <c:idx val="173"/>
        <c:spPr>
          <a:solidFill>
            <a:schemeClr val="accent1"/>
          </a:solidFill>
          <a:ln w="28575" cap="rnd">
            <a:solidFill>
              <a:schemeClr val="accent1"/>
            </a:solidFill>
            <a:round/>
          </a:ln>
          <a:effectLst/>
        </c:spPr>
      </c:pivotFmt>
      <c:pivotFmt>
        <c:idx val="174"/>
        <c:spPr>
          <a:solidFill>
            <a:schemeClr val="accent1"/>
          </a:solidFill>
          <a:ln w="28575" cap="rnd">
            <a:solidFill>
              <a:schemeClr val="accent1"/>
            </a:solidFill>
            <a:round/>
          </a:ln>
          <a:effectLst/>
        </c:spPr>
      </c:pivotFmt>
      <c:pivotFmt>
        <c:idx val="175"/>
        <c:spPr>
          <a:solidFill>
            <a:schemeClr val="accent1"/>
          </a:solidFill>
          <a:ln w="28575" cap="rnd">
            <a:solidFill>
              <a:schemeClr val="accent1"/>
            </a:solidFill>
            <a:round/>
          </a:ln>
          <a:effectLst/>
        </c:spPr>
      </c:pivotFmt>
      <c:pivotFmt>
        <c:idx val="176"/>
        <c:spPr>
          <a:solidFill>
            <a:schemeClr val="accent1"/>
          </a:solidFill>
          <a:ln w="28575" cap="rnd">
            <a:solidFill>
              <a:schemeClr val="accent1"/>
            </a:solidFill>
            <a:round/>
          </a:ln>
          <a:effectLst/>
        </c:spPr>
      </c:pivotFmt>
      <c:pivotFmt>
        <c:idx val="177"/>
        <c:spPr>
          <a:solidFill>
            <a:schemeClr val="accent1"/>
          </a:solidFill>
          <a:ln w="28575" cap="rnd">
            <a:solidFill>
              <a:schemeClr val="accent1"/>
            </a:solidFill>
            <a:round/>
          </a:ln>
          <a:effectLst/>
        </c:spPr>
      </c:pivotFmt>
      <c:pivotFmt>
        <c:idx val="178"/>
        <c:spPr>
          <a:solidFill>
            <a:schemeClr val="accent1"/>
          </a:solidFill>
          <a:ln w="28575" cap="rnd">
            <a:solidFill>
              <a:schemeClr val="accent1"/>
            </a:solidFill>
            <a:round/>
          </a:ln>
          <a:effectLst/>
        </c:spPr>
      </c:pivotFmt>
      <c:pivotFmt>
        <c:idx val="179"/>
        <c:spPr>
          <a:solidFill>
            <a:schemeClr val="accent1"/>
          </a:solidFill>
          <a:ln w="28575" cap="rnd">
            <a:solidFill>
              <a:schemeClr val="accent1"/>
            </a:solidFill>
            <a:round/>
          </a:ln>
          <a:effectLst/>
        </c:spPr>
      </c:pivotFmt>
      <c:pivotFmt>
        <c:idx val="180"/>
        <c:spPr>
          <a:solidFill>
            <a:schemeClr val="accent1"/>
          </a:solidFill>
          <a:ln w="28575" cap="rnd">
            <a:solidFill>
              <a:schemeClr val="accent1"/>
            </a:solidFill>
            <a:round/>
          </a:ln>
          <a:effectLst/>
        </c:spPr>
      </c:pivotFmt>
      <c:pivotFmt>
        <c:idx val="181"/>
        <c:spPr>
          <a:solidFill>
            <a:schemeClr val="accent1"/>
          </a:solidFill>
          <a:ln w="28575" cap="rnd">
            <a:solidFill>
              <a:schemeClr val="accent1"/>
            </a:solidFill>
            <a:round/>
          </a:ln>
          <a:effectLst/>
        </c:spPr>
      </c:pivotFmt>
      <c:pivotFmt>
        <c:idx val="182"/>
        <c:spPr>
          <a:solidFill>
            <a:schemeClr val="accent1"/>
          </a:solidFill>
          <a:ln w="28575" cap="rnd">
            <a:solidFill>
              <a:schemeClr val="accent1"/>
            </a:solidFill>
            <a:round/>
          </a:ln>
          <a:effectLst/>
        </c:spPr>
      </c:pivotFmt>
      <c:pivotFmt>
        <c:idx val="183"/>
        <c:spPr>
          <a:solidFill>
            <a:schemeClr val="accent1"/>
          </a:solidFill>
          <a:ln w="28575" cap="rnd">
            <a:solidFill>
              <a:schemeClr val="accent1"/>
            </a:solidFill>
            <a:round/>
          </a:ln>
          <a:effectLst/>
        </c:spPr>
      </c:pivotFmt>
      <c:pivotFmt>
        <c:idx val="184"/>
        <c:spPr>
          <a:solidFill>
            <a:schemeClr val="accent1"/>
          </a:solidFill>
          <a:ln w="28575" cap="rnd">
            <a:solidFill>
              <a:schemeClr val="accent1"/>
            </a:solidFill>
            <a:round/>
          </a:ln>
          <a:effectLst/>
        </c:spPr>
      </c:pivotFmt>
      <c:pivotFmt>
        <c:idx val="185"/>
        <c:spPr>
          <a:solidFill>
            <a:schemeClr val="accent1"/>
          </a:solidFill>
          <a:ln w="28575" cap="rnd">
            <a:solidFill>
              <a:schemeClr val="accent1"/>
            </a:solidFill>
            <a:round/>
          </a:ln>
          <a:effectLst/>
        </c:spPr>
      </c:pivotFmt>
      <c:pivotFmt>
        <c:idx val="186"/>
        <c:spPr>
          <a:solidFill>
            <a:schemeClr val="accent1"/>
          </a:solidFill>
          <a:ln w="28575" cap="rnd">
            <a:solidFill>
              <a:schemeClr val="accent1"/>
            </a:solidFill>
            <a:round/>
          </a:ln>
          <a:effectLst/>
        </c:spPr>
      </c:pivotFmt>
      <c:pivotFmt>
        <c:idx val="187"/>
        <c:spPr>
          <a:solidFill>
            <a:schemeClr val="accent1"/>
          </a:solidFill>
          <a:ln w="28575" cap="rnd">
            <a:solidFill>
              <a:schemeClr val="accent1"/>
            </a:solidFill>
            <a:round/>
          </a:ln>
          <a:effectLst/>
        </c:spPr>
      </c:pivotFmt>
      <c:pivotFmt>
        <c:idx val="188"/>
        <c:spPr>
          <a:solidFill>
            <a:schemeClr val="accent1"/>
          </a:solidFill>
          <a:ln w="28575" cap="rnd">
            <a:solidFill>
              <a:schemeClr val="accent1"/>
            </a:solidFill>
            <a:round/>
          </a:ln>
          <a:effectLst/>
        </c:spPr>
      </c:pivotFmt>
      <c:pivotFmt>
        <c:idx val="189"/>
        <c:spPr>
          <a:solidFill>
            <a:schemeClr val="accent1"/>
          </a:solidFill>
          <a:ln w="28575" cap="rnd">
            <a:solidFill>
              <a:schemeClr val="accent1"/>
            </a:solidFill>
            <a:round/>
          </a:ln>
          <a:effectLst/>
        </c:spPr>
      </c:pivotFmt>
      <c:pivotFmt>
        <c:idx val="190"/>
        <c:spPr>
          <a:solidFill>
            <a:schemeClr val="accent1"/>
          </a:solidFill>
          <a:ln w="28575" cap="rnd">
            <a:solidFill>
              <a:schemeClr val="accent1"/>
            </a:solidFill>
            <a:round/>
          </a:ln>
          <a:effectLst/>
        </c:spPr>
      </c:pivotFmt>
      <c:pivotFmt>
        <c:idx val="191"/>
        <c:spPr>
          <a:solidFill>
            <a:schemeClr val="accent1"/>
          </a:solidFill>
          <a:ln w="28575" cap="rnd">
            <a:solidFill>
              <a:schemeClr val="accent1"/>
            </a:solidFill>
            <a:round/>
          </a:ln>
          <a:effectLst/>
        </c:spPr>
      </c:pivotFmt>
      <c:pivotFmt>
        <c:idx val="192"/>
        <c:spPr>
          <a:solidFill>
            <a:schemeClr val="accent1"/>
          </a:solidFill>
          <a:ln w="28575" cap="rnd">
            <a:solidFill>
              <a:schemeClr val="accent1"/>
            </a:solidFill>
            <a:round/>
          </a:ln>
          <a:effectLst/>
        </c:spPr>
      </c:pivotFmt>
      <c:pivotFmt>
        <c:idx val="193"/>
        <c:spPr>
          <a:solidFill>
            <a:schemeClr val="accent1"/>
          </a:solidFill>
          <a:ln w="28575" cap="rnd">
            <a:solidFill>
              <a:schemeClr val="accent1"/>
            </a:solidFill>
            <a:round/>
          </a:ln>
          <a:effectLst/>
        </c:spPr>
      </c:pivotFmt>
      <c:pivotFmt>
        <c:idx val="1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'50..800_amp'!$B$3:$B$4</c:f>
              <c:strCache>
                <c:ptCount val="1"/>
                <c:pt idx="0">
                  <c:v>A02</c:v>
                </c:pt>
              </c:strCache>
            </c:strRef>
          </c:tx>
          <c:spPr>
            <a:ln w="28575" cap="rnd">
              <a:solidFill>
                <a:schemeClr val="accent1"/>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'50..800_amp'!$B$5:$B$50</c:f>
              <c:numCache>
                <c:formatCode>General</c:formatCode>
                <c:ptCount val="45"/>
                <c:pt idx="0">
                  <c:v>5887.3</c:v>
                </c:pt>
                <c:pt idx="1">
                  <c:v>5963.89</c:v>
                </c:pt>
                <c:pt idx="2">
                  <c:v>5967.72</c:v>
                </c:pt>
                <c:pt idx="3">
                  <c:v>5973</c:v>
                </c:pt>
                <c:pt idx="4">
                  <c:v>5975.24</c:v>
                </c:pt>
                <c:pt idx="5">
                  <c:v>5977.33</c:v>
                </c:pt>
                <c:pt idx="6">
                  <c:v>5982.79</c:v>
                </c:pt>
                <c:pt idx="7">
                  <c:v>5989.77</c:v>
                </c:pt>
                <c:pt idx="8">
                  <c:v>5996.61</c:v>
                </c:pt>
                <c:pt idx="9">
                  <c:v>6000.1</c:v>
                </c:pt>
                <c:pt idx="10">
                  <c:v>6004.01</c:v>
                </c:pt>
                <c:pt idx="11">
                  <c:v>6006.29</c:v>
                </c:pt>
                <c:pt idx="12">
                  <c:v>6008.39</c:v>
                </c:pt>
                <c:pt idx="13">
                  <c:v>6010.68</c:v>
                </c:pt>
                <c:pt idx="14">
                  <c:v>6012.81</c:v>
                </c:pt>
                <c:pt idx="15">
                  <c:v>6014.56</c:v>
                </c:pt>
                <c:pt idx="16">
                  <c:v>6015.35</c:v>
                </c:pt>
                <c:pt idx="17">
                  <c:v>6018.96</c:v>
                </c:pt>
                <c:pt idx="18">
                  <c:v>6026.9</c:v>
                </c:pt>
                <c:pt idx="19">
                  <c:v>6044.4</c:v>
                </c:pt>
                <c:pt idx="20">
                  <c:v>6082.19</c:v>
                </c:pt>
                <c:pt idx="21">
                  <c:v>6157.02</c:v>
                </c:pt>
                <c:pt idx="22">
                  <c:v>6291.14</c:v>
                </c:pt>
                <c:pt idx="23">
                  <c:v>6527.27</c:v>
                </c:pt>
                <c:pt idx="24">
                  <c:v>6910.93</c:v>
                </c:pt>
                <c:pt idx="25">
                  <c:v>7469.64</c:v>
                </c:pt>
                <c:pt idx="26">
                  <c:v>8160.08</c:v>
                </c:pt>
                <c:pt idx="27">
                  <c:v>8938.9500000000007</c:v>
                </c:pt>
                <c:pt idx="28">
                  <c:v>9724.48</c:v>
                </c:pt>
                <c:pt idx="29">
                  <c:v>10465.44</c:v>
                </c:pt>
                <c:pt idx="30">
                  <c:v>11111.11</c:v>
                </c:pt>
                <c:pt idx="31">
                  <c:v>11658.72</c:v>
                </c:pt>
                <c:pt idx="32">
                  <c:v>12116.78</c:v>
                </c:pt>
                <c:pt idx="33">
                  <c:v>12497.18</c:v>
                </c:pt>
                <c:pt idx="34">
                  <c:v>12804.07</c:v>
                </c:pt>
                <c:pt idx="35">
                  <c:v>13050.38</c:v>
                </c:pt>
                <c:pt idx="36">
                  <c:v>13249.46</c:v>
                </c:pt>
                <c:pt idx="37">
                  <c:v>13408.75</c:v>
                </c:pt>
                <c:pt idx="38">
                  <c:v>13536.98</c:v>
                </c:pt>
                <c:pt idx="39">
                  <c:v>13640.28</c:v>
                </c:pt>
                <c:pt idx="40">
                  <c:v>13724.46</c:v>
                </c:pt>
                <c:pt idx="41">
                  <c:v>13794.73</c:v>
                </c:pt>
                <c:pt idx="42">
                  <c:v>13824.99</c:v>
                </c:pt>
                <c:pt idx="43">
                  <c:v>13865.53</c:v>
                </c:pt>
                <c:pt idx="44">
                  <c:v>13888.06</c:v>
                </c:pt>
              </c:numCache>
            </c:numRef>
          </c:val>
          <c:smooth val="0"/>
          <c:extLst>
            <c:ext xmlns:c16="http://schemas.microsoft.com/office/drawing/2014/chart" uri="{C3380CC4-5D6E-409C-BE32-E72D297353CC}">
              <c16:uniqueId val="{00000000-375B-4684-A4B2-E122188D82A4}"/>
            </c:ext>
          </c:extLst>
        </c:ser>
        <c:ser>
          <c:idx val="1"/>
          <c:order val="1"/>
          <c:tx>
            <c:strRef>
              <c:f>'50..800_amp'!$C$3:$C$4</c:f>
              <c:strCache>
                <c:ptCount val="1"/>
                <c:pt idx="0">
                  <c:v>A03</c:v>
                </c:pt>
              </c:strCache>
            </c:strRef>
          </c:tx>
          <c:spPr>
            <a:ln w="28575" cap="rnd">
              <a:solidFill>
                <a:schemeClr val="accent2"/>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'50..800_amp'!$C$5:$C$50</c:f>
              <c:numCache>
                <c:formatCode>General</c:formatCode>
                <c:ptCount val="45"/>
                <c:pt idx="0">
                  <c:v>5871</c:v>
                </c:pt>
                <c:pt idx="1">
                  <c:v>5978.1</c:v>
                </c:pt>
                <c:pt idx="2">
                  <c:v>5984.77</c:v>
                </c:pt>
                <c:pt idx="3">
                  <c:v>5993.56</c:v>
                </c:pt>
                <c:pt idx="4">
                  <c:v>6004.17</c:v>
                </c:pt>
                <c:pt idx="5">
                  <c:v>6011.48</c:v>
                </c:pt>
                <c:pt idx="6">
                  <c:v>6016.59</c:v>
                </c:pt>
                <c:pt idx="7">
                  <c:v>6023.18</c:v>
                </c:pt>
                <c:pt idx="8">
                  <c:v>6028.77</c:v>
                </c:pt>
                <c:pt idx="9">
                  <c:v>6033.87</c:v>
                </c:pt>
                <c:pt idx="10">
                  <c:v>6039.03</c:v>
                </c:pt>
                <c:pt idx="11">
                  <c:v>6042.89</c:v>
                </c:pt>
                <c:pt idx="12">
                  <c:v>6047.75</c:v>
                </c:pt>
                <c:pt idx="13">
                  <c:v>6052.17</c:v>
                </c:pt>
                <c:pt idx="14">
                  <c:v>6055.4</c:v>
                </c:pt>
                <c:pt idx="15">
                  <c:v>6057.16</c:v>
                </c:pt>
                <c:pt idx="16">
                  <c:v>6057.01</c:v>
                </c:pt>
                <c:pt idx="17">
                  <c:v>6056.48</c:v>
                </c:pt>
                <c:pt idx="18">
                  <c:v>6061.65</c:v>
                </c:pt>
                <c:pt idx="19">
                  <c:v>6076.86</c:v>
                </c:pt>
                <c:pt idx="20">
                  <c:v>6109.31</c:v>
                </c:pt>
                <c:pt idx="21">
                  <c:v>6176.42</c:v>
                </c:pt>
                <c:pt idx="22">
                  <c:v>6306.41</c:v>
                </c:pt>
                <c:pt idx="23">
                  <c:v>6539.85</c:v>
                </c:pt>
                <c:pt idx="24">
                  <c:v>6917.38</c:v>
                </c:pt>
                <c:pt idx="25">
                  <c:v>7467.43</c:v>
                </c:pt>
                <c:pt idx="26">
                  <c:v>8167.4</c:v>
                </c:pt>
                <c:pt idx="27">
                  <c:v>8940.07</c:v>
                </c:pt>
                <c:pt idx="28">
                  <c:v>9721.42</c:v>
                </c:pt>
                <c:pt idx="29">
                  <c:v>10442.24</c:v>
                </c:pt>
                <c:pt idx="30">
                  <c:v>11071.54</c:v>
                </c:pt>
                <c:pt idx="31">
                  <c:v>11600.82</c:v>
                </c:pt>
                <c:pt idx="32">
                  <c:v>12037.97</c:v>
                </c:pt>
                <c:pt idx="33">
                  <c:v>12398.51</c:v>
                </c:pt>
                <c:pt idx="34">
                  <c:v>12696.84</c:v>
                </c:pt>
                <c:pt idx="35">
                  <c:v>12939.79</c:v>
                </c:pt>
                <c:pt idx="36">
                  <c:v>13077.2</c:v>
                </c:pt>
                <c:pt idx="37">
                  <c:v>13233.05</c:v>
                </c:pt>
                <c:pt idx="38">
                  <c:v>13370.99</c:v>
                </c:pt>
                <c:pt idx="39">
                  <c:v>13482.67</c:v>
                </c:pt>
                <c:pt idx="40">
                  <c:v>13574.91</c:v>
                </c:pt>
                <c:pt idx="41">
                  <c:v>13650.49</c:v>
                </c:pt>
                <c:pt idx="42">
                  <c:v>13682.03</c:v>
                </c:pt>
                <c:pt idx="43">
                  <c:v>13724.09</c:v>
                </c:pt>
                <c:pt idx="44">
                  <c:v>13747.44</c:v>
                </c:pt>
              </c:numCache>
            </c:numRef>
          </c:val>
          <c:smooth val="0"/>
          <c:extLst>
            <c:ext xmlns:c16="http://schemas.microsoft.com/office/drawing/2014/chart" uri="{C3380CC4-5D6E-409C-BE32-E72D297353CC}">
              <c16:uniqueId val="{00000001-375B-4684-A4B2-E122188D82A4}"/>
            </c:ext>
          </c:extLst>
        </c:ser>
        <c:ser>
          <c:idx val="2"/>
          <c:order val="2"/>
          <c:tx>
            <c:strRef>
              <c:f>'50..800_amp'!$D$3:$D$4</c:f>
              <c:strCache>
                <c:ptCount val="1"/>
                <c:pt idx="0">
                  <c:v>A04</c:v>
                </c:pt>
              </c:strCache>
            </c:strRef>
          </c:tx>
          <c:spPr>
            <a:ln w="28575" cap="rnd">
              <a:solidFill>
                <a:schemeClr val="accent3"/>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'50..800_amp'!$D$5:$D$50</c:f>
              <c:numCache>
                <c:formatCode>General</c:formatCode>
                <c:ptCount val="45"/>
                <c:pt idx="0">
                  <c:v>5944.5</c:v>
                </c:pt>
                <c:pt idx="1">
                  <c:v>6034.24</c:v>
                </c:pt>
                <c:pt idx="2">
                  <c:v>6047.49</c:v>
                </c:pt>
                <c:pt idx="3">
                  <c:v>6058.98</c:v>
                </c:pt>
                <c:pt idx="4">
                  <c:v>6074.12</c:v>
                </c:pt>
                <c:pt idx="5">
                  <c:v>6089.18</c:v>
                </c:pt>
                <c:pt idx="6">
                  <c:v>6102.64</c:v>
                </c:pt>
                <c:pt idx="7">
                  <c:v>6117.28</c:v>
                </c:pt>
                <c:pt idx="8">
                  <c:v>6128.09</c:v>
                </c:pt>
                <c:pt idx="9">
                  <c:v>6141.14</c:v>
                </c:pt>
                <c:pt idx="10">
                  <c:v>6154.72</c:v>
                </c:pt>
                <c:pt idx="11">
                  <c:v>6161.95</c:v>
                </c:pt>
                <c:pt idx="12">
                  <c:v>6170.77</c:v>
                </c:pt>
                <c:pt idx="13">
                  <c:v>6176.5</c:v>
                </c:pt>
                <c:pt idx="14">
                  <c:v>6185.06</c:v>
                </c:pt>
                <c:pt idx="15">
                  <c:v>6190.97</c:v>
                </c:pt>
                <c:pt idx="16">
                  <c:v>6197.68</c:v>
                </c:pt>
                <c:pt idx="17">
                  <c:v>6206.15</c:v>
                </c:pt>
                <c:pt idx="18">
                  <c:v>6217.47</c:v>
                </c:pt>
                <c:pt idx="19">
                  <c:v>6238.44</c:v>
                </c:pt>
                <c:pt idx="20">
                  <c:v>6276.32</c:v>
                </c:pt>
                <c:pt idx="21">
                  <c:v>6347.77</c:v>
                </c:pt>
                <c:pt idx="22">
                  <c:v>6480.95</c:v>
                </c:pt>
                <c:pt idx="23">
                  <c:v>6719.6</c:v>
                </c:pt>
                <c:pt idx="24">
                  <c:v>7097.27</c:v>
                </c:pt>
                <c:pt idx="25">
                  <c:v>7647.25</c:v>
                </c:pt>
                <c:pt idx="26">
                  <c:v>8370.9</c:v>
                </c:pt>
                <c:pt idx="27">
                  <c:v>9157.2900000000009</c:v>
                </c:pt>
                <c:pt idx="28">
                  <c:v>9945.35</c:v>
                </c:pt>
                <c:pt idx="29">
                  <c:v>10676.79</c:v>
                </c:pt>
                <c:pt idx="30">
                  <c:v>11328.38</c:v>
                </c:pt>
                <c:pt idx="31">
                  <c:v>11878</c:v>
                </c:pt>
                <c:pt idx="32">
                  <c:v>12336.49</c:v>
                </c:pt>
                <c:pt idx="33">
                  <c:v>12713.17</c:v>
                </c:pt>
                <c:pt idx="34">
                  <c:v>13016.56</c:v>
                </c:pt>
                <c:pt idx="35">
                  <c:v>13263.19</c:v>
                </c:pt>
                <c:pt idx="36">
                  <c:v>13404.75</c:v>
                </c:pt>
                <c:pt idx="37">
                  <c:v>13563.69</c:v>
                </c:pt>
                <c:pt idx="38">
                  <c:v>13699.42</c:v>
                </c:pt>
                <c:pt idx="39">
                  <c:v>13777.31</c:v>
                </c:pt>
                <c:pt idx="40">
                  <c:v>13862.31</c:v>
                </c:pt>
                <c:pt idx="41">
                  <c:v>13913.82</c:v>
                </c:pt>
                <c:pt idx="42">
                  <c:v>13941.8</c:v>
                </c:pt>
                <c:pt idx="43">
                  <c:v>13981.53</c:v>
                </c:pt>
                <c:pt idx="44">
                  <c:v>14003.95</c:v>
                </c:pt>
              </c:numCache>
            </c:numRef>
          </c:val>
          <c:smooth val="0"/>
          <c:extLst>
            <c:ext xmlns:c16="http://schemas.microsoft.com/office/drawing/2014/chart" uri="{C3380CC4-5D6E-409C-BE32-E72D297353CC}">
              <c16:uniqueId val="{00000002-375B-4684-A4B2-E122188D82A4}"/>
            </c:ext>
          </c:extLst>
        </c:ser>
        <c:ser>
          <c:idx val="3"/>
          <c:order val="3"/>
          <c:tx>
            <c:strRef>
              <c:f>'50..800_amp'!$E$3:$E$4</c:f>
              <c:strCache>
                <c:ptCount val="1"/>
                <c:pt idx="0">
                  <c:v>A05</c:v>
                </c:pt>
              </c:strCache>
            </c:strRef>
          </c:tx>
          <c:spPr>
            <a:ln w="28575" cap="rnd">
              <a:solidFill>
                <a:schemeClr val="accent4"/>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'50..800_amp'!$E$5:$E$50</c:f>
              <c:numCache>
                <c:formatCode>General</c:formatCode>
                <c:ptCount val="45"/>
                <c:pt idx="0">
                  <c:v>6000.5</c:v>
                </c:pt>
                <c:pt idx="1">
                  <c:v>6064.68</c:v>
                </c:pt>
                <c:pt idx="2">
                  <c:v>6078.64</c:v>
                </c:pt>
                <c:pt idx="3">
                  <c:v>6091.49</c:v>
                </c:pt>
                <c:pt idx="4">
                  <c:v>6104.08</c:v>
                </c:pt>
                <c:pt idx="5">
                  <c:v>6116.39</c:v>
                </c:pt>
                <c:pt idx="6">
                  <c:v>6129.74</c:v>
                </c:pt>
                <c:pt idx="7">
                  <c:v>6143.77</c:v>
                </c:pt>
                <c:pt idx="8">
                  <c:v>6157.54</c:v>
                </c:pt>
                <c:pt idx="9">
                  <c:v>6170.82</c:v>
                </c:pt>
                <c:pt idx="10">
                  <c:v>6178.46</c:v>
                </c:pt>
                <c:pt idx="11">
                  <c:v>6188.83</c:v>
                </c:pt>
                <c:pt idx="12">
                  <c:v>6200.95</c:v>
                </c:pt>
                <c:pt idx="13">
                  <c:v>6212.18</c:v>
                </c:pt>
                <c:pt idx="14">
                  <c:v>6219.02</c:v>
                </c:pt>
                <c:pt idx="15">
                  <c:v>6223.09</c:v>
                </c:pt>
                <c:pt idx="16">
                  <c:v>6229.12</c:v>
                </c:pt>
                <c:pt idx="17">
                  <c:v>6235.95</c:v>
                </c:pt>
                <c:pt idx="18">
                  <c:v>6244.63</c:v>
                </c:pt>
                <c:pt idx="19">
                  <c:v>6263.74</c:v>
                </c:pt>
                <c:pt idx="20">
                  <c:v>6301.21</c:v>
                </c:pt>
                <c:pt idx="21">
                  <c:v>6369.43</c:v>
                </c:pt>
                <c:pt idx="22">
                  <c:v>6501.47</c:v>
                </c:pt>
                <c:pt idx="23">
                  <c:v>6742.56</c:v>
                </c:pt>
                <c:pt idx="24">
                  <c:v>7120.3</c:v>
                </c:pt>
                <c:pt idx="25">
                  <c:v>7663.71</c:v>
                </c:pt>
                <c:pt idx="26">
                  <c:v>8349.7099999999991</c:v>
                </c:pt>
                <c:pt idx="27">
                  <c:v>9117.0400000000009</c:v>
                </c:pt>
                <c:pt idx="28">
                  <c:v>9891.69</c:v>
                </c:pt>
                <c:pt idx="29">
                  <c:v>10610.93</c:v>
                </c:pt>
                <c:pt idx="30">
                  <c:v>11253.62</c:v>
                </c:pt>
                <c:pt idx="31">
                  <c:v>11793.48</c:v>
                </c:pt>
                <c:pt idx="32">
                  <c:v>12236.27</c:v>
                </c:pt>
                <c:pt idx="33">
                  <c:v>12604.45</c:v>
                </c:pt>
                <c:pt idx="34">
                  <c:v>12903.47</c:v>
                </c:pt>
                <c:pt idx="35">
                  <c:v>13141.6</c:v>
                </c:pt>
                <c:pt idx="36">
                  <c:v>13330.71</c:v>
                </c:pt>
                <c:pt idx="37">
                  <c:v>13482.93</c:v>
                </c:pt>
                <c:pt idx="38">
                  <c:v>13606.8</c:v>
                </c:pt>
                <c:pt idx="39">
                  <c:v>13705.43</c:v>
                </c:pt>
                <c:pt idx="40">
                  <c:v>13783.99</c:v>
                </c:pt>
                <c:pt idx="41">
                  <c:v>13847.75</c:v>
                </c:pt>
                <c:pt idx="42">
                  <c:v>13874.6</c:v>
                </c:pt>
                <c:pt idx="43">
                  <c:v>13910.5</c:v>
                </c:pt>
                <c:pt idx="44">
                  <c:v>13930.45</c:v>
                </c:pt>
              </c:numCache>
            </c:numRef>
          </c:val>
          <c:smooth val="0"/>
          <c:extLst>
            <c:ext xmlns:c16="http://schemas.microsoft.com/office/drawing/2014/chart" uri="{C3380CC4-5D6E-409C-BE32-E72D297353CC}">
              <c16:uniqueId val="{00000003-375B-4684-A4B2-E122188D82A4}"/>
            </c:ext>
          </c:extLst>
        </c:ser>
        <c:ser>
          <c:idx val="4"/>
          <c:order val="4"/>
          <c:tx>
            <c:strRef>
              <c:f>'50..800_amp'!$F$3:$F$4</c:f>
              <c:strCache>
                <c:ptCount val="1"/>
                <c:pt idx="0">
                  <c:v>A06</c:v>
                </c:pt>
              </c:strCache>
            </c:strRef>
          </c:tx>
          <c:spPr>
            <a:ln w="28575" cap="rnd">
              <a:solidFill>
                <a:schemeClr val="accent5"/>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'50..800_amp'!$F$5:$F$50</c:f>
              <c:numCache>
                <c:formatCode>General</c:formatCode>
                <c:ptCount val="45"/>
                <c:pt idx="0">
                  <c:v>6146</c:v>
                </c:pt>
                <c:pt idx="1">
                  <c:v>6200.81</c:v>
                </c:pt>
                <c:pt idx="2">
                  <c:v>6209.5</c:v>
                </c:pt>
                <c:pt idx="3">
                  <c:v>6218.18</c:v>
                </c:pt>
                <c:pt idx="4">
                  <c:v>6223.9</c:v>
                </c:pt>
                <c:pt idx="5">
                  <c:v>6233.73</c:v>
                </c:pt>
                <c:pt idx="6">
                  <c:v>6244.37</c:v>
                </c:pt>
                <c:pt idx="7">
                  <c:v>6254.3</c:v>
                </c:pt>
                <c:pt idx="8">
                  <c:v>6266.95</c:v>
                </c:pt>
                <c:pt idx="9">
                  <c:v>6280.56</c:v>
                </c:pt>
                <c:pt idx="10">
                  <c:v>6288.96</c:v>
                </c:pt>
                <c:pt idx="11">
                  <c:v>6295.55</c:v>
                </c:pt>
                <c:pt idx="12">
                  <c:v>6302.48</c:v>
                </c:pt>
                <c:pt idx="13">
                  <c:v>6306.46</c:v>
                </c:pt>
                <c:pt idx="14">
                  <c:v>6311.64</c:v>
                </c:pt>
                <c:pt idx="15">
                  <c:v>6316.74</c:v>
                </c:pt>
                <c:pt idx="16">
                  <c:v>6319.78</c:v>
                </c:pt>
                <c:pt idx="17">
                  <c:v>6325.43</c:v>
                </c:pt>
                <c:pt idx="18">
                  <c:v>6335.14</c:v>
                </c:pt>
                <c:pt idx="19">
                  <c:v>6350.63</c:v>
                </c:pt>
                <c:pt idx="20">
                  <c:v>6384.57</c:v>
                </c:pt>
                <c:pt idx="21">
                  <c:v>6458.17</c:v>
                </c:pt>
                <c:pt idx="22">
                  <c:v>6591.93</c:v>
                </c:pt>
                <c:pt idx="23">
                  <c:v>6826.31</c:v>
                </c:pt>
                <c:pt idx="24">
                  <c:v>7219.93</c:v>
                </c:pt>
                <c:pt idx="25">
                  <c:v>7780.31</c:v>
                </c:pt>
                <c:pt idx="26">
                  <c:v>8470.49</c:v>
                </c:pt>
                <c:pt idx="27">
                  <c:v>9253.59</c:v>
                </c:pt>
                <c:pt idx="28">
                  <c:v>10045.76</c:v>
                </c:pt>
                <c:pt idx="29">
                  <c:v>10792.81</c:v>
                </c:pt>
                <c:pt idx="30">
                  <c:v>11445.98</c:v>
                </c:pt>
                <c:pt idx="31">
                  <c:v>12001.84</c:v>
                </c:pt>
                <c:pt idx="32">
                  <c:v>12462.95</c:v>
                </c:pt>
                <c:pt idx="33">
                  <c:v>12841.59</c:v>
                </c:pt>
                <c:pt idx="34">
                  <c:v>13150.16</c:v>
                </c:pt>
                <c:pt idx="35">
                  <c:v>13401.1</c:v>
                </c:pt>
                <c:pt idx="36">
                  <c:v>13602.66</c:v>
                </c:pt>
                <c:pt idx="37">
                  <c:v>13766.37</c:v>
                </c:pt>
                <c:pt idx="38">
                  <c:v>13900.06</c:v>
                </c:pt>
                <c:pt idx="39">
                  <c:v>14007.13</c:v>
                </c:pt>
                <c:pt idx="40">
                  <c:v>14094.73</c:v>
                </c:pt>
                <c:pt idx="41">
                  <c:v>14166.3</c:v>
                </c:pt>
                <c:pt idx="42">
                  <c:v>14196.87</c:v>
                </c:pt>
                <c:pt idx="43">
                  <c:v>14237.73</c:v>
                </c:pt>
                <c:pt idx="44">
                  <c:v>14260.43</c:v>
                </c:pt>
              </c:numCache>
            </c:numRef>
          </c:val>
          <c:smooth val="0"/>
          <c:extLst>
            <c:ext xmlns:c16="http://schemas.microsoft.com/office/drawing/2014/chart" uri="{C3380CC4-5D6E-409C-BE32-E72D297353CC}">
              <c16:uniqueId val="{00000004-375B-4684-A4B2-E122188D82A4}"/>
            </c:ext>
          </c:extLst>
        </c:ser>
        <c:ser>
          <c:idx val="5"/>
          <c:order val="5"/>
          <c:tx>
            <c:strRef>
              <c:f>'50..800_amp'!$G$3:$G$4</c:f>
              <c:strCache>
                <c:ptCount val="1"/>
                <c:pt idx="0">
                  <c:v>A07</c:v>
                </c:pt>
              </c:strCache>
            </c:strRef>
          </c:tx>
          <c:spPr>
            <a:ln w="28575" cap="rnd">
              <a:solidFill>
                <a:schemeClr val="accent6"/>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'50..800_amp'!$G$5:$G$50</c:f>
              <c:numCache>
                <c:formatCode>General</c:formatCode>
                <c:ptCount val="45"/>
                <c:pt idx="0">
                  <c:v>5364.1</c:v>
                </c:pt>
                <c:pt idx="1">
                  <c:v>5483.42</c:v>
                </c:pt>
                <c:pt idx="2">
                  <c:v>5490.87</c:v>
                </c:pt>
                <c:pt idx="3">
                  <c:v>5502.11</c:v>
                </c:pt>
                <c:pt idx="4">
                  <c:v>5516.46</c:v>
                </c:pt>
                <c:pt idx="5">
                  <c:v>5531.18</c:v>
                </c:pt>
                <c:pt idx="6">
                  <c:v>5543.42</c:v>
                </c:pt>
                <c:pt idx="7">
                  <c:v>5557.69</c:v>
                </c:pt>
                <c:pt idx="8">
                  <c:v>5568.08</c:v>
                </c:pt>
                <c:pt idx="9">
                  <c:v>5578.93</c:v>
                </c:pt>
                <c:pt idx="10">
                  <c:v>5586.36</c:v>
                </c:pt>
                <c:pt idx="11">
                  <c:v>5596.3</c:v>
                </c:pt>
                <c:pt idx="12">
                  <c:v>5607.19</c:v>
                </c:pt>
                <c:pt idx="13">
                  <c:v>5614.45</c:v>
                </c:pt>
                <c:pt idx="14">
                  <c:v>5617.51</c:v>
                </c:pt>
                <c:pt idx="15">
                  <c:v>5621.04</c:v>
                </c:pt>
                <c:pt idx="16">
                  <c:v>5622.23</c:v>
                </c:pt>
                <c:pt idx="17">
                  <c:v>5625.77</c:v>
                </c:pt>
                <c:pt idx="18">
                  <c:v>5634.53</c:v>
                </c:pt>
                <c:pt idx="19">
                  <c:v>5650.78</c:v>
                </c:pt>
                <c:pt idx="20">
                  <c:v>5680.1</c:v>
                </c:pt>
                <c:pt idx="21">
                  <c:v>5745.04</c:v>
                </c:pt>
                <c:pt idx="22">
                  <c:v>5864.24</c:v>
                </c:pt>
                <c:pt idx="23">
                  <c:v>6077.6</c:v>
                </c:pt>
                <c:pt idx="24">
                  <c:v>6421.61</c:v>
                </c:pt>
                <c:pt idx="25">
                  <c:v>6919.16</c:v>
                </c:pt>
                <c:pt idx="26">
                  <c:v>7534.35</c:v>
                </c:pt>
                <c:pt idx="27">
                  <c:v>8228.2900000000009</c:v>
                </c:pt>
                <c:pt idx="28">
                  <c:v>8923.73</c:v>
                </c:pt>
                <c:pt idx="29">
                  <c:v>9568.31</c:v>
                </c:pt>
                <c:pt idx="30">
                  <c:v>10136.39</c:v>
                </c:pt>
                <c:pt idx="31">
                  <c:v>10625.88</c:v>
                </c:pt>
                <c:pt idx="32">
                  <c:v>11042.72</c:v>
                </c:pt>
                <c:pt idx="33">
                  <c:v>11388.25</c:v>
                </c:pt>
                <c:pt idx="34">
                  <c:v>11668.51</c:v>
                </c:pt>
                <c:pt idx="35">
                  <c:v>11890.71</c:v>
                </c:pt>
                <c:pt idx="36">
                  <c:v>12064.17</c:v>
                </c:pt>
                <c:pt idx="37">
                  <c:v>12201.57</c:v>
                </c:pt>
                <c:pt idx="38">
                  <c:v>12315.85</c:v>
                </c:pt>
                <c:pt idx="39">
                  <c:v>12409.86</c:v>
                </c:pt>
                <c:pt idx="40">
                  <c:v>12488.02</c:v>
                </c:pt>
                <c:pt idx="41">
                  <c:v>12534.46</c:v>
                </c:pt>
                <c:pt idx="42">
                  <c:v>12559.32</c:v>
                </c:pt>
                <c:pt idx="43">
                  <c:v>12594.43</c:v>
                </c:pt>
                <c:pt idx="44">
                  <c:v>12614.23</c:v>
                </c:pt>
              </c:numCache>
            </c:numRef>
          </c:val>
          <c:smooth val="0"/>
          <c:extLst>
            <c:ext xmlns:c16="http://schemas.microsoft.com/office/drawing/2014/chart" uri="{C3380CC4-5D6E-409C-BE32-E72D297353CC}">
              <c16:uniqueId val="{00000005-375B-4684-A4B2-E122188D82A4}"/>
            </c:ext>
          </c:extLst>
        </c:ser>
        <c:ser>
          <c:idx val="6"/>
          <c:order val="6"/>
          <c:tx>
            <c:strRef>
              <c:f>'50..800_amp'!$H$3:$H$4</c:f>
              <c:strCache>
                <c:ptCount val="1"/>
                <c:pt idx="0">
                  <c:v>A08</c:v>
                </c:pt>
              </c:strCache>
            </c:strRef>
          </c:tx>
          <c:spPr>
            <a:ln w="28575" cap="rnd">
              <a:solidFill>
                <a:schemeClr val="accent1">
                  <a:lumMod val="6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'50..800_amp'!$H$5:$H$50</c:f>
              <c:numCache>
                <c:formatCode>General</c:formatCode>
                <c:ptCount val="45"/>
                <c:pt idx="0">
                  <c:v>6442.1</c:v>
                </c:pt>
                <c:pt idx="1">
                  <c:v>6526.2</c:v>
                </c:pt>
                <c:pt idx="2">
                  <c:v>6538.11</c:v>
                </c:pt>
                <c:pt idx="3">
                  <c:v>6549.83</c:v>
                </c:pt>
                <c:pt idx="4">
                  <c:v>6562.95</c:v>
                </c:pt>
                <c:pt idx="5">
                  <c:v>6572.27</c:v>
                </c:pt>
                <c:pt idx="6">
                  <c:v>6584.45</c:v>
                </c:pt>
                <c:pt idx="7">
                  <c:v>6597.08</c:v>
                </c:pt>
                <c:pt idx="8">
                  <c:v>6609.11</c:v>
                </c:pt>
                <c:pt idx="9">
                  <c:v>6620.89</c:v>
                </c:pt>
                <c:pt idx="10">
                  <c:v>6631.79</c:v>
                </c:pt>
                <c:pt idx="11">
                  <c:v>6642.44</c:v>
                </c:pt>
                <c:pt idx="12">
                  <c:v>6649.28</c:v>
                </c:pt>
                <c:pt idx="13">
                  <c:v>6657.71</c:v>
                </c:pt>
                <c:pt idx="14">
                  <c:v>6663.63</c:v>
                </c:pt>
                <c:pt idx="15">
                  <c:v>6667.77</c:v>
                </c:pt>
                <c:pt idx="16">
                  <c:v>6673.58</c:v>
                </c:pt>
                <c:pt idx="17">
                  <c:v>6677.4</c:v>
                </c:pt>
                <c:pt idx="18">
                  <c:v>6684.38</c:v>
                </c:pt>
                <c:pt idx="19">
                  <c:v>6700.53</c:v>
                </c:pt>
                <c:pt idx="20">
                  <c:v>6737.55</c:v>
                </c:pt>
                <c:pt idx="21">
                  <c:v>6811.27</c:v>
                </c:pt>
                <c:pt idx="22">
                  <c:v>6947.8</c:v>
                </c:pt>
                <c:pt idx="23">
                  <c:v>7187.62</c:v>
                </c:pt>
                <c:pt idx="24">
                  <c:v>7592.88</c:v>
                </c:pt>
                <c:pt idx="25">
                  <c:v>8170.33</c:v>
                </c:pt>
                <c:pt idx="26">
                  <c:v>8882.74</c:v>
                </c:pt>
                <c:pt idx="27">
                  <c:v>9696.51</c:v>
                </c:pt>
                <c:pt idx="28">
                  <c:v>10533.35</c:v>
                </c:pt>
                <c:pt idx="29">
                  <c:v>11313.47</c:v>
                </c:pt>
                <c:pt idx="30">
                  <c:v>11991.84</c:v>
                </c:pt>
                <c:pt idx="31">
                  <c:v>12575.44</c:v>
                </c:pt>
                <c:pt idx="32">
                  <c:v>13068.44</c:v>
                </c:pt>
                <c:pt idx="33">
                  <c:v>13471.65</c:v>
                </c:pt>
                <c:pt idx="34">
                  <c:v>13799.03</c:v>
                </c:pt>
                <c:pt idx="35">
                  <c:v>14068.01</c:v>
                </c:pt>
                <c:pt idx="36">
                  <c:v>14282.14</c:v>
                </c:pt>
                <c:pt idx="37">
                  <c:v>14463.02</c:v>
                </c:pt>
                <c:pt idx="38">
                  <c:v>14611.46</c:v>
                </c:pt>
                <c:pt idx="39">
                  <c:v>14729.82</c:v>
                </c:pt>
                <c:pt idx="40">
                  <c:v>14826.63</c:v>
                </c:pt>
                <c:pt idx="41">
                  <c:v>14883.21</c:v>
                </c:pt>
                <c:pt idx="42">
                  <c:v>14914.33</c:v>
                </c:pt>
                <c:pt idx="43">
                  <c:v>14958.67</c:v>
                </c:pt>
                <c:pt idx="44">
                  <c:v>14983.72</c:v>
                </c:pt>
              </c:numCache>
            </c:numRef>
          </c:val>
          <c:smooth val="0"/>
          <c:extLst>
            <c:ext xmlns:c16="http://schemas.microsoft.com/office/drawing/2014/chart" uri="{C3380CC4-5D6E-409C-BE32-E72D297353CC}">
              <c16:uniqueId val="{00000006-375B-4684-A4B2-E122188D82A4}"/>
            </c:ext>
          </c:extLst>
        </c:ser>
        <c:ser>
          <c:idx val="7"/>
          <c:order val="7"/>
          <c:tx>
            <c:strRef>
              <c:f>'50..800_amp'!$I$3:$I$4</c:f>
              <c:strCache>
                <c:ptCount val="1"/>
                <c:pt idx="0">
                  <c:v>A09</c:v>
                </c:pt>
              </c:strCache>
            </c:strRef>
          </c:tx>
          <c:spPr>
            <a:ln w="28575" cap="rnd">
              <a:solidFill>
                <a:schemeClr val="accent2">
                  <a:lumMod val="6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'50..800_amp'!$I$5:$I$50</c:f>
              <c:numCache>
                <c:formatCode>General</c:formatCode>
                <c:ptCount val="45"/>
                <c:pt idx="0">
                  <c:v>6192.8</c:v>
                </c:pt>
                <c:pt idx="1">
                  <c:v>6327.55</c:v>
                </c:pt>
                <c:pt idx="2">
                  <c:v>6331.5</c:v>
                </c:pt>
                <c:pt idx="3">
                  <c:v>6343.04</c:v>
                </c:pt>
                <c:pt idx="4">
                  <c:v>6360.23</c:v>
                </c:pt>
                <c:pt idx="5">
                  <c:v>6372.05</c:v>
                </c:pt>
                <c:pt idx="6">
                  <c:v>6386.42</c:v>
                </c:pt>
                <c:pt idx="7">
                  <c:v>6401.75</c:v>
                </c:pt>
                <c:pt idx="8">
                  <c:v>6418.16</c:v>
                </c:pt>
                <c:pt idx="9">
                  <c:v>6428.82</c:v>
                </c:pt>
                <c:pt idx="10">
                  <c:v>6440.49</c:v>
                </c:pt>
                <c:pt idx="11">
                  <c:v>6448.49</c:v>
                </c:pt>
                <c:pt idx="12">
                  <c:v>6453.79</c:v>
                </c:pt>
                <c:pt idx="13">
                  <c:v>6457.63</c:v>
                </c:pt>
                <c:pt idx="14">
                  <c:v>6459.77</c:v>
                </c:pt>
                <c:pt idx="15">
                  <c:v>6461.85</c:v>
                </c:pt>
                <c:pt idx="16">
                  <c:v>6463.9</c:v>
                </c:pt>
                <c:pt idx="17">
                  <c:v>6465.07</c:v>
                </c:pt>
                <c:pt idx="18">
                  <c:v>6467.42</c:v>
                </c:pt>
                <c:pt idx="19">
                  <c:v>6479.38</c:v>
                </c:pt>
                <c:pt idx="20">
                  <c:v>6508.1</c:v>
                </c:pt>
                <c:pt idx="21">
                  <c:v>6572.28</c:v>
                </c:pt>
                <c:pt idx="22">
                  <c:v>6698.51</c:v>
                </c:pt>
                <c:pt idx="23">
                  <c:v>6924.61</c:v>
                </c:pt>
                <c:pt idx="24">
                  <c:v>7295.78</c:v>
                </c:pt>
                <c:pt idx="25">
                  <c:v>7841.01</c:v>
                </c:pt>
                <c:pt idx="26">
                  <c:v>8533.24</c:v>
                </c:pt>
                <c:pt idx="27">
                  <c:v>9300.8799999999992</c:v>
                </c:pt>
                <c:pt idx="28">
                  <c:v>10081.16</c:v>
                </c:pt>
                <c:pt idx="29">
                  <c:v>10800.46</c:v>
                </c:pt>
                <c:pt idx="30">
                  <c:v>11442.1</c:v>
                </c:pt>
                <c:pt idx="31">
                  <c:v>11983.01</c:v>
                </c:pt>
                <c:pt idx="32">
                  <c:v>12432.24</c:v>
                </c:pt>
                <c:pt idx="33">
                  <c:v>12805.85</c:v>
                </c:pt>
                <c:pt idx="34">
                  <c:v>13109.41</c:v>
                </c:pt>
                <c:pt idx="35">
                  <c:v>13353.18</c:v>
                </c:pt>
                <c:pt idx="36">
                  <c:v>13551.91</c:v>
                </c:pt>
                <c:pt idx="37">
                  <c:v>13717.11</c:v>
                </c:pt>
                <c:pt idx="38">
                  <c:v>13847.58</c:v>
                </c:pt>
                <c:pt idx="39">
                  <c:v>13953.5</c:v>
                </c:pt>
                <c:pt idx="40">
                  <c:v>14035.75</c:v>
                </c:pt>
                <c:pt idx="41">
                  <c:v>14102.4</c:v>
                </c:pt>
                <c:pt idx="42">
                  <c:v>14131.43</c:v>
                </c:pt>
                <c:pt idx="43">
                  <c:v>14170.34</c:v>
                </c:pt>
                <c:pt idx="44">
                  <c:v>14191.97</c:v>
                </c:pt>
              </c:numCache>
            </c:numRef>
          </c:val>
          <c:smooth val="0"/>
          <c:extLst>
            <c:ext xmlns:c16="http://schemas.microsoft.com/office/drawing/2014/chart" uri="{C3380CC4-5D6E-409C-BE32-E72D297353CC}">
              <c16:uniqueId val="{00000007-375B-4684-A4B2-E122188D82A4}"/>
            </c:ext>
          </c:extLst>
        </c:ser>
        <c:ser>
          <c:idx val="8"/>
          <c:order val="8"/>
          <c:tx>
            <c:strRef>
              <c:f>'50..800_amp'!$J$3:$J$4</c:f>
              <c:strCache>
                <c:ptCount val="1"/>
                <c:pt idx="0">
                  <c:v>A10</c:v>
                </c:pt>
              </c:strCache>
            </c:strRef>
          </c:tx>
          <c:spPr>
            <a:ln w="28575" cap="rnd">
              <a:solidFill>
                <a:schemeClr val="accent3">
                  <a:lumMod val="6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'50..800_amp'!$J$5:$J$50</c:f>
              <c:numCache>
                <c:formatCode>General</c:formatCode>
                <c:ptCount val="45"/>
                <c:pt idx="0">
                  <c:v>6030.2</c:v>
                </c:pt>
                <c:pt idx="1">
                  <c:v>6136.79</c:v>
                </c:pt>
                <c:pt idx="2">
                  <c:v>6146.75</c:v>
                </c:pt>
                <c:pt idx="3">
                  <c:v>6159.63</c:v>
                </c:pt>
                <c:pt idx="4">
                  <c:v>6172.1</c:v>
                </c:pt>
                <c:pt idx="5">
                  <c:v>6185.18</c:v>
                </c:pt>
                <c:pt idx="6">
                  <c:v>6198.99</c:v>
                </c:pt>
                <c:pt idx="7">
                  <c:v>6211.82</c:v>
                </c:pt>
                <c:pt idx="8">
                  <c:v>6223.5</c:v>
                </c:pt>
                <c:pt idx="9">
                  <c:v>6235.01</c:v>
                </c:pt>
                <c:pt idx="10">
                  <c:v>6241.91</c:v>
                </c:pt>
                <c:pt idx="11">
                  <c:v>6248.18</c:v>
                </c:pt>
                <c:pt idx="12">
                  <c:v>6255.01</c:v>
                </c:pt>
                <c:pt idx="13">
                  <c:v>6261.93</c:v>
                </c:pt>
                <c:pt idx="14">
                  <c:v>6262.16</c:v>
                </c:pt>
                <c:pt idx="15">
                  <c:v>6263.44</c:v>
                </c:pt>
                <c:pt idx="16">
                  <c:v>6263.73</c:v>
                </c:pt>
                <c:pt idx="17">
                  <c:v>6265.09</c:v>
                </c:pt>
                <c:pt idx="18">
                  <c:v>6270.78</c:v>
                </c:pt>
                <c:pt idx="19">
                  <c:v>6284.04</c:v>
                </c:pt>
                <c:pt idx="20">
                  <c:v>6315.32</c:v>
                </c:pt>
                <c:pt idx="21">
                  <c:v>6379.6</c:v>
                </c:pt>
                <c:pt idx="22">
                  <c:v>6506.48</c:v>
                </c:pt>
                <c:pt idx="23">
                  <c:v>6732.83</c:v>
                </c:pt>
                <c:pt idx="24">
                  <c:v>7099.99</c:v>
                </c:pt>
                <c:pt idx="25">
                  <c:v>7631.18</c:v>
                </c:pt>
                <c:pt idx="26">
                  <c:v>8284.33</c:v>
                </c:pt>
                <c:pt idx="27">
                  <c:v>9025.56</c:v>
                </c:pt>
                <c:pt idx="28">
                  <c:v>9774</c:v>
                </c:pt>
                <c:pt idx="29">
                  <c:v>10470.27</c:v>
                </c:pt>
                <c:pt idx="30">
                  <c:v>11089.03</c:v>
                </c:pt>
                <c:pt idx="31">
                  <c:v>11618.31</c:v>
                </c:pt>
                <c:pt idx="32">
                  <c:v>12061.07</c:v>
                </c:pt>
                <c:pt idx="33">
                  <c:v>12435.05</c:v>
                </c:pt>
                <c:pt idx="34">
                  <c:v>12737.5</c:v>
                </c:pt>
                <c:pt idx="35">
                  <c:v>12983.29</c:v>
                </c:pt>
                <c:pt idx="36">
                  <c:v>13184.23</c:v>
                </c:pt>
                <c:pt idx="37">
                  <c:v>13342.19</c:v>
                </c:pt>
                <c:pt idx="38">
                  <c:v>13469.5</c:v>
                </c:pt>
                <c:pt idx="39">
                  <c:v>13570.54</c:v>
                </c:pt>
                <c:pt idx="40">
                  <c:v>13652.35</c:v>
                </c:pt>
                <c:pt idx="41">
                  <c:v>13722.05</c:v>
                </c:pt>
                <c:pt idx="42">
                  <c:v>13753.57</c:v>
                </c:pt>
                <c:pt idx="43">
                  <c:v>13796.28</c:v>
                </c:pt>
                <c:pt idx="44">
                  <c:v>13820.09</c:v>
                </c:pt>
              </c:numCache>
            </c:numRef>
          </c:val>
          <c:smooth val="0"/>
          <c:extLst>
            <c:ext xmlns:c16="http://schemas.microsoft.com/office/drawing/2014/chart" uri="{C3380CC4-5D6E-409C-BE32-E72D297353CC}">
              <c16:uniqueId val="{00000008-375B-4684-A4B2-E122188D82A4}"/>
            </c:ext>
          </c:extLst>
        </c:ser>
        <c:ser>
          <c:idx val="9"/>
          <c:order val="9"/>
          <c:tx>
            <c:strRef>
              <c:f>'50..800_amp'!$K$3:$K$4</c:f>
              <c:strCache>
                <c:ptCount val="1"/>
                <c:pt idx="0">
                  <c:v>A11</c:v>
                </c:pt>
              </c:strCache>
            </c:strRef>
          </c:tx>
          <c:spPr>
            <a:ln w="28575" cap="rnd">
              <a:solidFill>
                <a:sysClr val="windowText" lastClr="000000"/>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'50..800_amp'!$K$5:$K$50</c:f>
              <c:numCache>
                <c:formatCode>General</c:formatCode>
                <c:ptCount val="45"/>
                <c:pt idx="0">
                  <c:v>5978.4</c:v>
                </c:pt>
                <c:pt idx="1">
                  <c:v>6027.82</c:v>
                </c:pt>
                <c:pt idx="2">
                  <c:v>6025.13</c:v>
                </c:pt>
                <c:pt idx="3">
                  <c:v>6025.65</c:v>
                </c:pt>
                <c:pt idx="4">
                  <c:v>6028.27</c:v>
                </c:pt>
                <c:pt idx="5">
                  <c:v>6032.38</c:v>
                </c:pt>
                <c:pt idx="6">
                  <c:v>6037.92</c:v>
                </c:pt>
                <c:pt idx="7">
                  <c:v>6043.02</c:v>
                </c:pt>
                <c:pt idx="8">
                  <c:v>6049.79</c:v>
                </c:pt>
                <c:pt idx="9">
                  <c:v>6056.14</c:v>
                </c:pt>
                <c:pt idx="10">
                  <c:v>6060.56</c:v>
                </c:pt>
                <c:pt idx="11">
                  <c:v>6064.49</c:v>
                </c:pt>
                <c:pt idx="12">
                  <c:v>6067.61</c:v>
                </c:pt>
                <c:pt idx="13">
                  <c:v>6068.39</c:v>
                </c:pt>
                <c:pt idx="14">
                  <c:v>6067.03</c:v>
                </c:pt>
                <c:pt idx="15">
                  <c:v>6063.8</c:v>
                </c:pt>
                <c:pt idx="16">
                  <c:v>6061.37</c:v>
                </c:pt>
                <c:pt idx="17">
                  <c:v>6061.54</c:v>
                </c:pt>
                <c:pt idx="18">
                  <c:v>6066.11</c:v>
                </c:pt>
                <c:pt idx="19">
                  <c:v>6076.29</c:v>
                </c:pt>
                <c:pt idx="20">
                  <c:v>6103.34</c:v>
                </c:pt>
                <c:pt idx="21">
                  <c:v>6167.56</c:v>
                </c:pt>
                <c:pt idx="22">
                  <c:v>6292.65</c:v>
                </c:pt>
                <c:pt idx="23">
                  <c:v>6516.21</c:v>
                </c:pt>
                <c:pt idx="24">
                  <c:v>6878.89</c:v>
                </c:pt>
                <c:pt idx="25">
                  <c:v>7398.76</c:v>
                </c:pt>
                <c:pt idx="26">
                  <c:v>8032.41</c:v>
                </c:pt>
                <c:pt idx="27">
                  <c:v>8743.01</c:v>
                </c:pt>
                <c:pt idx="28">
                  <c:v>9457.67</c:v>
                </c:pt>
                <c:pt idx="29">
                  <c:v>10124.67</c:v>
                </c:pt>
                <c:pt idx="30">
                  <c:v>10716.84</c:v>
                </c:pt>
                <c:pt idx="31">
                  <c:v>11228.71</c:v>
                </c:pt>
                <c:pt idx="32">
                  <c:v>11665.27</c:v>
                </c:pt>
                <c:pt idx="33">
                  <c:v>12037.4</c:v>
                </c:pt>
                <c:pt idx="34">
                  <c:v>12344.87</c:v>
                </c:pt>
                <c:pt idx="35">
                  <c:v>12593.36</c:v>
                </c:pt>
                <c:pt idx="36">
                  <c:v>12792.78</c:v>
                </c:pt>
                <c:pt idx="37">
                  <c:v>12954.67</c:v>
                </c:pt>
                <c:pt idx="38">
                  <c:v>13090.04</c:v>
                </c:pt>
                <c:pt idx="39">
                  <c:v>13203.9</c:v>
                </c:pt>
                <c:pt idx="40">
                  <c:v>13298.62</c:v>
                </c:pt>
                <c:pt idx="41">
                  <c:v>13373.54</c:v>
                </c:pt>
                <c:pt idx="42">
                  <c:v>13406.5</c:v>
                </c:pt>
                <c:pt idx="43">
                  <c:v>13449.91</c:v>
                </c:pt>
                <c:pt idx="44">
                  <c:v>13473.92</c:v>
                </c:pt>
              </c:numCache>
            </c:numRef>
          </c:val>
          <c:smooth val="0"/>
          <c:extLst>
            <c:ext xmlns:c16="http://schemas.microsoft.com/office/drawing/2014/chart" uri="{C3380CC4-5D6E-409C-BE32-E72D297353CC}">
              <c16:uniqueId val="{00000009-375B-4684-A4B2-E122188D82A4}"/>
            </c:ext>
          </c:extLst>
        </c:ser>
        <c:ser>
          <c:idx val="10"/>
          <c:order val="10"/>
          <c:tx>
            <c:strRef>
              <c:f>'50..800_amp'!$L$3:$L$4</c:f>
              <c:strCache>
                <c:ptCount val="1"/>
                <c:pt idx="0">
                  <c:v>B02</c:v>
                </c:pt>
              </c:strCache>
            </c:strRef>
          </c:tx>
          <c:spPr>
            <a:ln w="28575" cap="rnd">
              <a:solidFill>
                <a:schemeClr val="accent5">
                  <a:lumMod val="6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'50..800_amp'!$L$5:$L$50</c:f>
              <c:numCache>
                <c:formatCode>General</c:formatCode>
                <c:ptCount val="45"/>
                <c:pt idx="0">
                  <c:v>5534</c:v>
                </c:pt>
                <c:pt idx="1">
                  <c:v>5600.6</c:v>
                </c:pt>
                <c:pt idx="2">
                  <c:v>5613.15</c:v>
                </c:pt>
                <c:pt idx="3">
                  <c:v>5622.91</c:v>
                </c:pt>
                <c:pt idx="4">
                  <c:v>5636.11</c:v>
                </c:pt>
                <c:pt idx="5">
                  <c:v>5645.2</c:v>
                </c:pt>
                <c:pt idx="6">
                  <c:v>5654.46</c:v>
                </c:pt>
                <c:pt idx="7">
                  <c:v>5662.64</c:v>
                </c:pt>
                <c:pt idx="8">
                  <c:v>5667.77</c:v>
                </c:pt>
                <c:pt idx="9">
                  <c:v>5673.84</c:v>
                </c:pt>
                <c:pt idx="10">
                  <c:v>5680.79</c:v>
                </c:pt>
                <c:pt idx="11">
                  <c:v>5684.95</c:v>
                </c:pt>
                <c:pt idx="12">
                  <c:v>5689.5</c:v>
                </c:pt>
                <c:pt idx="13">
                  <c:v>5693.87</c:v>
                </c:pt>
                <c:pt idx="14">
                  <c:v>5696.21</c:v>
                </c:pt>
                <c:pt idx="15">
                  <c:v>5699.77</c:v>
                </c:pt>
                <c:pt idx="16">
                  <c:v>5707.11</c:v>
                </c:pt>
                <c:pt idx="17">
                  <c:v>5718.37</c:v>
                </c:pt>
                <c:pt idx="18">
                  <c:v>5733.17</c:v>
                </c:pt>
                <c:pt idx="19">
                  <c:v>5748.97</c:v>
                </c:pt>
                <c:pt idx="20">
                  <c:v>5764.62</c:v>
                </c:pt>
                <c:pt idx="21">
                  <c:v>5774.93</c:v>
                </c:pt>
                <c:pt idx="22">
                  <c:v>5788.3</c:v>
                </c:pt>
                <c:pt idx="23">
                  <c:v>5797.23</c:v>
                </c:pt>
                <c:pt idx="24">
                  <c:v>5807.09</c:v>
                </c:pt>
                <c:pt idx="25">
                  <c:v>5817.53</c:v>
                </c:pt>
                <c:pt idx="26">
                  <c:v>5831.12</c:v>
                </c:pt>
                <c:pt idx="27">
                  <c:v>5846.34</c:v>
                </c:pt>
                <c:pt idx="28">
                  <c:v>5861.89</c:v>
                </c:pt>
                <c:pt idx="29">
                  <c:v>5877.96</c:v>
                </c:pt>
                <c:pt idx="30">
                  <c:v>5893.64</c:v>
                </c:pt>
                <c:pt idx="31">
                  <c:v>5910.53</c:v>
                </c:pt>
                <c:pt idx="32">
                  <c:v>5921.33</c:v>
                </c:pt>
                <c:pt idx="33">
                  <c:v>5933.94</c:v>
                </c:pt>
                <c:pt idx="34">
                  <c:v>5947.19</c:v>
                </c:pt>
                <c:pt idx="35">
                  <c:v>5960.86</c:v>
                </c:pt>
                <c:pt idx="36">
                  <c:v>5968.9</c:v>
                </c:pt>
                <c:pt idx="37">
                  <c:v>5979.45</c:v>
                </c:pt>
                <c:pt idx="38">
                  <c:v>5991.65</c:v>
                </c:pt>
                <c:pt idx="39">
                  <c:v>6003.36</c:v>
                </c:pt>
                <c:pt idx="40">
                  <c:v>6013.99</c:v>
                </c:pt>
                <c:pt idx="41">
                  <c:v>6023.94</c:v>
                </c:pt>
                <c:pt idx="42">
                  <c:v>6028.9</c:v>
                </c:pt>
                <c:pt idx="43">
                  <c:v>6035.57</c:v>
                </c:pt>
                <c:pt idx="44">
                  <c:v>6039.27</c:v>
                </c:pt>
              </c:numCache>
            </c:numRef>
          </c:val>
          <c:smooth val="0"/>
          <c:extLst>
            <c:ext xmlns:c16="http://schemas.microsoft.com/office/drawing/2014/chart" uri="{C3380CC4-5D6E-409C-BE32-E72D297353CC}">
              <c16:uniqueId val="{0000000A-375B-4684-A4B2-E122188D82A4}"/>
            </c:ext>
          </c:extLst>
        </c:ser>
        <c:ser>
          <c:idx val="11"/>
          <c:order val="11"/>
          <c:tx>
            <c:strRef>
              <c:f>'50..800_amp'!$M$3:$M$4</c:f>
              <c:strCache>
                <c:ptCount val="1"/>
                <c:pt idx="0">
                  <c:v>B03</c:v>
                </c:pt>
              </c:strCache>
            </c:strRef>
          </c:tx>
          <c:spPr>
            <a:ln w="28575" cap="rnd">
              <a:solidFill>
                <a:schemeClr val="accent6">
                  <a:lumMod val="6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'50..800_amp'!$M$5:$M$50</c:f>
              <c:numCache>
                <c:formatCode>General</c:formatCode>
                <c:ptCount val="45"/>
                <c:pt idx="0">
                  <c:v>5851.5</c:v>
                </c:pt>
                <c:pt idx="1">
                  <c:v>5960.67</c:v>
                </c:pt>
                <c:pt idx="2">
                  <c:v>5966.49</c:v>
                </c:pt>
                <c:pt idx="3">
                  <c:v>5973.58</c:v>
                </c:pt>
                <c:pt idx="4">
                  <c:v>5983.78</c:v>
                </c:pt>
                <c:pt idx="5">
                  <c:v>5991.28</c:v>
                </c:pt>
                <c:pt idx="6">
                  <c:v>5996.52</c:v>
                </c:pt>
                <c:pt idx="7">
                  <c:v>6001.66</c:v>
                </c:pt>
                <c:pt idx="8">
                  <c:v>6005.45</c:v>
                </c:pt>
                <c:pt idx="9">
                  <c:v>6008</c:v>
                </c:pt>
                <c:pt idx="10">
                  <c:v>6008.06</c:v>
                </c:pt>
                <c:pt idx="11">
                  <c:v>6009.04</c:v>
                </c:pt>
                <c:pt idx="12">
                  <c:v>6009.13</c:v>
                </c:pt>
                <c:pt idx="13">
                  <c:v>6011.47</c:v>
                </c:pt>
                <c:pt idx="14">
                  <c:v>6013.34</c:v>
                </c:pt>
                <c:pt idx="15">
                  <c:v>6017.81</c:v>
                </c:pt>
                <c:pt idx="16">
                  <c:v>6026.39</c:v>
                </c:pt>
                <c:pt idx="17">
                  <c:v>6037.08</c:v>
                </c:pt>
                <c:pt idx="18">
                  <c:v>6050.29</c:v>
                </c:pt>
                <c:pt idx="19">
                  <c:v>6065.67</c:v>
                </c:pt>
                <c:pt idx="20">
                  <c:v>6082.14</c:v>
                </c:pt>
                <c:pt idx="21">
                  <c:v>6099</c:v>
                </c:pt>
                <c:pt idx="22">
                  <c:v>6115.58</c:v>
                </c:pt>
                <c:pt idx="23">
                  <c:v>6125.78</c:v>
                </c:pt>
                <c:pt idx="24">
                  <c:v>6137.75</c:v>
                </c:pt>
                <c:pt idx="25">
                  <c:v>6152.18</c:v>
                </c:pt>
                <c:pt idx="26">
                  <c:v>6166.31</c:v>
                </c:pt>
                <c:pt idx="27">
                  <c:v>6181.26</c:v>
                </c:pt>
                <c:pt idx="28">
                  <c:v>6197.81</c:v>
                </c:pt>
                <c:pt idx="29">
                  <c:v>6214.35</c:v>
                </c:pt>
                <c:pt idx="30">
                  <c:v>6228.93</c:v>
                </c:pt>
                <c:pt idx="31">
                  <c:v>6244.92</c:v>
                </c:pt>
                <c:pt idx="32">
                  <c:v>6261.99</c:v>
                </c:pt>
                <c:pt idx="33">
                  <c:v>6277.87</c:v>
                </c:pt>
                <c:pt idx="34">
                  <c:v>6292.73</c:v>
                </c:pt>
                <c:pt idx="35">
                  <c:v>6307.9</c:v>
                </c:pt>
                <c:pt idx="36">
                  <c:v>6317.79</c:v>
                </c:pt>
                <c:pt idx="37">
                  <c:v>6329.01</c:v>
                </c:pt>
                <c:pt idx="38">
                  <c:v>6339.72</c:v>
                </c:pt>
                <c:pt idx="39">
                  <c:v>6352.31</c:v>
                </c:pt>
                <c:pt idx="40">
                  <c:v>6365.63</c:v>
                </c:pt>
                <c:pt idx="41">
                  <c:v>6377.25</c:v>
                </c:pt>
                <c:pt idx="42">
                  <c:v>6382.69</c:v>
                </c:pt>
                <c:pt idx="43">
                  <c:v>6390.03</c:v>
                </c:pt>
                <c:pt idx="44">
                  <c:v>6394.13</c:v>
                </c:pt>
              </c:numCache>
            </c:numRef>
          </c:val>
          <c:smooth val="0"/>
          <c:extLst>
            <c:ext xmlns:c16="http://schemas.microsoft.com/office/drawing/2014/chart" uri="{C3380CC4-5D6E-409C-BE32-E72D297353CC}">
              <c16:uniqueId val="{0000000B-375B-4684-A4B2-E122188D82A4}"/>
            </c:ext>
          </c:extLst>
        </c:ser>
        <c:ser>
          <c:idx val="12"/>
          <c:order val="12"/>
          <c:tx>
            <c:strRef>
              <c:f>'50..800_amp'!$N$3:$N$4</c:f>
              <c:strCache>
                <c:ptCount val="1"/>
                <c:pt idx="0">
                  <c:v>B04</c:v>
                </c:pt>
              </c:strCache>
            </c:strRef>
          </c:tx>
          <c:spPr>
            <a:ln w="28575" cap="rnd">
              <a:solidFill>
                <a:schemeClr val="accent1">
                  <a:lumMod val="80000"/>
                  <a:lumOff val="2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'50..800_amp'!$N$5:$N$50</c:f>
              <c:numCache>
                <c:formatCode>General</c:formatCode>
                <c:ptCount val="45"/>
                <c:pt idx="0">
                  <c:v>6056.7</c:v>
                </c:pt>
                <c:pt idx="1">
                  <c:v>6139.5</c:v>
                </c:pt>
                <c:pt idx="2">
                  <c:v>6146.81</c:v>
                </c:pt>
                <c:pt idx="3">
                  <c:v>6155.47</c:v>
                </c:pt>
                <c:pt idx="4">
                  <c:v>6164.31</c:v>
                </c:pt>
                <c:pt idx="5">
                  <c:v>6169.61</c:v>
                </c:pt>
                <c:pt idx="6">
                  <c:v>6174.66</c:v>
                </c:pt>
                <c:pt idx="7">
                  <c:v>6177.7</c:v>
                </c:pt>
                <c:pt idx="8">
                  <c:v>6180.94</c:v>
                </c:pt>
                <c:pt idx="9">
                  <c:v>6184.54</c:v>
                </c:pt>
                <c:pt idx="10">
                  <c:v>6187.91</c:v>
                </c:pt>
                <c:pt idx="11">
                  <c:v>6190.8</c:v>
                </c:pt>
                <c:pt idx="12">
                  <c:v>6195.9</c:v>
                </c:pt>
                <c:pt idx="13">
                  <c:v>6197.66</c:v>
                </c:pt>
                <c:pt idx="14">
                  <c:v>6199.8</c:v>
                </c:pt>
                <c:pt idx="15">
                  <c:v>6205.01</c:v>
                </c:pt>
                <c:pt idx="16">
                  <c:v>6212.52</c:v>
                </c:pt>
                <c:pt idx="17">
                  <c:v>6222.9</c:v>
                </c:pt>
                <c:pt idx="18">
                  <c:v>6236.7</c:v>
                </c:pt>
                <c:pt idx="19">
                  <c:v>6252.67</c:v>
                </c:pt>
                <c:pt idx="20">
                  <c:v>6268.14</c:v>
                </c:pt>
                <c:pt idx="21">
                  <c:v>6281.77</c:v>
                </c:pt>
                <c:pt idx="22">
                  <c:v>6294.23</c:v>
                </c:pt>
                <c:pt idx="23">
                  <c:v>6306.03</c:v>
                </c:pt>
                <c:pt idx="24">
                  <c:v>6316.83</c:v>
                </c:pt>
                <c:pt idx="25">
                  <c:v>6327.5</c:v>
                </c:pt>
                <c:pt idx="26">
                  <c:v>6338.62</c:v>
                </c:pt>
                <c:pt idx="27">
                  <c:v>6350.26</c:v>
                </c:pt>
                <c:pt idx="28">
                  <c:v>6364.47</c:v>
                </c:pt>
                <c:pt idx="29">
                  <c:v>6378.32</c:v>
                </c:pt>
                <c:pt idx="30">
                  <c:v>6390.75</c:v>
                </c:pt>
                <c:pt idx="31">
                  <c:v>6402.69</c:v>
                </c:pt>
                <c:pt idx="32">
                  <c:v>6413.91</c:v>
                </c:pt>
                <c:pt idx="33">
                  <c:v>6426.02</c:v>
                </c:pt>
                <c:pt idx="34">
                  <c:v>6438.22</c:v>
                </c:pt>
                <c:pt idx="35">
                  <c:v>6449.26</c:v>
                </c:pt>
                <c:pt idx="36">
                  <c:v>6455.61</c:v>
                </c:pt>
                <c:pt idx="37">
                  <c:v>6464.34</c:v>
                </c:pt>
                <c:pt idx="38">
                  <c:v>6473.44</c:v>
                </c:pt>
                <c:pt idx="39">
                  <c:v>6483.81</c:v>
                </c:pt>
                <c:pt idx="40">
                  <c:v>6494.81</c:v>
                </c:pt>
                <c:pt idx="41">
                  <c:v>6505.66</c:v>
                </c:pt>
                <c:pt idx="42">
                  <c:v>6510.66</c:v>
                </c:pt>
                <c:pt idx="43">
                  <c:v>6517.32</c:v>
                </c:pt>
                <c:pt idx="44">
                  <c:v>6521.02</c:v>
                </c:pt>
              </c:numCache>
            </c:numRef>
          </c:val>
          <c:smooth val="0"/>
          <c:extLst>
            <c:ext xmlns:c16="http://schemas.microsoft.com/office/drawing/2014/chart" uri="{C3380CC4-5D6E-409C-BE32-E72D297353CC}">
              <c16:uniqueId val="{0000000C-375B-4684-A4B2-E122188D82A4}"/>
            </c:ext>
          </c:extLst>
        </c:ser>
        <c:ser>
          <c:idx val="13"/>
          <c:order val="13"/>
          <c:tx>
            <c:strRef>
              <c:f>'50..800_amp'!$O$3:$O$4</c:f>
              <c:strCache>
                <c:ptCount val="1"/>
                <c:pt idx="0">
                  <c:v>B05</c:v>
                </c:pt>
              </c:strCache>
            </c:strRef>
          </c:tx>
          <c:spPr>
            <a:ln w="28575" cap="rnd">
              <a:solidFill>
                <a:schemeClr val="accent2">
                  <a:lumMod val="80000"/>
                  <a:lumOff val="2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'50..800_amp'!$O$5:$O$50</c:f>
              <c:numCache>
                <c:formatCode>General</c:formatCode>
                <c:ptCount val="45"/>
                <c:pt idx="0">
                  <c:v>6096.5</c:v>
                </c:pt>
                <c:pt idx="1">
                  <c:v>6164.74</c:v>
                </c:pt>
                <c:pt idx="2">
                  <c:v>6178.46</c:v>
                </c:pt>
                <c:pt idx="3">
                  <c:v>6191.42</c:v>
                </c:pt>
                <c:pt idx="4">
                  <c:v>6203.33</c:v>
                </c:pt>
                <c:pt idx="5">
                  <c:v>6210.48</c:v>
                </c:pt>
                <c:pt idx="6">
                  <c:v>6218.1</c:v>
                </c:pt>
                <c:pt idx="7">
                  <c:v>6225.13</c:v>
                </c:pt>
                <c:pt idx="8">
                  <c:v>6229.41</c:v>
                </c:pt>
                <c:pt idx="9">
                  <c:v>6233.15</c:v>
                </c:pt>
                <c:pt idx="10">
                  <c:v>6234.96</c:v>
                </c:pt>
                <c:pt idx="11">
                  <c:v>6235.92</c:v>
                </c:pt>
                <c:pt idx="12">
                  <c:v>6237.12</c:v>
                </c:pt>
                <c:pt idx="13">
                  <c:v>6237.18</c:v>
                </c:pt>
                <c:pt idx="14">
                  <c:v>6239.44</c:v>
                </c:pt>
                <c:pt idx="15">
                  <c:v>6242.58</c:v>
                </c:pt>
                <c:pt idx="16">
                  <c:v>6248.15</c:v>
                </c:pt>
                <c:pt idx="17">
                  <c:v>6256.83</c:v>
                </c:pt>
                <c:pt idx="18">
                  <c:v>6269.07</c:v>
                </c:pt>
                <c:pt idx="19">
                  <c:v>6282.7</c:v>
                </c:pt>
                <c:pt idx="20">
                  <c:v>6296.42</c:v>
                </c:pt>
                <c:pt idx="21">
                  <c:v>6311.27</c:v>
                </c:pt>
                <c:pt idx="22">
                  <c:v>6321.25</c:v>
                </c:pt>
                <c:pt idx="23">
                  <c:v>6328.55</c:v>
                </c:pt>
                <c:pt idx="24">
                  <c:v>6336.71</c:v>
                </c:pt>
                <c:pt idx="25">
                  <c:v>6345.45</c:v>
                </c:pt>
                <c:pt idx="26">
                  <c:v>6355.69</c:v>
                </c:pt>
                <c:pt idx="27">
                  <c:v>6367.31</c:v>
                </c:pt>
                <c:pt idx="28">
                  <c:v>6379.85</c:v>
                </c:pt>
                <c:pt idx="29">
                  <c:v>6394.2</c:v>
                </c:pt>
                <c:pt idx="30">
                  <c:v>6408.18</c:v>
                </c:pt>
                <c:pt idx="31">
                  <c:v>6421.46</c:v>
                </c:pt>
                <c:pt idx="32">
                  <c:v>6433.43</c:v>
                </c:pt>
                <c:pt idx="33">
                  <c:v>6443.84</c:v>
                </c:pt>
                <c:pt idx="34">
                  <c:v>6454.43</c:v>
                </c:pt>
                <c:pt idx="35">
                  <c:v>6461.43</c:v>
                </c:pt>
                <c:pt idx="36">
                  <c:v>6470.44</c:v>
                </c:pt>
                <c:pt idx="37">
                  <c:v>6479.72</c:v>
                </c:pt>
                <c:pt idx="38">
                  <c:v>6485.39</c:v>
                </c:pt>
                <c:pt idx="39">
                  <c:v>6492.27</c:v>
                </c:pt>
                <c:pt idx="40">
                  <c:v>6499.88</c:v>
                </c:pt>
                <c:pt idx="41">
                  <c:v>6508.47</c:v>
                </c:pt>
                <c:pt idx="42">
                  <c:v>6512.94</c:v>
                </c:pt>
                <c:pt idx="43">
                  <c:v>6518.98</c:v>
                </c:pt>
                <c:pt idx="44">
                  <c:v>6522.35</c:v>
                </c:pt>
              </c:numCache>
            </c:numRef>
          </c:val>
          <c:smooth val="0"/>
          <c:extLst>
            <c:ext xmlns:c16="http://schemas.microsoft.com/office/drawing/2014/chart" uri="{C3380CC4-5D6E-409C-BE32-E72D297353CC}">
              <c16:uniqueId val="{0000000D-375B-4684-A4B2-E122188D82A4}"/>
            </c:ext>
          </c:extLst>
        </c:ser>
        <c:ser>
          <c:idx val="14"/>
          <c:order val="14"/>
          <c:tx>
            <c:strRef>
              <c:f>'50..800_amp'!$P$3:$P$4</c:f>
              <c:strCache>
                <c:ptCount val="1"/>
                <c:pt idx="0">
                  <c:v>B06</c:v>
                </c:pt>
              </c:strCache>
            </c:strRef>
          </c:tx>
          <c:spPr>
            <a:ln w="28575" cap="rnd">
              <a:solidFill>
                <a:schemeClr val="accent3">
                  <a:lumMod val="80000"/>
                  <a:lumOff val="2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'50..800_amp'!$P$5:$P$50</c:f>
              <c:numCache>
                <c:formatCode>General</c:formatCode>
                <c:ptCount val="45"/>
                <c:pt idx="0">
                  <c:v>5909.4</c:v>
                </c:pt>
                <c:pt idx="1">
                  <c:v>5963.33</c:v>
                </c:pt>
                <c:pt idx="2">
                  <c:v>5963</c:v>
                </c:pt>
                <c:pt idx="3">
                  <c:v>5964.67</c:v>
                </c:pt>
                <c:pt idx="4">
                  <c:v>5966.7</c:v>
                </c:pt>
                <c:pt idx="5">
                  <c:v>5968.13</c:v>
                </c:pt>
                <c:pt idx="6">
                  <c:v>5969.95</c:v>
                </c:pt>
                <c:pt idx="7">
                  <c:v>5970.13</c:v>
                </c:pt>
                <c:pt idx="8">
                  <c:v>5970.55</c:v>
                </c:pt>
                <c:pt idx="9">
                  <c:v>5972.55</c:v>
                </c:pt>
                <c:pt idx="10">
                  <c:v>5975.96</c:v>
                </c:pt>
                <c:pt idx="11">
                  <c:v>5975.57</c:v>
                </c:pt>
                <c:pt idx="12">
                  <c:v>5975.19</c:v>
                </c:pt>
                <c:pt idx="13">
                  <c:v>5974.3</c:v>
                </c:pt>
                <c:pt idx="14">
                  <c:v>5974.31</c:v>
                </c:pt>
                <c:pt idx="15">
                  <c:v>5978.06</c:v>
                </c:pt>
                <c:pt idx="16">
                  <c:v>5986.25</c:v>
                </c:pt>
                <c:pt idx="17">
                  <c:v>5997.52</c:v>
                </c:pt>
                <c:pt idx="18">
                  <c:v>6009.41</c:v>
                </c:pt>
                <c:pt idx="19">
                  <c:v>6021.59</c:v>
                </c:pt>
                <c:pt idx="20">
                  <c:v>6033.62</c:v>
                </c:pt>
                <c:pt idx="21">
                  <c:v>6043.83</c:v>
                </c:pt>
                <c:pt idx="22">
                  <c:v>6053.05</c:v>
                </c:pt>
                <c:pt idx="23">
                  <c:v>6058.83</c:v>
                </c:pt>
                <c:pt idx="24">
                  <c:v>6062.62</c:v>
                </c:pt>
                <c:pt idx="25">
                  <c:v>6069.39</c:v>
                </c:pt>
                <c:pt idx="26">
                  <c:v>6078.28</c:v>
                </c:pt>
                <c:pt idx="27">
                  <c:v>6089.06</c:v>
                </c:pt>
                <c:pt idx="28">
                  <c:v>6101.49</c:v>
                </c:pt>
                <c:pt idx="29">
                  <c:v>6114.84</c:v>
                </c:pt>
                <c:pt idx="30">
                  <c:v>6123.54</c:v>
                </c:pt>
                <c:pt idx="31">
                  <c:v>6134.95</c:v>
                </c:pt>
                <c:pt idx="32">
                  <c:v>6142.44</c:v>
                </c:pt>
                <c:pt idx="33">
                  <c:v>6151.26</c:v>
                </c:pt>
                <c:pt idx="34">
                  <c:v>6160.21</c:v>
                </c:pt>
                <c:pt idx="35">
                  <c:v>6168.41</c:v>
                </c:pt>
                <c:pt idx="36">
                  <c:v>6176.84</c:v>
                </c:pt>
                <c:pt idx="37">
                  <c:v>6182.02</c:v>
                </c:pt>
                <c:pt idx="38">
                  <c:v>6189.53</c:v>
                </c:pt>
                <c:pt idx="39">
                  <c:v>6194.77</c:v>
                </c:pt>
                <c:pt idx="40">
                  <c:v>6202.69</c:v>
                </c:pt>
                <c:pt idx="41">
                  <c:v>6209.11</c:v>
                </c:pt>
                <c:pt idx="42">
                  <c:v>6211.42</c:v>
                </c:pt>
                <c:pt idx="43">
                  <c:v>6214.34</c:v>
                </c:pt>
                <c:pt idx="44">
                  <c:v>6215.94</c:v>
                </c:pt>
              </c:numCache>
            </c:numRef>
          </c:val>
          <c:smooth val="0"/>
          <c:extLst>
            <c:ext xmlns:c16="http://schemas.microsoft.com/office/drawing/2014/chart" uri="{C3380CC4-5D6E-409C-BE32-E72D297353CC}">
              <c16:uniqueId val="{0000000E-375B-4684-A4B2-E122188D82A4}"/>
            </c:ext>
          </c:extLst>
        </c:ser>
        <c:ser>
          <c:idx val="15"/>
          <c:order val="15"/>
          <c:tx>
            <c:strRef>
              <c:f>'50..800_amp'!$Q$3:$Q$4</c:f>
              <c:strCache>
                <c:ptCount val="1"/>
                <c:pt idx="0">
                  <c:v>B07</c:v>
                </c:pt>
              </c:strCache>
            </c:strRef>
          </c:tx>
          <c:spPr>
            <a:ln w="28575" cap="rnd">
              <a:solidFill>
                <a:schemeClr val="accent4">
                  <a:lumMod val="80000"/>
                  <a:lumOff val="2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'50..800_amp'!$Q$5:$Q$50</c:f>
              <c:numCache>
                <c:formatCode>General</c:formatCode>
                <c:ptCount val="45"/>
                <c:pt idx="0">
                  <c:v>5496.6</c:v>
                </c:pt>
                <c:pt idx="1">
                  <c:v>5570.51</c:v>
                </c:pt>
                <c:pt idx="2">
                  <c:v>5574.68</c:v>
                </c:pt>
                <c:pt idx="3">
                  <c:v>5577.86</c:v>
                </c:pt>
                <c:pt idx="4">
                  <c:v>5582.95</c:v>
                </c:pt>
                <c:pt idx="5">
                  <c:v>5587.01</c:v>
                </c:pt>
                <c:pt idx="6">
                  <c:v>5588.47</c:v>
                </c:pt>
                <c:pt idx="7">
                  <c:v>5590.02</c:v>
                </c:pt>
                <c:pt idx="8">
                  <c:v>5590.68</c:v>
                </c:pt>
                <c:pt idx="9">
                  <c:v>5592.5</c:v>
                </c:pt>
                <c:pt idx="10">
                  <c:v>5594.6</c:v>
                </c:pt>
                <c:pt idx="11">
                  <c:v>5594.54</c:v>
                </c:pt>
                <c:pt idx="12">
                  <c:v>5594.71</c:v>
                </c:pt>
                <c:pt idx="13">
                  <c:v>5594</c:v>
                </c:pt>
                <c:pt idx="14">
                  <c:v>5594.15</c:v>
                </c:pt>
                <c:pt idx="15">
                  <c:v>5597.88</c:v>
                </c:pt>
                <c:pt idx="16">
                  <c:v>5604.79</c:v>
                </c:pt>
                <c:pt idx="17">
                  <c:v>5612.82</c:v>
                </c:pt>
                <c:pt idx="18">
                  <c:v>5623.09</c:v>
                </c:pt>
                <c:pt idx="19">
                  <c:v>5636.32</c:v>
                </c:pt>
                <c:pt idx="20">
                  <c:v>5649.3</c:v>
                </c:pt>
                <c:pt idx="21">
                  <c:v>5660.96</c:v>
                </c:pt>
                <c:pt idx="22">
                  <c:v>5671.9</c:v>
                </c:pt>
                <c:pt idx="23">
                  <c:v>5680.41</c:v>
                </c:pt>
                <c:pt idx="24">
                  <c:v>5683.58</c:v>
                </c:pt>
                <c:pt idx="25">
                  <c:v>5689.2</c:v>
                </c:pt>
                <c:pt idx="26">
                  <c:v>5696.19</c:v>
                </c:pt>
                <c:pt idx="27">
                  <c:v>5705.54</c:v>
                </c:pt>
                <c:pt idx="28">
                  <c:v>5715.48</c:v>
                </c:pt>
                <c:pt idx="29">
                  <c:v>5724.45</c:v>
                </c:pt>
                <c:pt idx="30">
                  <c:v>5733.23</c:v>
                </c:pt>
                <c:pt idx="31">
                  <c:v>5743.55</c:v>
                </c:pt>
                <c:pt idx="32">
                  <c:v>5753.72</c:v>
                </c:pt>
                <c:pt idx="33">
                  <c:v>5762.07</c:v>
                </c:pt>
                <c:pt idx="34">
                  <c:v>5769.96</c:v>
                </c:pt>
                <c:pt idx="35">
                  <c:v>5777.26</c:v>
                </c:pt>
                <c:pt idx="36">
                  <c:v>5781.83</c:v>
                </c:pt>
                <c:pt idx="37">
                  <c:v>5784.4</c:v>
                </c:pt>
                <c:pt idx="38">
                  <c:v>5789.69</c:v>
                </c:pt>
                <c:pt idx="39">
                  <c:v>5793.89</c:v>
                </c:pt>
                <c:pt idx="40">
                  <c:v>5799.69</c:v>
                </c:pt>
                <c:pt idx="41">
                  <c:v>5806.57</c:v>
                </c:pt>
                <c:pt idx="42">
                  <c:v>5809.78</c:v>
                </c:pt>
                <c:pt idx="43">
                  <c:v>5814.14</c:v>
                </c:pt>
                <c:pt idx="44">
                  <c:v>5816.58</c:v>
                </c:pt>
              </c:numCache>
            </c:numRef>
          </c:val>
          <c:smooth val="0"/>
          <c:extLst>
            <c:ext xmlns:c16="http://schemas.microsoft.com/office/drawing/2014/chart" uri="{C3380CC4-5D6E-409C-BE32-E72D297353CC}">
              <c16:uniqueId val="{0000000F-375B-4684-A4B2-E122188D82A4}"/>
            </c:ext>
          </c:extLst>
        </c:ser>
        <c:ser>
          <c:idx val="16"/>
          <c:order val="16"/>
          <c:tx>
            <c:strRef>
              <c:f>'50..800_amp'!$R$3:$R$4</c:f>
              <c:strCache>
                <c:ptCount val="1"/>
                <c:pt idx="0">
                  <c:v>B08</c:v>
                </c:pt>
              </c:strCache>
            </c:strRef>
          </c:tx>
          <c:spPr>
            <a:ln w="28575" cap="rnd">
              <a:solidFill>
                <a:schemeClr val="accent5">
                  <a:lumMod val="80000"/>
                  <a:lumOff val="2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'50..800_amp'!$R$5:$R$50</c:f>
              <c:numCache>
                <c:formatCode>General</c:formatCode>
                <c:ptCount val="45"/>
                <c:pt idx="0">
                  <c:v>6239.5</c:v>
                </c:pt>
                <c:pt idx="1">
                  <c:v>6284.97</c:v>
                </c:pt>
                <c:pt idx="2">
                  <c:v>6284.59</c:v>
                </c:pt>
                <c:pt idx="3">
                  <c:v>6284.39</c:v>
                </c:pt>
                <c:pt idx="4">
                  <c:v>6284.22</c:v>
                </c:pt>
                <c:pt idx="5">
                  <c:v>6283.25</c:v>
                </c:pt>
                <c:pt idx="6">
                  <c:v>6280.89</c:v>
                </c:pt>
                <c:pt idx="7">
                  <c:v>6278.43</c:v>
                </c:pt>
                <c:pt idx="8">
                  <c:v>6277.26</c:v>
                </c:pt>
                <c:pt idx="9">
                  <c:v>6275.08</c:v>
                </c:pt>
                <c:pt idx="10">
                  <c:v>6273.35</c:v>
                </c:pt>
                <c:pt idx="11">
                  <c:v>6273.29</c:v>
                </c:pt>
                <c:pt idx="12">
                  <c:v>6272.81</c:v>
                </c:pt>
                <c:pt idx="13">
                  <c:v>6272.04</c:v>
                </c:pt>
                <c:pt idx="14">
                  <c:v>6271.92</c:v>
                </c:pt>
                <c:pt idx="15">
                  <c:v>6274.78</c:v>
                </c:pt>
                <c:pt idx="16">
                  <c:v>6281.32</c:v>
                </c:pt>
                <c:pt idx="17">
                  <c:v>6290.88</c:v>
                </c:pt>
                <c:pt idx="18">
                  <c:v>6303.31</c:v>
                </c:pt>
                <c:pt idx="19">
                  <c:v>6317.56</c:v>
                </c:pt>
                <c:pt idx="20">
                  <c:v>6331.58</c:v>
                </c:pt>
                <c:pt idx="21">
                  <c:v>6340.73</c:v>
                </c:pt>
                <c:pt idx="22">
                  <c:v>6352.26</c:v>
                </c:pt>
                <c:pt idx="23">
                  <c:v>6359.45</c:v>
                </c:pt>
                <c:pt idx="24">
                  <c:v>6366.97</c:v>
                </c:pt>
                <c:pt idx="25">
                  <c:v>6375.76</c:v>
                </c:pt>
                <c:pt idx="26">
                  <c:v>6386.21</c:v>
                </c:pt>
                <c:pt idx="27">
                  <c:v>6397.12</c:v>
                </c:pt>
                <c:pt idx="28">
                  <c:v>6409.38</c:v>
                </c:pt>
                <c:pt idx="29">
                  <c:v>6422.03</c:v>
                </c:pt>
                <c:pt idx="30">
                  <c:v>6430.12</c:v>
                </c:pt>
                <c:pt idx="31">
                  <c:v>6441.71</c:v>
                </c:pt>
                <c:pt idx="32">
                  <c:v>6453.67</c:v>
                </c:pt>
                <c:pt idx="33">
                  <c:v>6464.38</c:v>
                </c:pt>
                <c:pt idx="34">
                  <c:v>6473.65</c:v>
                </c:pt>
                <c:pt idx="35">
                  <c:v>6482.25</c:v>
                </c:pt>
                <c:pt idx="36">
                  <c:v>6487.23</c:v>
                </c:pt>
                <c:pt idx="37">
                  <c:v>6492.43</c:v>
                </c:pt>
                <c:pt idx="38">
                  <c:v>6498.26</c:v>
                </c:pt>
                <c:pt idx="39">
                  <c:v>6502.35</c:v>
                </c:pt>
                <c:pt idx="40">
                  <c:v>6506.36</c:v>
                </c:pt>
                <c:pt idx="41">
                  <c:v>6509.04</c:v>
                </c:pt>
                <c:pt idx="42">
                  <c:v>6511.12</c:v>
                </c:pt>
                <c:pt idx="43">
                  <c:v>6513.96</c:v>
                </c:pt>
                <c:pt idx="44">
                  <c:v>6515.56</c:v>
                </c:pt>
              </c:numCache>
            </c:numRef>
          </c:val>
          <c:smooth val="0"/>
          <c:extLst>
            <c:ext xmlns:c16="http://schemas.microsoft.com/office/drawing/2014/chart" uri="{C3380CC4-5D6E-409C-BE32-E72D297353CC}">
              <c16:uniqueId val="{00000010-375B-4684-A4B2-E122188D82A4}"/>
            </c:ext>
          </c:extLst>
        </c:ser>
        <c:ser>
          <c:idx val="17"/>
          <c:order val="17"/>
          <c:tx>
            <c:strRef>
              <c:f>'50..800_amp'!$S$3:$S$4</c:f>
              <c:strCache>
                <c:ptCount val="1"/>
                <c:pt idx="0">
                  <c:v>B09</c:v>
                </c:pt>
              </c:strCache>
            </c:strRef>
          </c:tx>
          <c:spPr>
            <a:ln w="28575" cap="rnd">
              <a:solidFill>
                <a:schemeClr val="accent6">
                  <a:lumMod val="80000"/>
                  <a:lumOff val="2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'50..800_amp'!$S$5:$S$50</c:f>
              <c:numCache>
                <c:formatCode>General</c:formatCode>
                <c:ptCount val="45"/>
                <c:pt idx="0">
                  <c:v>6492.4</c:v>
                </c:pt>
                <c:pt idx="1">
                  <c:v>6542.35</c:v>
                </c:pt>
                <c:pt idx="2">
                  <c:v>6541.02</c:v>
                </c:pt>
                <c:pt idx="3">
                  <c:v>6537.88</c:v>
                </c:pt>
                <c:pt idx="4">
                  <c:v>6535.46</c:v>
                </c:pt>
                <c:pt idx="5">
                  <c:v>6533.28</c:v>
                </c:pt>
                <c:pt idx="6">
                  <c:v>6530.86</c:v>
                </c:pt>
                <c:pt idx="7">
                  <c:v>6528.55</c:v>
                </c:pt>
                <c:pt idx="8">
                  <c:v>6526.2</c:v>
                </c:pt>
                <c:pt idx="9">
                  <c:v>6522.79</c:v>
                </c:pt>
                <c:pt idx="10">
                  <c:v>6520.22</c:v>
                </c:pt>
                <c:pt idx="11">
                  <c:v>6517.11</c:v>
                </c:pt>
                <c:pt idx="12">
                  <c:v>6514.99</c:v>
                </c:pt>
                <c:pt idx="13">
                  <c:v>6512.9</c:v>
                </c:pt>
                <c:pt idx="14">
                  <c:v>6512.86</c:v>
                </c:pt>
                <c:pt idx="15">
                  <c:v>6514.79</c:v>
                </c:pt>
                <c:pt idx="16">
                  <c:v>6520.26</c:v>
                </c:pt>
                <c:pt idx="17">
                  <c:v>6530.51</c:v>
                </c:pt>
                <c:pt idx="18">
                  <c:v>6542.77</c:v>
                </c:pt>
                <c:pt idx="19">
                  <c:v>6554.58</c:v>
                </c:pt>
                <c:pt idx="20">
                  <c:v>6561.72</c:v>
                </c:pt>
                <c:pt idx="21">
                  <c:v>6570.65</c:v>
                </c:pt>
                <c:pt idx="22">
                  <c:v>6579.96</c:v>
                </c:pt>
                <c:pt idx="23">
                  <c:v>6586.33</c:v>
                </c:pt>
                <c:pt idx="24">
                  <c:v>6591.64</c:v>
                </c:pt>
                <c:pt idx="25">
                  <c:v>6598.61</c:v>
                </c:pt>
                <c:pt idx="26">
                  <c:v>6606.56</c:v>
                </c:pt>
                <c:pt idx="27">
                  <c:v>6616.91</c:v>
                </c:pt>
                <c:pt idx="28">
                  <c:v>6623.8</c:v>
                </c:pt>
                <c:pt idx="29">
                  <c:v>6634.33</c:v>
                </c:pt>
                <c:pt idx="30">
                  <c:v>6642.13</c:v>
                </c:pt>
                <c:pt idx="31">
                  <c:v>6651.16</c:v>
                </c:pt>
                <c:pt idx="32">
                  <c:v>6657.49</c:v>
                </c:pt>
                <c:pt idx="33">
                  <c:v>6664.79</c:v>
                </c:pt>
                <c:pt idx="34">
                  <c:v>6671.83</c:v>
                </c:pt>
                <c:pt idx="35">
                  <c:v>6677.29</c:v>
                </c:pt>
                <c:pt idx="36">
                  <c:v>6683.15</c:v>
                </c:pt>
                <c:pt idx="37">
                  <c:v>6688.78</c:v>
                </c:pt>
                <c:pt idx="38">
                  <c:v>6692.72</c:v>
                </c:pt>
                <c:pt idx="39">
                  <c:v>6695.13</c:v>
                </c:pt>
                <c:pt idx="40">
                  <c:v>6698.6</c:v>
                </c:pt>
                <c:pt idx="41">
                  <c:v>6701.81</c:v>
                </c:pt>
                <c:pt idx="42">
                  <c:v>6704.25</c:v>
                </c:pt>
                <c:pt idx="43">
                  <c:v>6706.5</c:v>
                </c:pt>
                <c:pt idx="44">
                  <c:v>6707.52</c:v>
                </c:pt>
              </c:numCache>
            </c:numRef>
          </c:val>
          <c:smooth val="0"/>
          <c:extLst>
            <c:ext xmlns:c16="http://schemas.microsoft.com/office/drawing/2014/chart" uri="{C3380CC4-5D6E-409C-BE32-E72D297353CC}">
              <c16:uniqueId val="{00000011-375B-4684-A4B2-E122188D82A4}"/>
            </c:ext>
          </c:extLst>
        </c:ser>
        <c:ser>
          <c:idx val="18"/>
          <c:order val="18"/>
          <c:tx>
            <c:strRef>
              <c:f>'50..800_amp'!$T$3:$T$4</c:f>
              <c:strCache>
                <c:ptCount val="1"/>
                <c:pt idx="0">
                  <c:v>B10</c:v>
                </c:pt>
              </c:strCache>
            </c:strRef>
          </c:tx>
          <c:spPr>
            <a:ln w="28575" cap="rnd">
              <a:solidFill>
                <a:schemeClr val="accent1">
                  <a:lumMod val="8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'50..800_amp'!$T$5:$T$50</c:f>
              <c:numCache>
                <c:formatCode>General</c:formatCode>
                <c:ptCount val="45"/>
                <c:pt idx="0">
                  <c:v>6084.4</c:v>
                </c:pt>
                <c:pt idx="1">
                  <c:v>6139.77</c:v>
                </c:pt>
                <c:pt idx="2">
                  <c:v>6143.9</c:v>
                </c:pt>
                <c:pt idx="3">
                  <c:v>6145.32</c:v>
                </c:pt>
                <c:pt idx="4">
                  <c:v>6147.95</c:v>
                </c:pt>
                <c:pt idx="5">
                  <c:v>6149.84</c:v>
                </c:pt>
                <c:pt idx="6">
                  <c:v>6150.3</c:v>
                </c:pt>
                <c:pt idx="7">
                  <c:v>6151.73</c:v>
                </c:pt>
                <c:pt idx="8">
                  <c:v>6153.41</c:v>
                </c:pt>
                <c:pt idx="9">
                  <c:v>6153.65</c:v>
                </c:pt>
                <c:pt idx="10">
                  <c:v>6154.09</c:v>
                </c:pt>
                <c:pt idx="11">
                  <c:v>6153.8</c:v>
                </c:pt>
                <c:pt idx="12">
                  <c:v>6153.64</c:v>
                </c:pt>
                <c:pt idx="13">
                  <c:v>6155.28</c:v>
                </c:pt>
                <c:pt idx="14">
                  <c:v>6157.85</c:v>
                </c:pt>
                <c:pt idx="15">
                  <c:v>6162.32</c:v>
                </c:pt>
                <c:pt idx="16">
                  <c:v>6171.76</c:v>
                </c:pt>
                <c:pt idx="17">
                  <c:v>6185.88</c:v>
                </c:pt>
                <c:pt idx="18">
                  <c:v>6199.84</c:v>
                </c:pt>
                <c:pt idx="19">
                  <c:v>6213.18</c:v>
                </c:pt>
                <c:pt idx="20">
                  <c:v>6225.29</c:v>
                </c:pt>
                <c:pt idx="21">
                  <c:v>6236.92</c:v>
                </c:pt>
                <c:pt idx="22">
                  <c:v>6244.01</c:v>
                </c:pt>
                <c:pt idx="23">
                  <c:v>6249.26</c:v>
                </c:pt>
                <c:pt idx="24">
                  <c:v>6254.3</c:v>
                </c:pt>
                <c:pt idx="25">
                  <c:v>6261.17</c:v>
                </c:pt>
                <c:pt idx="26">
                  <c:v>6270.04</c:v>
                </c:pt>
                <c:pt idx="27">
                  <c:v>6279.27</c:v>
                </c:pt>
                <c:pt idx="28">
                  <c:v>6289.17</c:v>
                </c:pt>
                <c:pt idx="29">
                  <c:v>6299.14</c:v>
                </c:pt>
                <c:pt idx="30">
                  <c:v>6308.34</c:v>
                </c:pt>
                <c:pt idx="31">
                  <c:v>6313.46</c:v>
                </c:pt>
                <c:pt idx="32">
                  <c:v>6319.48</c:v>
                </c:pt>
                <c:pt idx="33">
                  <c:v>6323.21</c:v>
                </c:pt>
                <c:pt idx="34">
                  <c:v>6328.27</c:v>
                </c:pt>
                <c:pt idx="35">
                  <c:v>6332.05</c:v>
                </c:pt>
                <c:pt idx="36">
                  <c:v>6337.78</c:v>
                </c:pt>
                <c:pt idx="37">
                  <c:v>6341.88</c:v>
                </c:pt>
                <c:pt idx="38">
                  <c:v>6345.41</c:v>
                </c:pt>
                <c:pt idx="39">
                  <c:v>6349.03</c:v>
                </c:pt>
                <c:pt idx="40">
                  <c:v>6351.5</c:v>
                </c:pt>
                <c:pt idx="41">
                  <c:v>6354.75</c:v>
                </c:pt>
                <c:pt idx="42">
                  <c:v>6356.95</c:v>
                </c:pt>
                <c:pt idx="43">
                  <c:v>6359.97</c:v>
                </c:pt>
                <c:pt idx="44">
                  <c:v>6361.67</c:v>
                </c:pt>
              </c:numCache>
            </c:numRef>
          </c:val>
          <c:smooth val="0"/>
          <c:extLst>
            <c:ext xmlns:c16="http://schemas.microsoft.com/office/drawing/2014/chart" uri="{C3380CC4-5D6E-409C-BE32-E72D297353CC}">
              <c16:uniqueId val="{00000012-375B-4684-A4B2-E122188D82A4}"/>
            </c:ext>
          </c:extLst>
        </c:ser>
        <c:ser>
          <c:idx val="19"/>
          <c:order val="19"/>
          <c:tx>
            <c:strRef>
              <c:f>'50..800_amp'!$U$3:$U$4</c:f>
              <c:strCache>
                <c:ptCount val="1"/>
                <c:pt idx="0">
                  <c:v>B11</c:v>
                </c:pt>
              </c:strCache>
            </c:strRef>
          </c:tx>
          <c:spPr>
            <a:ln w="28575" cap="rnd">
              <a:solidFill>
                <a:schemeClr val="accent2">
                  <a:lumMod val="8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'50..800_amp'!$U$5:$U$50</c:f>
              <c:numCache>
                <c:formatCode>General</c:formatCode>
                <c:ptCount val="45"/>
                <c:pt idx="0">
                  <c:v>5848.2</c:v>
                </c:pt>
                <c:pt idx="1">
                  <c:v>5870.3</c:v>
                </c:pt>
                <c:pt idx="2">
                  <c:v>5860.17</c:v>
                </c:pt>
                <c:pt idx="3">
                  <c:v>5851.95</c:v>
                </c:pt>
                <c:pt idx="4">
                  <c:v>5846.66</c:v>
                </c:pt>
                <c:pt idx="5">
                  <c:v>5841.3</c:v>
                </c:pt>
                <c:pt idx="6">
                  <c:v>5837.59</c:v>
                </c:pt>
                <c:pt idx="7">
                  <c:v>5833.7</c:v>
                </c:pt>
                <c:pt idx="8">
                  <c:v>5828.7</c:v>
                </c:pt>
                <c:pt idx="9">
                  <c:v>5824.63</c:v>
                </c:pt>
                <c:pt idx="10">
                  <c:v>5819.93</c:v>
                </c:pt>
                <c:pt idx="11">
                  <c:v>5817.06</c:v>
                </c:pt>
                <c:pt idx="12">
                  <c:v>5815.87</c:v>
                </c:pt>
                <c:pt idx="13">
                  <c:v>5814.75</c:v>
                </c:pt>
                <c:pt idx="14">
                  <c:v>5816.44</c:v>
                </c:pt>
                <c:pt idx="15">
                  <c:v>5821.1</c:v>
                </c:pt>
                <c:pt idx="16">
                  <c:v>5829.56</c:v>
                </c:pt>
                <c:pt idx="17">
                  <c:v>5838.95</c:v>
                </c:pt>
                <c:pt idx="18">
                  <c:v>5849.35</c:v>
                </c:pt>
                <c:pt idx="19">
                  <c:v>5859.9</c:v>
                </c:pt>
                <c:pt idx="20">
                  <c:v>5869.76</c:v>
                </c:pt>
                <c:pt idx="21">
                  <c:v>5876.06</c:v>
                </c:pt>
                <c:pt idx="22">
                  <c:v>5883.34</c:v>
                </c:pt>
                <c:pt idx="23">
                  <c:v>5891.02</c:v>
                </c:pt>
                <c:pt idx="24">
                  <c:v>5893</c:v>
                </c:pt>
                <c:pt idx="25">
                  <c:v>5897.25</c:v>
                </c:pt>
                <c:pt idx="26">
                  <c:v>5902.45</c:v>
                </c:pt>
                <c:pt idx="27">
                  <c:v>5908.33</c:v>
                </c:pt>
                <c:pt idx="28">
                  <c:v>5912.23</c:v>
                </c:pt>
                <c:pt idx="29">
                  <c:v>5916.6</c:v>
                </c:pt>
                <c:pt idx="30">
                  <c:v>5920.7</c:v>
                </c:pt>
                <c:pt idx="31">
                  <c:v>5924.73</c:v>
                </c:pt>
                <c:pt idx="32">
                  <c:v>5929.1</c:v>
                </c:pt>
                <c:pt idx="33">
                  <c:v>5932.51</c:v>
                </c:pt>
                <c:pt idx="34">
                  <c:v>5933.92</c:v>
                </c:pt>
                <c:pt idx="35">
                  <c:v>5935.27</c:v>
                </c:pt>
                <c:pt idx="36">
                  <c:v>5936.56</c:v>
                </c:pt>
                <c:pt idx="37">
                  <c:v>5936.65</c:v>
                </c:pt>
                <c:pt idx="38">
                  <c:v>5937.11</c:v>
                </c:pt>
                <c:pt idx="39">
                  <c:v>5938.67</c:v>
                </c:pt>
                <c:pt idx="40">
                  <c:v>5938.89</c:v>
                </c:pt>
                <c:pt idx="41">
                  <c:v>5938.99</c:v>
                </c:pt>
                <c:pt idx="42">
                  <c:v>5939.99</c:v>
                </c:pt>
                <c:pt idx="43">
                  <c:v>5941.21</c:v>
                </c:pt>
                <c:pt idx="44">
                  <c:v>5941.87</c:v>
                </c:pt>
              </c:numCache>
            </c:numRef>
          </c:val>
          <c:smooth val="0"/>
          <c:extLst>
            <c:ext xmlns:c16="http://schemas.microsoft.com/office/drawing/2014/chart" uri="{C3380CC4-5D6E-409C-BE32-E72D297353CC}">
              <c16:uniqueId val="{00000013-375B-4684-A4B2-E122188D82A4}"/>
            </c:ext>
          </c:extLst>
        </c:ser>
        <c:ser>
          <c:idx val="20"/>
          <c:order val="20"/>
          <c:tx>
            <c:strRef>
              <c:f>'50..800_amp'!$V$3:$V$4</c:f>
              <c:strCache>
                <c:ptCount val="1"/>
                <c:pt idx="0">
                  <c:v>B12</c:v>
                </c:pt>
              </c:strCache>
            </c:strRef>
          </c:tx>
          <c:spPr>
            <a:ln w="28575" cap="rnd">
              <a:solidFill>
                <a:schemeClr val="accent3">
                  <a:lumMod val="8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'50..800_amp'!$V$5:$V$50</c:f>
              <c:numCache>
                <c:formatCode>General</c:formatCode>
                <c:ptCount val="45"/>
                <c:pt idx="0">
                  <c:v>5695.4</c:v>
                </c:pt>
                <c:pt idx="1">
                  <c:v>5711.15</c:v>
                </c:pt>
                <c:pt idx="2">
                  <c:v>5706.12</c:v>
                </c:pt>
                <c:pt idx="3">
                  <c:v>5706.45</c:v>
                </c:pt>
                <c:pt idx="4">
                  <c:v>5706.73</c:v>
                </c:pt>
                <c:pt idx="5">
                  <c:v>5710.29</c:v>
                </c:pt>
                <c:pt idx="6">
                  <c:v>5714.81</c:v>
                </c:pt>
                <c:pt idx="7">
                  <c:v>5719.86</c:v>
                </c:pt>
                <c:pt idx="8">
                  <c:v>5726.33</c:v>
                </c:pt>
                <c:pt idx="9">
                  <c:v>5733.2</c:v>
                </c:pt>
                <c:pt idx="10">
                  <c:v>5738.63</c:v>
                </c:pt>
                <c:pt idx="11">
                  <c:v>5744.58</c:v>
                </c:pt>
                <c:pt idx="12">
                  <c:v>5748.85</c:v>
                </c:pt>
                <c:pt idx="13">
                  <c:v>5753.78</c:v>
                </c:pt>
                <c:pt idx="14">
                  <c:v>5759.07</c:v>
                </c:pt>
                <c:pt idx="15">
                  <c:v>5764.86</c:v>
                </c:pt>
                <c:pt idx="16">
                  <c:v>5772.42</c:v>
                </c:pt>
                <c:pt idx="17">
                  <c:v>5781.31</c:v>
                </c:pt>
                <c:pt idx="18">
                  <c:v>5791.02</c:v>
                </c:pt>
                <c:pt idx="19">
                  <c:v>5800.09</c:v>
                </c:pt>
                <c:pt idx="20">
                  <c:v>5805.4</c:v>
                </c:pt>
                <c:pt idx="21">
                  <c:v>5810.12</c:v>
                </c:pt>
                <c:pt idx="22">
                  <c:v>5812.96</c:v>
                </c:pt>
                <c:pt idx="23">
                  <c:v>5809.57</c:v>
                </c:pt>
                <c:pt idx="24">
                  <c:v>5805.54</c:v>
                </c:pt>
                <c:pt idx="25">
                  <c:v>5802.73</c:v>
                </c:pt>
                <c:pt idx="26">
                  <c:v>5804.41</c:v>
                </c:pt>
                <c:pt idx="27">
                  <c:v>5807.68</c:v>
                </c:pt>
                <c:pt idx="28">
                  <c:v>5812.71</c:v>
                </c:pt>
                <c:pt idx="29">
                  <c:v>5815.27</c:v>
                </c:pt>
                <c:pt idx="30">
                  <c:v>5818.2</c:v>
                </c:pt>
                <c:pt idx="31">
                  <c:v>5820.07</c:v>
                </c:pt>
                <c:pt idx="32">
                  <c:v>5825.8</c:v>
                </c:pt>
                <c:pt idx="33">
                  <c:v>5831.32</c:v>
                </c:pt>
                <c:pt idx="34">
                  <c:v>5833.79</c:v>
                </c:pt>
                <c:pt idx="35">
                  <c:v>5832.59</c:v>
                </c:pt>
                <c:pt idx="36">
                  <c:v>5831.48</c:v>
                </c:pt>
                <c:pt idx="37">
                  <c:v>5831.83</c:v>
                </c:pt>
                <c:pt idx="38">
                  <c:v>5834.26</c:v>
                </c:pt>
                <c:pt idx="39">
                  <c:v>5836.85</c:v>
                </c:pt>
                <c:pt idx="40">
                  <c:v>5840.92</c:v>
                </c:pt>
                <c:pt idx="41">
                  <c:v>5843.12</c:v>
                </c:pt>
                <c:pt idx="42">
                  <c:v>5844.74</c:v>
                </c:pt>
                <c:pt idx="43">
                  <c:v>5846.9</c:v>
                </c:pt>
                <c:pt idx="44">
                  <c:v>5848.1</c:v>
                </c:pt>
              </c:numCache>
            </c:numRef>
          </c:val>
          <c:smooth val="0"/>
          <c:extLst>
            <c:ext xmlns:c16="http://schemas.microsoft.com/office/drawing/2014/chart" uri="{C3380CC4-5D6E-409C-BE32-E72D297353CC}">
              <c16:uniqueId val="{00000014-375B-4684-A4B2-E122188D82A4}"/>
            </c:ext>
          </c:extLst>
        </c:ser>
        <c:ser>
          <c:idx val="21"/>
          <c:order val="21"/>
          <c:tx>
            <c:strRef>
              <c:f>'50..800_amp'!$W$3:$W$4</c:f>
              <c:strCache>
                <c:ptCount val="1"/>
                <c:pt idx="0">
                  <c:v>C02</c:v>
                </c:pt>
              </c:strCache>
            </c:strRef>
          </c:tx>
          <c:spPr>
            <a:ln w="28575" cap="rnd">
              <a:solidFill>
                <a:schemeClr val="accent4">
                  <a:lumMod val="8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'50..800_amp'!$W$5:$W$50</c:f>
              <c:numCache>
                <c:formatCode>General</c:formatCode>
                <c:ptCount val="45"/>
                <c:pt idx="0">
                  <c:v>5729.1</c:v>
                </c:pt>
                <c:pt idx="1">
                  <c:v>5755.12</c:v>
                </c:pt>
                <c:pt idx="2">
                  <c:v>5761.04</c:v>
                </c:pt>
                <c:pt idx="3">
                  <c:v>5767.53</c:v>
                </c:pt>
                <c:pt idx="4">
                  <c:v>5775.52</c:v>
                </c:pt>
                <c:pt idx="5">
                  <c:v>5780.56</c:v>
                </c:pt>
                <c:pt idx="6">
                  <c:v>5785.24</c:v>
                </c:pt>
                <c:pt idx="7">
                  <c:v>5787.72</c:v>
                </c:pt>
                <c:pt idx="8">
                  <c:v>5790.28</c:v>
                </c:pt>
                <c:pt idx="9">
                  <c:v>5791.25</c:v>
                </c:pt>
                <c:pt idx="10">
                  <c:v>5790.86</c:v>
                </c:pt>
                <c:pt idx="11">
                  <c:v>5790.58</c:v>
                </c:pt>
                <c:pt idx="12">
                  <c:v>5792.82</c:v>
                </c:pt>
                <c:pt idx="13">
                  <c:v>5792.52</c:v>
                </c:pt>
                <c:pt idx="14">
                  <c:v>5792.27</c:v>
                </c:pt>
                <c:pt idx="15">
                  <c:v>5794.1</c:v>
                </c:pt>
                <c:pt idx="16">
                  <c:v>5796.18</c:v>
                </c:pt>
                <c:pt idx="17">
                  <c:v>5798.76</c:v>
                </c:pt>
                <c:pt idx="18">
                  <c:v>5802.66</c:v>
                </c:pt>
                <c:pt idx="19">
                  <c:v>5817.16</c:v>
                </c:pt>
                <c:pt idx="20">
                  <c:v>5846.36</c:v>
                </c:pt>
                <c:pt idx="21">
                  <c:v>5907.12</c:v>
                </c:pt>
                <c:pt idx="22">
                  <c:v>6024.93</c:v>
                </c:pt>
                <c:pt idx="23">
                  <c:v>6241.93</c:v>
                </c:pt>
                <c:pt idx="24">
                  <c:v>6617.81</c:v>
                </c:pt>
                <c:pt idx="25">
                  <c:v>7208.05</c:v>
                </c:pt>
                <c:pt idx="26">
                  <c:v>8020.8</c:v>
                </c:pt>
                <c:pt idx="27">
                  <c:v>8988.19</c:v>
                </c:pt>
                <c:pt idx="28">
                  <c:v>10001.67</c:v>
                </c:pt>
                <c:pt idx="29">
                  <c:v>10956.28</c:v>
                </c:pt>
                <c:pt idx="30">
                  <c:v>11789.88</c:v>
                </c:pt>
                <c:pt idx="31">
                  <c:v>12481.19</c:v>
                </c:pt>
                <c:pt idx="32">
                  <c:v>13024</c:v>
                </c:pt>
                <c:pt idx="33">
                  <c:v>13343.53</c:v>
                </c:pt>
                <c:pt idx="34">
                  <c:v>13693.48</c:v>
                </c:pt>
                <c:pt idx="35">
                  <c:v>13900.03</c:v>
                </c:pt>
                <c:pt idx="36">
                  <c:v>14126</c:v>
                </c:pt>
                <c:pt idx="37">
                  <c:v>14309.89</c:v>
                </c:pt>
                <c:pt idx="38">
                  <c:v>14414.01</c:v>
                </c:pt>
                <c:pt idx="39">
                  <c:v>14526.98</c:v>
                </c:pt>
                <c:pt idx="40">
                  <c:v>14621.33</c:v>
                </c:pt>
                <c:pt idx="41">
                  <c:v>14697.2</c:v>
                </c:pt>
                <c:pt idx="42">
                  <c:v>14729.77</c:v>
                </c:pt>
                <c:pt idx="43">
                  <c:v>14773.31</c:v>
                </c:pt>
                <c:pt idx="44">
                  <c:v>14797.48</c:v>
                </c:pt>
              </c:numCache>
            </c:numRef>
          </c:val>
          <c:smooth val="0"/>
          <c:extLst>
            <c:ext xmlns:c16="http://schemas.microsoft.com/office/drawing/2014/chart" uri="{C3380CC4-5D6E-409C-BE32-E72D297353CC}">
              <c16:uniqueId val="{00000015-375B-4684-A4B2-E122188D82A4}"/>
            </c:ext>
          </c:extLst>
        </c:ser>
        <c:ser>
          <c:idx val="22"/>
          <c:order val="22"/>
          <c:tx>
            <c:strRef>
              <c:f>'50..800_amp'!$X$3:$X$4</c:f>
              <c:strCache>
                <c:ptCount val="1"/>
                <c:pt idx="0">
                  <c:v>C03</c:v>
                </c:pt>
              </c:strCache>
            </c:strRef>
          </c:tx>
          <c:spPr>
            <a:ln w="28575" cap="rnd">
              <a:solidFill>
                <a:schemeClr val="accent5">
                  <a:lumMod val="8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'50..800_amp'!$X$5:$X$50</c:f>
              <c:numCache>
                <c:formatCode>General</c:formatCode>
                <c:ptCount val="45"/>
                <c:pt idx="0">
                  <c:v>5571</c:v>
                </c:pt>
                <c:pt idx="1">
                  <c:v>5629.55</c:v>
                </c:pt>
                <c:pt idx="2">
                  <c:v>5634.87</c:v>
                </c:pt>
                <c:pt idx="3">
                  <c:v>5637.84</c:v>
                </c:pt>
                <c:pt idx="4">
                  <c:v>5649.02</c:v>
                </c:pt>
                <c:pt idx="5">
                  <c:v>5659.76</c:v>
                </c:pt>
                <c:pt idx="6">
                  <c:v>5665</c:v>
                </c:pt>
                <c:pt idx="7">
                  <c:v>5667.97</c:v>
                </c:pt>
                <c:pt idx="8">
                  <c:v>5671.68</c:v>
                </c:pt>
                <c:pt idx="9">
                  <c:v>5675.49</c:v>
                </c:pt>
                <c:pt idx="10">
                  <c:v>5677.79</c:v>
                </c:pt>
                <c:pt idx="11">
                  <c:v>5677.71</c:v>
                </c:pt>
                <c:pt idx="12">
                  <c:v>5678.91</c:v>
                </c:pt>
                <c:pt idx="13">
                  <c:v>5679.34</c:v>
                </c:pt>
                <c:pt idx="14">
                  <c:v>5681.49</c:v>
                </c:pt>
                <c:pt idx="15">
                  <c:v>5683.31</c:v>
                </c:pt>
                <c:pt idx="16">
                  <c:v>5683.3</c:v>
                </c:pt>
                <c:pt idx="17">
                  <c:v>5681.92</c:v>
                </c:pt>
                <c:pt idx="18">
                  <c:v>5686.73</c:v>
                </c:pt>
                <c:pt idx="19">
                  <c:v>5701.34</c:v>
                </c:pt>
                <c:pt idx="20">
                  <c:v>5733.62</c:v>
                </c:pt>
                <c:pt idx="21">
                  <c:v>5795.97</c:v>
                </c:pt>
                <c:pt idx="22">
                  <c:v>5912.64</c:v>
                </c:pt>
                <c:pt idx="23">
                  <c:v>6126.39</c:v>
                </c:pt>
                <c:pt idx="24">
                  <c:v>6493.63</c:v>
                </c:pt>
                <c:pt idx="25">
                  <c:v>7081.67</c:v>
                </c:pt>
                <c:pt idx="26">
                  <c:v>7884.47</c:v>
                </c:pt>
                <c:pt idx="27">
                  <c:v>8806.57</c:v>
                </c:pt>
                <c:pt idx="28">
                  <c:v>9781.7900000000009</c:v>
                </c:pt>
                <c:pt idx="29">
                  <c:v>10705.64</c:v>
                </c:pt>
                <c:pt idx="30">
                  <c:v>11521.35</c:v>
                </c:pt>
                <c:pt idx="31">
                  <c:v>12203.37</c:v>
                </c:pt>
                <c:pt idx="32">
                  <c:v>12736.66</c:v>
                </c:pt>
                <c:pt idx="33">
                  <c:v>13050.32</c:v>
                </c:pt>
                <c:pt idx="34">
                  <c:v>13387.43</c:v>
                </c:pt>
                <c:pt idx="35">
                  <c:v>13584</c:v>
                </c:pt>
                <c:pt idx="36">
                  <c:v>13733.75</c:v>
                </c:pt>
                <c:pt idx="37">
                  <c:v>13909.39</c:v>
                </c:pt>
                <c:pt idx="38">
                  <c:v>14059.57</c:v>
                </c:pt>
                <c:pt idx="39">
                  <c:v>14180.38</c:v>
                </c:pt>
                <c:pt idx="40">
                  <c:v>14250.9</c:v>
                </c:pt>
                <c:pt idx="41">
                  <c:v>14326.11</c:v>
                </c:pt>
                <c:pt idx="42">
                  <c:v>14360.75</c:v>
                </c:pt>
                <c:pt idx="43">
                  <c:v>14407.51</c:v>
                </c:pt>
                <c:pt idx="44">
                  <c:v>14433.55</c:v>
                </c:pt>
              </c:numCache>
            </c:numRef>
          </c:val>
          <c:smooth val="0"/>
          <c:extLst>
            <c:ext xmlns:c16="http://schemas.microsoft.com/office/drawing/2014/chart" uri="{C3380CC4-5D6E-409C-BE32-E72D297353CC}">
              <c16:uniqueId val="{00000016-375B-4684-A4B2-E122188D82A4}"/>
            </c:ext>
          </c:extLst>
        </c:ser>
        <c:ser>
          <c:idx val="23"/>
          <c:order val="23"/>
          <c:tx>
            <c:strRef>
              <c:f>'50..800_amp'!$Y$3:$Y$4</c:f>
              <c:strCache>
                <c:ptCount val="1"/>
                <c:pt idx="0">
                  <c:v>C04</c:v>
                </c:pt>
              </c:strCache>
            </c:strRef>
          </c:tx>
          <c:spPr>
            <a:ln w="28575" cap="rnd">
              <a:solidFill>
                <a:schemeClr val="accent6">
                  <a:lumMod val="8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'50..800_amp'!$Y$5:$Y$50</c:f>
              <c:numCache>
                <c:formatCode>General</c:formatCode>
                <c:ptCount val="45"/>
                <c:pt idx="0">
                  <c:v>5802.6</c:v>
                </c:pt>
                <c:pt idx="1">
                  <c:v>5891.66</c:v>
                </c:pt>
                <c:pt idx="2">
                  <c:v>5904.1</c:v>
                </c:pt>
                <c:pt idx="3">
                  <c:v>5917.4</c:v>
                </c:pt>
                <c:pt idx="4">
                  <c:v>5930.29</c:v>
                </c:pt>
                <c:pt idx="5">
                  <c:v>5942.96</c:v>
                </c:pt>
                <c:pt idx="6">
                  <c:v>5951.21</c:v>
                </c:pt>
                <c:pt idx="7">
                  <c:v>5959.97</c:v>
                </c:pt>
                <c:pt idx="8">
                  <c:v>5965.2</c:v>
                </c:pt>
                <c:pt idx="9">
                  <c:v>5970.8</c:v>
                </c:pt>
                <c:pt idx="10">
                  <c:v>5974.18</c:v>
                </c:pt>
                <c:pt idx="11">
                  <c:v>5976.58</c:v>
                </c:pt>
                <c:pt idx="12">
                  <c:v>5979.76</c:v>
                </c:pt>
                <c:pt idx="13">
                  <c:v>5983.74</c:v>
                </c:pt>
                <c:pt idx="14">
                  <c:v>5983.95</c:v>
                </c:pt>
                <c:pt idx="15">
                  <c:v>5986.01</c:v>
                </c:pt>
                <c:pt idx="16">
                  <c:v>5987.1</c:v>
                </c:pt>
                <c:pt idx="17">
                  <c:v>5988.74</c:v>
                </c:pt>
                <c:pt idx="18">
                  <c:v>5995.33</c:v>
                </c:pt>
                <c:pt idx="19">
                  <c:v>6008.95</c:v>
                </c:pt>
                <c:pt idx="20">
                  <c:v>6041.17</c:v>
                </c:pt>
                <c:pt idx="21">
                  <c:v>6103.67</c:v>
                </c:pt>
                <c:pt idx="22">
                  <c:v>6228.65</c:v>
                </c:pt>
                <c:pt idx="23">
                  <c:v>6459.86</c:v>
                </c:pt>
                <c:pt idx="24">
                  <c:v>6843.68</c:v>
                </c:pt>
                <c:pt idx="25">
                  <c:v>7458.28</c:v>
                </c:pt>
                <c:pt idx="26">
                  <c:v>8281.58</c:v>
                </c:pt>
                <c:pt idx="27">
                  <c:v>9254.92</c:v>
                </c:pt>
                <c:pt idx="28">
                  <c:v>10299.73</c:v>
                </c:pt>
                <c:pt idx="29">
                  <c:v>11290.79</c:v>
                </c:pt>
                <c:pt idx="30">
                  <c:v>12139.27</c:v>
                </c:pt>
                <c:pt idx="31">
                  <c:v>12843.96</c:v>
                </c:pt>
                <c:pt idx="32">
                  <c:v>13246.28</c:v>
                </c:pt>
                <c:pt idx="33">
                  <c:v>13694.4</c:v>
                </c:pt>
                <c:pt idx="34">
                  <c:v>14064.87</c:v>
                </c:pt>
                <c:pt idx="35">
                  <c:v>14273.12</c:v>
                </c:pt>
                <c:pt idx="36">
                  <c:v>14504.64</c:v>
                </c:pt>
                <c:pt idx="37">
                  <c:v>14638.84</c:v>
                </c:pt>
                <c:pt idx="38">
                  <c:v>14785.68</c:v>
                </c:pt>
                <c:pt idx="39">
                  <c:v>14909.33</c:v>
                </c:pt>
                <c:pt idx="40">
                  <c:v>14982.08</c:v>
                </c:pt>
                <c:pt idx="41">
                  <c:v>15062.32</c:v>
                </c:pt>
                <c:pt idx="42">
                  <c:v>15098.05</c:v>
                </c:pt>
                <c:pt idx="43">
                  <c:v>15146.17</c:v>
                </c:pt>
                <c:pt idx="44">
                  <c:v>15172.94</c:v>
                </c:pt>
              </c:numCache>
            </c:numRef>
          </c:val>
          <c:smooth val="0"/>
          <c:extLst>
            <c:ext xmlns:c16="http://schemas.microsoft.com/office/drawing/2014/chart" uri="{C3380CC4-5D6E-409C-BE32-E72D297353CC}">
              <c16:uniqueId val="{00000017-375B-4684-A4B2-E122188D82A4}"/>
            </c:ext>
          </c:extLst>
        </c:ser>
        <c:ser>
          <c:idx val="24"/>
          <c:order val="24"/>
          <c:tx>
            <c:strRef>
              <c:f>'50..800_amp'!$Z$3:$Z$4</c:f>
              <c:strCache>
                <c:ptCount val="1"/>
                <c:pt idx="0">
                  <c:v>C05</c:v>
                </c:pt>
              </c:strCache>
            </c:strRef>
          </c:tx>
          <c:spPr>
            <a:ln w="28575" cap="rnd">
              <a:solidFill>
                <a:schemeClr val="accent1">
                  <a:lumMod val="60000"/>
                  <a:lumOff val="4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'50..800_amp'!$Z$5:$Z$50</c:f>
              <c:numCache>
                <c:formatCode>General</c:formatCode>
                <c:ptCount val="45"/>
                <c:pt idx="0">
                  <c:v>5825</c:v>
                </c:pt>
                <c:pt idx="1">
                  <c:v>5862.95</c:v>
                </c:pt>
                <c:pt idx="2">
                  <c:v>5868.13</c:v>
                </c:pt>
                <c:pt idx="3">
                  <c:v>5875.1</c:v>
                </c:pt>
                <c:pt idx="4">
                  <c:v>5880.14</c:v>
                </c:pt>
                <c:pt idx="5">
                  <c:v>5883.34</c:v>
                </c:pt>
                <c:pt idx="6">
                  <c:v>5887.44</c:v>
                </c:pt>
                <c:pt idx="7">
                  <c:v>5892.74</c:v>
                </c:pt>
                <c:pt idx="8">
                  <c:v>5896.88</c:v>
                </c:pt>
                <c:pt idx="9">
                  <c:v>5899</c:v>
                </c:pt>
                <c:pt idx="10">
                  <c:v>5901.66</c:v>
                </c:pt>
                <c:pt idx="11">
                  <c:v>5904.22</c:v>
                </c:pt>
                <c:pt idx="12">
                  <c:v>5905.14</c:v>
                </c:pt>
                <c:pt idx="13">
                  <c:v>5906.94</c:v>
                </c:pt>
                <c:pt idx="14">
                  <c:v>5906.8</c:v>
                </c:pt>
                <c:pt idx="15">
                  <c:v>5906.12</c:v>
                </c:pt>
                <c:pt idx="16">
                  <c:v>5905.85</c:v>
                </c:pt>
                <c:pt idx="17">
                  <c:v>5907.47</c:v>
                </c:pt>
                <c:pt idx="18">
                  <c:v>5912.84</c:v>
                </c:pt>
                <c:pt idx="19">
                  <c:v>5927.27</c:v>
                </c:pt>
                <c:pt idx="20">
                  <c:v>5958.95</c:v>
                </c:pt>
                <c:pt idx="21">
                  <c:v>6020.07</c:v>
                </c:pt>
                <c:pt idx="22">
                  <c:v>6139.88</c:v>
                </c:pt>
                <c:pt idx="23">
                  <c:v>6360.7</c:v>
                </c:pt>
                <c:pt idx="24">
                  <c:v>6740.74</c:v>
                </c:pt>
                <c:pt idx="25">
                  <c:v>7332.64</c:v>
                </c:pt>
                <c:pt idx="26">
                  <c:v>8146.47</c:v>
                </c:pt>
                <c:pt idx="27">
                  <c:v>9096.44</c:v>
                </c:pt>
                <c:pt idx="28">
                  <c:v>10111.370000000001</c:v>
                </c:pt>
                <c:pt idx="29">
                  <c:v>11091.15</c:v>
                </c:pt>
                <c:pt idx="30">
                  <c:v>11947.85</c:v>
                </c:pt>
                <c:pt idx="31">
                  <c:v>12642</c:v>
                </c:pt>
                <c:pt idx="32">
                  <c:v>13190.83</c:v>
                </c:pt>
                <c:pt idx="33">
                  <c:v>13499.45</c:v>
                </c:pt>
                <c:pt idx="34">
                  <c:v>13840.52</c:v>
                </c:pt>
                <c:pt idx="35">
                  <c:v>14119.54</c:v>
                </c:pt>
                <c:pt idx="36">
                  <c:v>14337.18</c:v>
                </c:pt>
                <c:pt idx="37">
                  <c:v>14503.2</c:v>
                </c:pt>
                <c:pt idx="38">
                  <c:v>14599.67</c:v>
                </c:pt>
                <c:pt idx="39">
                  <c:v>14705.07</c:v>
                </c:pt>
                <c:pt idx="40">
                  <c:v>14789.33</c:v>
                </c:pt>
                <c:pt idx="41">
                  <c:v>14836.68</c:v>
                </c:pt>
                <c:pt idx="42">
                  <c:v>14862.01</c:v>
                </c:pt>
                <c:pt idx="43">
                  <c:v>14897.72</c:v>
                </c:pt>
                <c:pt idx="44">
                  <c:v>14917.83</c:v>
                </c:pt>
              </c:numCache>
            </c:numRef>
          </c:val>
          <c:smooth val="0"/>
          <c:extLst>
            <c:ext xmlns:c16="http://schemas.microsoft.com/office/drawing/2014/chart" uri="{C3380CC4-5D6E-409C-BE32-E72D297353CC}">
              <c16:uniqueId val="{00000018-375B-4684-A4B2-E122188D82A4}"/>
            </c:ext>
          </c:extLst>
        </c:ser>
        <c:ser>
          <c:idx val="25"/>
          <c:order val="25"/>
          <c:tx>
            <c:strRef>
              <c:f>'50..800_amp'!$AA$3:$AA$4</c:f>
              <c:strCache>
                <c:ptCount val="1"/>
                <c:pt idx="0">
                  <c:v>C06</c:v>
                </c:pt>
              </c:strCache>
            </c:strRef>
          </c:tx>
          <c:spPr>
            <a:ln w="28575" cap="rnd">
              <a:solidFill>
                <a:schemeClr val="accent2">
                  <a:lumMod val="60000"/>
                  <a:lumOff val="4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'50..800_amp'!$AA$5:$AA$50</c:f>
              <c:numCache>
                <c:formatCode>General</c:formatCode>
                <c:ptCount val="45"/>
                <c:pt idx="0">
                  <c:v>6279.7</c:v>
                </c:pt>
                <c:pt idx="1">
                  <c:v>6346.5</c:v>
                </c:pt>
                <c:pt idx="2">
                  <c:v>6369.32</c:v>
                </c:pt>
                <c:pt idx="3">
                  <c:v>6373.5</c:v>
                </c:pt>
                <c:pt idx="4">
                  <c:v>6378.39</c:v>
                </c:pt>
                <c:pt idx="5">
                  <c:v>6382.95</c:v>
                </c:pt>
                <c:pt idx="6">
                  <c:v>6386.2</c:v>
                </c:pt>
                <c:pt idx="7">
                  <c:v>6391.66</c:v>
                </c:pt>
                <c:pt idx="8">
                  <c:v>6396.39</c:v>
                </c:pt>
                <c:pt idx="9">
                  <c:v>6398.8</c:v>
                </c:pt>
                <c:pt idx="10">
                  <c:v>6398.86</c:v>
                </c:pt>
                <c:pt idx="11">
                  <c:v>6398.76</c:v>
                </c:pt>
                <c:pt idx="12">
                  <c:v>6397.58</c:v>
                </c:pt>
                <c:pt idx="13">
                  <c:v>6396.45</c:v>
                </c:pt>
                <c:pt idx="14">
                  <c:v>6395.7</c:v>
                </c:pt>
                <c:pt idx="15">
                  <c:v>6394.38</c:v>
                </c:pt>
                <c:pt idx="16">
                  <c:v>6393.95</c:v>
                </c:pt>
                <c:pt idx="17">
                  <c:v>6393.92</c:v>
                </c:pt>
                <c:pt idx="18">
                  <c:v>6399.27</c:v>
                </c:pt>
                <c:pt idx="19">
                  <c:v>6412.65</c:v>
                </c:pt>
                <c:pt idx="20">
                  <c:v>6443.87</c:v>
                </c:pt>
                <c:pt idx="21">
                  <c:v>6510.29</c:v>
                </c:pt>
                <c:pt idx="22">
                  <c:v>6640.66</c:v>
                </c:pt>
                <c:pt idx="23">
                  <c:v>6877.93</c:v>
                </c:pt>
                <c:pt idx="24">
                  <c:v>7287.54</c:v>
                </c:pt>
                <c:pt idx="25">
                  <c:v>7925.07</c:v>
                </c:pt>
                <c:pt idx="26">
                  <c:v>8796</c:v>
                </c:pt>
                <c:pt idx="27">
                  <c:v>9829.86</c:v>
                </c:pt>
                <c:pt idx="28">
                  <c:v>10913.9</c:v>
                </c:pt>
                <c:pt idx="29">
                  <c:v>11940.75</c:v>
                </c:pt>
                <c:pt idx="30">
                  <c:v>12836.35</c:v>
                </c:pt>
                <c:pt idx="31">
                  <c:v>13572.72</c:v>
                </c:pt>
                <c:pt idx="32">
                  <c:v>14158.21</c:v>
                </c:pt>
                <c:pt idx="33">
                  <c:v>14488.54</c:v>
                </c:pt>
                <c:pt idx="34">
                  <c:v>14852.64</c:v>
                </c:pt>
                <c:pt idx="35">
                  <c:v>15068.08</c:v>
                </c:pt>
                <c:pt idx="36">
                  <c:v>15304.32</c:v>
                </c:pt>
                <c:pt idx="37">
                  <c:v>15502.36</c:v>
                </c:pt>
                <c:pt idx="38">
                  <c:v>15615.55</c:v>
                </c:pt>
                <c:pt idx="39">
                  <c:v>15731.81</c:v>
                </c:pt>
                <c:pt idx="40">
                  <c:v>15828.62</c:v>
                </c:pt>
                <c:pt idx="41">
                  <c:v>15884.55</c:v>
                </c:pt>
                <c:pt idx="42">
                  <c:v>15914.67</c:v>
                </c:pt>
                <c:pt idx="43">
                  <c:v>15957.37</c:v>
                </c:pt>
                <c:pt idx="44">
                  <c:v>15981.46</c:v>
                </c:pt>
              </c:numCache>
            </c:numRef>
          </c:val>
          <c:smooth val="0"/>
          <c:extLst>
            <c:ext xmlns:c16="http://schemas.microsoft.com/office/drawing/2014/chart" uri="{C3380CC4-5D6E-409C-BE32-E72D297353CC}">
              <c16:uniqueId val="{00000019-375B-4684-A4B2-E122188D82A4}"/>
            </c:ext>
          </c:extLst>
        </c:ser>
        <c:ser>
          <c:idx val="26"/>
          <c:order val="26"/>
          <c:tx>
            <c:strRef>
              <c:f>'50..800_amp'!$AB$3:$AB$4</c:f>
              <c:strCache>
                <c:ptCount val="1"/>
                <c:pt idx="0">
                  <c:v>C07</c:v>
                </c:pt>
              </c:strCache>
            </c:strRef>
          </c:tx>
          <c:spPr>
            <a:ln w="28575" cap="rnd">
              <a:solidFill>
                <a:schemeClr val="accent3">
                  <a:lumMod val="60000"/>
                  <a:lumOff val="4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'50..800_amp'!$AB$5:$AB$50</c:f>
              <c:numCache>
                <c:formatCode>General</c:formatCode>
                <c:ptCount val="45"/>
                <c:pt idx="0">
                  <c:v>5918.8</c:v>
                </c:pt>
                <c:pt idx="1">
                  <c:v>5967.17</c:v>
                </c:pt>
                <c:pt idx="2">
                  <c:v>5972.13</c:v>
                </c:pt>
                <c:pt idx="3">
                  <c:v>5975.62</c:v>
                </c:pt>
                <c:pt idx="4">
                  <c:v>5982.23</c:v>
                </c:pt>
                <c:pt idx="5">
                  <c:v>5987.9</c:v>
                </c:pt>
                <c:pt idx="6">
                  <c:v>5990.23</c:v>
                </c:pt>
                <c:pt idx="7">
                  <c:v>5990.11</c:v>
                </c:pt>
                <c:pt idx="8">
                  <c:v>5991.73</c:v>
                </c:pt>
                <c:pt idx="9">
                  <c:v>5994.71</c:v>
                </c:pt>
                <c:pt idx="10">
                  <c:v>5995.26</c:v>
                </c:pt>
                <c:pt idx="11">
                  <c:v>5994.66</c:v>
                </c:pt>
                <c:pt idx="12">
                  <c:v>5994.15</c:v>
                </c:pt>
                <c:pt idx="13">
                  <c:v>5994.05</c:v>
                </c:pt>
                <c:pt idx="14">
                  <c:v>5993.1</c:v>
                </c:pt>
                <c:pt idx="15">
                  <c:v>5991.77</c:v>
                </c:pt>
                <c:pt idx="16">
                  <c:v>5991.4</c:v>
                </c:pt>
                <c:pt idx="17">
                  <c:v>5990.79</c:v>
                </c:pt>
                <c:pt idx="18">
                  <c:v>5994.61</c:v>
                </c:pt>
                <c:pt idx="19">
                  <c:v>6007.38</c:v>
                </c:pt>
                <c:pt idx="20">
                  <c:v>6035.11</c:v>
                </c:pt>
                <c:pt idx="21">
                  <c:v>6094.89</c:v>
                </c:pt>
                <c:pt idx="22">
                  <c:v>6216.83</c:v>
                </c:pt>
                <c:pt idx="23">
                  <c:v>6434.59</c:v>
                </c:pt>
                <c:pt idx="24">
                  <c:v>6809.59</c:v>
                </c:pt>
                <c:pt idx="25">
                  <c:v>7419.57</c:v>
                </c:pt>
                <c:pt idx="26">
                  <c:v>8259.1200000000008</c:v>
                </c:pt>
                <c:pt idx="27">
                  <c:v>9243</c:v>
                </c:pt>
                <c:pt idx="28">
                  <c:v>10265</c:v>
                </c:pt>
                <c:pt idx="29">
                  <c:v>11227.55</c:v>
                </c:pt>
                <c:pt idx="30">
                  <c:v>12067.57</c:v>
                </c:pt>
                <c:pt idx="31">
                  <c:v>12765.81</c:v>
                </c:pt>
                <c:pt idx="32">
                  <c:v>13325.47</c:v>
                </c:pt>
                <c:pt idx="33">
                  <c:v>13758.24</c:v>
                </c:pt>
                <c:pt idx="34">
                  <c:v>14012.32</c:v>
                </c:pt>
                <c:pt idx="35">
                  <c:v>14281.8</c:v>
                </c:pt>
                <c:pt idx="36">
                  <c:v>14440.62</c:v>
                </c:pt>
                <c:pt idx="37">
                  <c:v>14602.95</c:v>
                </c:pt>
                <c:pt idx="38">
                  <c:v>14738.45</c:v>
                </c:pt>
                <c:pt idx="39">
                  <c:v>14817.41</c:v>
                </c:pt>
                <c:pt idx="40">
                  <c:v>14903.36</c:v>
                </c:pt>
                <c:pt idx="41">
                  <c:v>14972.27</c:v>
                </c:pt>
                <c:pt idx="42">
                  <c:v>15001.44</c:v>
                </c:pt>
                <c:pt idx="43">
                  <c:v>15040.39</c:v>
                </c:pt>
                <c:pt idx="44">
                  <c:v>15062.01</c:v>
                </c:pt>
              </c:numCache>
            </c:numRef>
          </c:val>
          <c:smooth val="0"/>
          <c:extLst>
            <c:ext xmlns:c16="http://schemas.microsoft.com/office/drawing/2014/chart" uri="{C3380CC4-5D6E-409C-BE32-E72D297353CC}">
              <c16:uniqueId val="{0000001A-375B-4684-A4B2-E122188D82A4}"/>
            </c:ext>
          </c:extLst>
        </c:ser>
        <c:ser>
          <c:idx val="27"/>
          <c:order val="27"/>
          <c:tx>
            <c:strRef>
              <c:f>'50..800_amp'!$AC$3:$AC$4</c:f>
              <c:strCache>
                <c:ptCount val="1"/>
                <c:pt idx="0">
                  <c:v>C08</c:v>
                </c:pt>
              </c:strCache>
            </c:strRef>
          </c:tx>
          <c:spPr>
            <a:ln w="28575" cap="rnd">
              <a:solidFill>
                <a:schemeClr val="accent4">
                  <a:lumMod val="60000"/>
                  <a:lumOff val="4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'50..800_amp'!$AC$5:$AC$50</c:f>
              <c:numCache>
                <c:formatCode>General</c:formatCode>
                <c:ptCount val="45"/>
                <c:pt idx="0">
                  <c:v>6407.6</c:v>
                </c:pt>
                <c:pt idx="1">
                  <c:v>6471.25</c:v>
                </c:pt>
                <c:pt idx="2">
                  <c:v>6471.54</c:v>
                </c:pt>
                <c:pt idx="3">
                  <c:v>6470.62</c:v>
                </c:pt>
                <c:pt idx="4">
                  <c:v>6471.16</c:v>
                </c:pt>
                <c:pt idx="5">
                  <c:v>6473.12</c:v>
                </c:pt>
                <c:pt idx="6">
                  <c:v>6471.97</c:v>
                </c:pt>
                <c:pt idx="7">
                  <c:v>6467.32</c:v>
                </c:pt>
                <c:pt idx="8">
                  <c:v>6463.07</c:v>
                </c:pt>
                <c:pt idx="9">
                  <c:v>6459.78</c:v>
                </c:pt>
                <c:pt idx="10">
                  <c:v>6456.8</c:v>
                </c:pt>
                <c:pt idx="11">
                  <c:v>6454.76</c:v>
                </c:pt>
                <c:pt idx="12">
                  <c:v>6452.76</c:v>
                </c:pt>
                <c:pt idx="13">
                  <c:v>6450.99</c:v>
                </c:pt>
                <c:pt idx="14">
                  <c:v>6448.7</c:v>
                </c:pt>
                <c:pt idx="15">
                  <c:v>6446.76</c:v>
                </c:pt>
                <c:pt idx="16">
                  <c:v>6445.37</c:v>
                </c:pt>
                <c:pt idx="17">
                  <c:v>6445.26</c:v>
                </c:pt>
                <c:pt idx="18">
                  <c:v>6451.12</c:v>
                </c:pt>
                <c:pt idx="19">
                  <c:v>6466.16</c:v>
                </c:pt>
                <c:pt idx="20">
                  <c:v>6497.04</c:v>
                </c:pt>
                <c:pt idx="21">
                  <c:v>6560.12</c:v>
                </c:pt>
                <c:pt idx="22">
                  <c:v>6687.74</c:v>
                </c:pt>
                <c:pt idx="23">
                  <c:v>6923.06</c:v>
                </c:pt>
                <c:pt idx="24">
                  <c:v>7329.32</c:v>
                </c:pt>
                <c:pt idx="25">
                  <c:v>7966.23</c:v>
                </c:pt>
                <c:pt idx="26">
                  <c:v>8845.0300000000007</c:v>
                </c:pt>
                <c:pt idx="27">
                  <c:v>9871.7099999999991</c:v>
                </c:pt>
                <c:pt idx="28">
                  <c:v>10970.35</c:v>
                </c:pt>
                <c:pt idx="29">
                  <c:v>12012.39</c:v>
                </c:pt>
                <c:pt idx="30">
                  <c:v>12921.97</c:v>
                </c:pt>
                <c:pt idx="31">
                  <c:v>13674.59</c:v>
                </c:pt>
                <c:pt idx="32">
                  <c:v>14276.7</c:v>
                </c:pt>
                <c:pt idx="33">
                  <c:v>14618.21</c:v>
                </c:pt>
                <c:pt idx="34">
                  <c:v>14995.56</c:v>
                </c:pt>
                <c:pt idx="35">
                  <c:v>15216</c:v>
                </c:pt>
                <c:pt idx="36">
                  <c:v>15451.6</c:v>
                </c:pt>
                <c:pt idx="37">
                  <c:v>15641.2</c:v>
                </c:pt>
                <c:pt idx="38">
                  <c:v>15791.51</c:v>
                </c:pt>
                <c:pt idx="39">
                  <c:v>15877.51</c:v>
                </c:pt>
                <c:pt idx="40">
                  <c:v>15964.15</c:v>
                </c:pt>
                <c:pt idx="41">
                  <c:v>16033.08</c:v>
                </c:pt>
                <c:pt idx="42">
                  <c:v>16061.84</c:v>
                </c:pt>
                <c:pt idx="43">
                  <c:v>16100.2</c:v>
                </c:pt>
                <c:pt idx="44">
                  <c:v>16121.49</c:v>
                </c:pt>
              </c:numCache>
            </c:numRef>
          </c:val>
          <c:smooth val="0"/>
          <c:extLst>
            <c:ext xmlns:c16="http://schemas.microsoft.com/office/drawing/2014/chart" uri="{C3380CC4-5D6E-409C-BE32-E72D297353CC}">
              <c16:uniqueId val="{0000001B-375B-4684-A4B2-E122188D82A4}"/>
            </c:ext>
          </c:extLst>
        </c:ser>
        <c:ser>
          <c:idx val="28"/>
          <c:order val="28"/>
          <c:tx>
            <c:strRef>
              <c:f>'50..800_amp'!$AD$3:$AD$4</c:f>
              <c:strCache>
                <c:ptCount val="1"/>
                <c:pt idx="0">
                  <c:v>C09</c:v>
                </c:pt>
              </c:strCache>
            </c:strRef>
          </c:tx>
          <c:spPr>
            <a:ln w="28575" cap="rnd">
              <a:solidFill>
                <a:schemeClr val="accent5">
                  <a:lumMod val="60000"/>
                  <a:lumOff val="4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'50..800_amp'!$AD$5:$AD$50</c:f>
              <c:numCache>
                <c:formatCode>General</c:formatCode>
                <c:ptCount val="45"/>
                <c:pt idx="0">
                  <c:v>5999.8</c:v>
                </c:pt>
                <c:pt idx="1">
                  <c:v>6043.63</c:v>
                </c:pt>
                <c:pt idx="2">
                  <c:v>6047.11</c:v>
                </c:pt>
                <c:pt idx="3">
                  <c:v>6050.03</c:v>
                </c:pt>
                <c:pt idx="4">
                  <c:v>6050.12</c:v>
                </c:pt>
                <c:pt idx="5">
                  <c:v>6049.3</c:v>
                </c:pt>
                <c:pt idx="6">
                  <c:v>6048.77</c:v>
                </c:pt>
                <c:pt idx="7">
                  <c:v>6048.95</c:v>
                </c:pt>
                <c:pt idx="8">
                  <c:v>6048.79</c:v>
                </c:pt>
                <c:pt idx="9">
                  <c:v>6048.75</c:v>
                </c:pt>
                <c:pt idx="10">
                  <c:v>6048.76</c:v>
                </c:pt>
                <c:pt idx="11">
                  <c:v>6048.42</c:v>
                </c:pt>
                <c:pt idx="12">
                  <c:v>6047.37</c:v>
                </c:pt>
                <c:pt idx="13">
                  <c:v>6045.21</c:v>
                </c:pt>
                <c:pt idx="14">
                  <c:v>6041.89</c:v>
                </c:pt>
                <c:pt idx="15">
                  <c:v>6039.6</c:v>
                </c:pt>
                <c:pt idx="16">
                  <c:v>6038.17</c:v>
                </c:pt>
                <c:pt idx="17">
                  <c:v>6039.31</c:v>
                </c:pt>
                <c:pt idx="18">
                  <c:v>6044.19</c:v>
                </c:pt>
                <c:pt idx="19">
                  <c:v>6056.93</c:v>
                </c:pt>
                <c:pt idx="20">
                  <c:v>6085.33</c:v>
                </c:pt>
                <c:pt idx="21">
                  <c:v>6145.24</c:v>
                </c:pt>
                <c:pt idx="22">
                  <c:v>6263.52</c:v>
                </c:pt>
                <c:pt idx="23">
                  <c:v>6487.83</c:v>
                </c:pt>
                <c:pt idx="24">
                  <c:v>6874.43</c:v>
                </c:pt>
                <c:pt idx="25">
                  <c:v>7459.26</c:v>
                </c:pt>
                <c:pt idx="26">
                  <c:v>8263.64</c:v>
                </c:pt>
                <c:pt idx="27">
                  <c:v>9207.4699999999993</c:v>
                </c:pt>
                <c:pt idx="28">
                  <c:v>10219.06</c:v>
                </c:pt>
                <c:pt idx="29">
                  <c:v>11183.45</c:v>
                </c:pt>
                <c:pt idx="30">
                  <c:v>12035.92</c:v>
                </c:pt>
                <c:pt idx="31">
                  <c:v>12739.18</c:v>
                </c:pt>
                <c:pt idx="32">
                  <c:v>13288.96</c:v>
                </c:pt>
                <c:pt idx="33">
                  <c:v>13708.21</c:v>
                </c:pt>
                <c:pt idx="34">
                  <c:v>13954.71</c:v>
                </c:pt>
                <c:pt idx="35">
                  <c:v>14217.13</c:v>
                </c:pt>
                <c:pt idx="36">
                  <c:v>14431.16</c:v>
                </c:pt>
                <c:pt idx="37">
                  <c:v>14597.32</c:v>
                </c:pt>
                <c:pt idx="38">
                  <c:v>14690.67</c:v>
                </c:pt>
                <c:pt idx="39">
                  <c:v>14788.76</c:v>
                </c:pt>
                <c:pt idx="40">
                  <c:v>14845.79</c:v>
                </c:pt>
                <c:pt idx="41">
                  <c:v>14906.05</c:v>
                </c:pt>
                <c:pt idx="42">
                  <c:v>14932.11</c:v>
                </c:pt>
                <c:pt idx="43">
                  <c:v>14967.11</c:v>
                </c:pt>
                <c:pt idx="44">
                  <c:v>14986.59</c:v>
                </c:pt>
              </c:numCache>
            </c:numRef>
          </c:val>
          <c:smooth val="0"/>
          <c:extLst>
            <c:ext xmlns:c16="http://schemas.microsoft.com/office/drawing/2014/chart" uri="{C3380CC4-5D6E-409C-BE32-E72D297353CC}">
              <c16:uniqueId val="{0000001C-375B-4684-A4B2-E122188D82A4}"/>
            </c:ext>
          </c:extLst>
        </c:ser>
        <c:ser>
          <c:idx val="29"/>
          <c:order val="29"/>
          <c:tx>
            <c:strRef>
              <c:f>'50..800_amp'!$AE$3:$AE$4</c:f>
              <c:strCache>
                <c:ptCount val="1"/>
                <c:pt idx="0">
                  <c:v>C10</c:v>
                </c:pt>
              </c:strCache>
            </c:strRef>
          </c:tx>
          <c:spPr>
            <a:ln w="28575" cap="rnd">
              <a:solidFill>
                <a:schemeClr val="accent6">
                  <a:lumMod val="60000"/>
                  <a:lumOff val="4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'50..800_amp'!$AE$5:$AE$50</c:f>
              <c:numCache>
                <c:formatCode>General</c:formatCode>
                <c:ptCount val="45"/>
                <c:pt idx="0">
                  <c:v>5892.3</c:v>
                </c:pt>
                <c:pt idx="1">
                  <c:v>5952.8</c:v>
                </c:pt>
                <c:pt idx="2">
                  <c:v>5952.8</c:v>
                </c:pt>
                <c:pt idx="3">
                  <c:v>5954.91</c:v>
                </c:pt>
                <c:pt idx="4">
                  <c:v>5955.16</c:v>
                </c:pt>
                <c:pt idx="5">
                  <c:v>5954.68</c:v>
                </c:pt>
                <c:pt idx="6">
                  <c:v>5954.01</c:v>
                </c:pt>
                <c:pt idx="7">
                  <c:v>5953.14</c:v>
                </c:pt>
                <c:pt idx="8">
                  <c:v>5952.46</c:v>
                </c:pt>
                <c:pt idx="9">
                  <c:v>5952.52</c:v>
                </c:pt>
                <c:pt idx="10">
                  <c:v>5952.1</c:v>
                </c:pt>
                <c:pt idx="11">
                  <c:v>5950.5</c:v>
                </c:pt>
                <c:pt idx="12">
                  <c:v>5949.8</c:v>
                </c:pt>
                <c:pt idx="13">
                  <c:v>5948.7</c:v>
                </c:pt>
                <c:pt idx="14">
                  <c:v>5947.85</c:v>
                </c:pt>
                <c:pt idx="15">
                  <c:v>5945.47</c:v>
                </c:pt>
                <c:pt idx="16">
                  <c:v>5943.34</c:v>
                </c:pt>
                <c:pt idx="17">
                  <c:v>5944.9</c:v>
                </c:pt>
                <c:pt idx="18">
                  <c:v>5950.29</c:v>
                </c:pt>
                <c:pt idx="19">
                  <c:v>5964.82</c:v>
                </c:pt>
                <c:pt idx="20">
                  <c:v>5996.36</c:v>
                </c:pt>
                <c:pt idx="21">
                  <c:v>6058.87</c:v>
                </c:pt>
                <c:pt idx="22">
                  <c:v>6178.5</c:v>
                </c:pt>
                <c:pt idx="23">
                  <c:v>6397.9</c:v>
                </c:pt>
                <c:pt idx="24">
                  <c:v>6779.95</c:v>
                </c:pt>
                <c:pt idx="25">
                  <c:v>7396.16</c:v>
                </c:pt>
                <c:pt idx="26">
                  <c:v>8224.7900000000009</c:v>
                </c:pt>
                <c:pt idx="27">
                  <c:v>9185.2900000000009</c:v>
                </c:pt>
                <c:pt idx="28">
                  <c:v>10210.07</c:v>
                </c:pt>
                <c:pt idx="29">
                  <c:v>11185.48</c:v>
                </c:pt>
                <c:pt idx="30">
                  <c:v>12039.21</c:v>
                </c:pt>
                <c:pt idx="31">
                  <c:v>12743.2</c:v>
                </c:pt>
                <c:pt idx="32">
                  <c:v>13302.34</c:v>
                </c:pt>
                <c:pt idx="33">
                  <c:v>13732.8</c:v>
                </c:pt>
                <c:pt idx="34">
                  <c:v>13985.91</c:v>
                </c:pt>
                <c:pt idx="35">
                  <c:v>14251.96</c:v>
                </c:pt>
                <c:pt idx="36">
                  <c:v>14407.11</c:v>
                </c:pt>
                <c:pt idx="37">
                  <c:v>14580.7</c:v>
                </c:pt>
                <c:pt idx="38">
                  <c:v>14684.24</c:v>
                </c:pt>
                <c:pt idx="39">
                  <c:v>14792.56</c:v>
                </c:pt>
                <c:pt idx="40">
                  <c:v>14855.82</c:v>
                </c:pt>
                <c:pt idx="41">
                  <c:v>14925.32</c:v>
                </c:pt>
                <c:pt idx="42">
                  <c:v>14955.17</c:v>
                </c:pt>
                <c:pt idx="43">
                  <c:v>14995.06</c:v>
                </c:pt>
                <c:pt idx="44">
                  <c:v>15017.21</c:v>
                </c:pt>
              </c:numCache>
            </c:numRef>
          </c:val>
          <c:smooth val="0"/>
          <c:extLst>
            <c:ext xmlns:c16="http://schemas.microsoft.com/office/drawing/2014/chart" uri="{C3380CC4-5D6E-409C-BE32-E72D297353CC}">
              <c16:uniqueId val="{0000001D-375B-4684-A4B2-E122188D82A4}"/>
            </c:ext>
          </c:extLst>
        </c:ser>
        <c:ser>
          <c:idx val="30"/>
          <c:order val="30"/>
          <c:tx>
            <c:strRef>
              <c:f>'50..800_amp'!$AF$3:$AF$4</c:f>
              <c:strCache>
                <c:ptCount val="1"/>
                <c:pt idx="0">
                  <c:v>C11</c:v>
                </c:pt>
              </c:strCache>
            </c:strRef>
          </c:tx>
          <c:spPr>
            <a:ln w="28575" cap="rnd">
              <a:solidFill>
                <a:schemeClr val="accent1">
                  <a:lumMod val="5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'50..800_amp'!$AF$5:$AF$50</c:f>
              <c:numCache>
                <c:formatCode>General</c:formatCode>
                <c:ptCount val="45"/>
                <c:pt idx="0">
                  <c:v>6478.6</c:v>
                </c:pt>
                <c:pt idx="1">
                  <c:v>6501.95</c:v>
                </c:pt>
                <c:pt idx="2">
                  <c:v>6492.34</c:v>
                </c:pt>
                <c:pt idx="3">
                  <c:v>6484.13</c:v>
                </c:pt>
                <c:pt idx="4">
                  <c:v>6477.47</c:v>
                </c:pt>
                <c:pt idx="5">
                  <c:v>6473.47</c:v>
                </c:pt>
                <c:pt idx="6">
                  <c:v>6469.25</c:v>
                </c:pt>
                <c:pt idx="7">
                  <c:v>6464.84</c:v>
                </c:pt>
                <c:pt idx="8">
                  <c:v>6460.16</c:v>
                </c:pt>
                <c:pt idx="9">
                  <c:v>6455.77</c:v>
                </c:pt>
                <c:pt idx="10">
                  <c:v>6450.99</c:v>
                </c:pt>
                <c:pt idx="11">
                  <c:v>6446.02</c:v>
                </c:pt>
                <c:pt idx="12">
                  <c:v>6440.46</c:v>
                </c:pt>
                <c:pt idx="13">
                  <c:v>6437.02</c:v>
                </c:pt>
                <c:pt idx="14">
                  <c:v>6435.11</c:v>
                </c:pt>
                <c:pt idx="15">
                  <c:v>6432.97</c:v>
                </c:pt>
                <c:pt idx="16">
                  <c:v>6431.03</c:v>
                </c:pt>
                <c:pt idx="17">
                  <c:v>6430.75</c:v>
                </c:pt>
                <c:pt idx="18">
                  <c:v>6434.42</c:v>
                </c:pt>
                <c:pt idx="19">
                  <c:v>6446.55</c:v>
                </c:pt>
                <c:pt idx="20">
                  <c:v>6479.31</c:v>
                </c:pt>
                <c:pt idx="21">
                  <c:v>6546.73</c:v>
                </c:pt>
                <c:pt idx="22">
                  <c:v>6678.72</c:v>
                </c:pt>
                <c:pt idx="23">
                  <c:v>6929.2</c:v>
                </c:pt>
                <c:pt idx="24">
                  <c:v>7362.13</c:v>
                </c:pt>
                <c:pt idx="25">
                  <c:v>8021.5</c:v>
                </c:pt>
                <c:pt idx="26">
                  <c:v>8918</c:v>
                </c:pt>
                <c:pt idx="27">
                  <c:v>9960.14</c:v>
                </c:pt>
                <c:pt idx="28">
                  <c:v>11073.74</c:v>
                </c:pt>
                <c:pt idx="29">
                  <c:v>12127.82</c:v>
                </c:pt>
                <c:pt idx="30">
                  <c:v>13044.17</c:v>
                </c:pt>
                <c:pt idx="31">
                  <c:v>13799.7</c:v>
                </c:pt>
                <c:pt idx="32">
                  <c:v>14402.74</c:v>
                </c:pt>
                <c:pt idx="33">
                  <c:v>14744.03</c:v>
                </c:pt>
                <c:pt idx="34">
                  <c:v>15119.59</c:v>
                </c:pt>
                <c:pt idx="35">
                  <c:v>15341.26</c:v>
                </c:pt>
                <c:pt idx="36">
                  <c:v>15584.09</c:v>
                </c:pt>
                <c:pt idx="37">
                  <c:v>15778.21</c:v>
                </c:pt>
                <c:pt idx="38">
                  <c:v>15926.61</c:v>
                </c:pt>
                <c:pt idx="39">
                  <c:v>16013.75</c:v>
                </c:pt>
                <c:pt idx="40">
                  <c:v>16102.38</c:v>
                </c:pt>
                <c:pt idx="41">
                  <c:v>16153.42</c:v>
                </c:pt>
                <c:pt idx="42">
                  <c:v>16180.21</c:v>
                </c:pt>
                <c:pt idx="43">
                  <c:v>16217.95</c:v>
                </c:pt>
                <c:pt idx="44">
                  <c:v>16239.2</c:v>
                </c:pt>
              </c:numCache>
            </c:numRef>
          </c:val>
          <c:smooth val="0"/>
          <c:extLst>
            <c:ext xmlns:c16="http://schemas.microsoft.com/office/drawing/2014/chart" uri="{C3380CC4-5D6E-409C-BE32-E72D297353CC}">
              <c16:uniqueId val="{0000001E-375B-4684-A4B2-E122188D82A4}"/>
            </c:ext>
          </c:extLst>
        </c:ser>
        <c:ser>
          <c:idx val="31"/>
          <c:order val="31"/>
          <c:tx>
            <c:strRef>
              <c:f>'50..800_amp'!$AG$3:$AG$4</c:f>
              <c:strCache>
                <c:ptCount val="1"/>
                <c:pt idx="0">
                  <c:v>C12</c:v>
                </c:pt>
              </c:strCache>
            </c:strRef>
          </c:tx>
          <c:spPr>
            <a:ln w="28575" cap="rnd">
              <a:solidFill>
                <a:schemeClr val="accent2">
                  <a:lumMod val="50000"/>
                </a:schemeClr>
              </a:solidFill>
              <a:round/>
            </a:ln>
            <a:effectLst/>
          </c:spPr>
          <c:marker>
            <c:symbol val="none"/>
          </c:marker>
          <c:cat>
            <c:strRef>
              <c:f>'50..800_amp'!$A$5:$A$50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'50..800_amp'!$AG$5:$AG$50</c:f>
              <c:numCache>
                <c:formatCode>General</c:formatCode>
                <c:ptCount val="45"/>
                <c:pt idx="0">
                  <c:v>5938.3</c:v>
                </c:pt>
                <c:pt idx="1">
                  <c:v>5906.05</c:v>
                </c:pt>
                <c:pt idx="2">
                  <c:v>5887.91</c:v>
                </c:pt>
                <c:pt idx="3">
                  <c:v>5866.21</c:v>
                </c:pt>
                <c:pt idx="4">
                  <c:v>5848.84</c:v>
                </c:pt>
                <c:pt idx="5">
                  <c:v>5835.58</c:v>
                </c:pt>
                <c:pt idx="6">
                  <c:v>5822.98</c:v>
                </c:pt>
                <c:pt idx="7">
                  <c:v>5810.02</c:v>
                </c:pt>
                <c:pt idx="8">
                  <c:v>5797.18</c:v>
                </c:pt>
                <c:pt idx="9">
                  <c:v>5784.81</c:v>
                </c:pt>
                <c:pt idx="10">
                  <c:v>5772.32</c:v>
                </c:pt>
                <c:pt idx="11">
                  <c:v>5764.51</c:v>
                </c:pt>
                <c:pt idx="12">
                  <c:v>5755.07</c:v>
                </c:pt>
                <c:pt idx="13">
                  <c:v>5748.4</c:v>
                </c:pt>
                <c:pt idx="14">
                  <c:v>5740.1</c:v>
                </c:pt>
                <c:pt idx="15">
                  <c:v>5734.77</c:v>
                </c:pt>
                <c:pt idx="16">
                  <c:v>5729.27</c:v>
                </c:pt>
                <c:pt idx="17">
                  <c:v>5725.86</c:v>
                </c:pt>
                <c:pt idx="18">
                  <c:v>5726.63</c:v>
                </c:pt>
                <c:pt idx="19">
                  <c:v>5737.36</c:v>
                </c:pt>
                <c:pt idx="20">
                  <c:v>5765.44</c:v>
                </c:pt>
                <c:pt idx="21">
                  <c:v>5824.38</c:v>
                </c:pt>
                <c:pt idx="22">
                  <c:v>5947.58</c:v>
                </c:pt>
                <c:pt idx="23">
                  <c:v>6176.95</c:v>
                </c:pt>
                <c:pt idx="24">
                  <c:v>6559.33</c:v>
                </c:pt>
                <c:pt idx="25">
                  <c:v>7148.4</c:v>
                </c:pt>
                <c:pt idx="26">
                  <c:v>7950.97</c:v>
                </c:pt>
                <c:pt idx="27">
                  <c:v>8878.0499999999993</c:v>
                </c:pt>
                <c:pt idx="28">
                  <c:v>9856.42</c:v>
                </c:pt>
                <c:pt idx="29">
                  <c:v>10777.91</c:v>
                </c:pt>
                <c:pt idx="30">
                  <c:v>11580.39</c:v>
                </c:pt>
                <c:pt idx="31">
                  <c:v>12246.71</c:v>
                </c:pt>
                <c:pt idx="32">
                  <c:v>12789.4</c:v>
                </c:pt>
                <c:pt idx="33">
                  <c:v>13095.82</c:v>
                </c:pt>
                <c:pt idx="34">
                  <c:v>13440.2</c:v>
                </c:pt>
                <c:pt idx="35">
                  <c:v>13729.54</c:v>
                </c:pt>
                <c:pt idx="36">
                  <c:v>13893.28</c:v>
                </c:pt>
                <c:pt idx="37">
                  <c:v>14068.59</c:v>
                </c:pt>
                <c:pt idx="38">
                  <c:v>14215.47</c:v>
                </c:pt>
                <c:pt idx="39">
                  <c:v>14334.63</c:v>
                </c:pt>
                <c:pt idx="40">
                  <c:v>14431.56</c:v>
                </c:pt>
                <c:pt idx="41">
                  <c:v>14512.15</c:v>
                </c:pt>
                <c:pt idx="42">
                  <c:v>14546.5</c:v>
                </c:pt>
                <c:pt idx="43">
                  <c:v>14592.22</c:v>
                </c:pt>
                <c:pt idx="44">
                  <c:v>14617.58</c:v>
                </c:pt>
              </c:numCache>
            </c:numRef>
          </c:val>
          <c:smooth val="0"/>
          <c:extLst>
            <c:ext xmlns:c16="http://schemas.microsoft.com/office/drawing/2014/chart" uri="{C3380CC4-5D6E-409C-BE32-E72D297353CC}">
              <c16:uniqueId val="{0000001F-375B-4684-A4B2-E122188D82A4}"/>
            </c:ext>
          </c:extLst>
        </c:ser>
        <c:dLbls>
          <c:showLegendKey val="0"/>
          <c:showVal val="0"/>
          <c:showCatName val="0"/>
          <c:showSerName val="0"/>
          <c:showPercent val="0"/>
          <c:showBubbleSize val="0"/>
        </c:dLbls>
        <c:smooth val="0"/>
        <c:axId val="1111497807"/>
        <c:axId val="1111497391"/>
      </c:lineChart>
      <c:catAx>
        <c:axId val="1111497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497391"/>
        <c:crosses val="autoZero"/>
        <c:auto val="1"/>
        <c:lblAlgn val="ctr"/>
        <c:lblOffset val="100"/>
        <c:noMultiLvlLbl val="0"/>
      </c:catAx>
      <c:valAx>
        <c:axId val="1111497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RFU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497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[Exp800.10 Optimal Conc of IAC in Leg pneumo assay.xlsx]50..800_F2amp!PivotTable8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IAC (F2, R)</a:t>
            </a:r>
            <a:r>
              <a:rPr lang="en-US" baseline="0"/>
              <a:t> Amplification (Cy5) in Presence of 50, 800nM Leg pneumo F primer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pivotFmt>
      <c:pivotFmt>
        <c:idx val="134"/>
        <c:spPr>
          <a:solidFill>
            <a:schemeClr val="accent1"/>
          </a:solidFill>
          <a:ln w="28575" cap="rnd">
            <a:solidFill>
              <a:schemeClr val="accent1"/>
            </a:solidFill>
            <a:round/>
          </a:ln>
          <a:effectLst/>
        </c:spPr>
      </c:pivotFmt>
      <c:pivotFmt>
        <c:idx val="135"/>
        <c:spPr>
          <a:solidFill>
            <a:schemeClr val="accent1"/>
          </a:solidFill>
          <a:ln w="28575" cap="rnd">
            <a:solidFill>
              <a:schemeClr val="accent1"/>
            </a:solidFill>
            <a:round/>
          </a:ln>
          <a:effectLst/>
        </c:spPr>
      </c:pivotFmt>
      <c:pivotFmt>
        <c:idx val="136"/>
        <c:spPr>
          <a:solidFill>
            <a:schemeClr val="accent1"/>
          </a:solidFill>
          <a:ln w="28575" cap="rnd">
            <a:solidFill>
              <a:schemeClr val="accent1"/>
            </a:solidFill>
            <a:round/>
          </a:ln>
          <a:effectLst/>
        </c:spPr>
      </c:pivotFmt>
      <c:pivotFmt>
        <c:idx val="137"/>
        <c:spPr>
          <a:solidFill>
            <a:schemeClr val="accent1"/>
          </a:solidFill>
          <a:ln w="28575" cap="rnd">
            <a:solidFill>
              <a:schemeClr val="accent1"/>
            </a:solidFill>
            <a:round/>
          </a:ln>
          <a:effectLst/>
        </c:spPr>
      </c:pivotFmt>
      <c:pivotFmt>
        <c:idx val="138"/>
        <c:spPr>
          <a:solidFill>
            <a:schemeClr val="accent1"/>
          </a:solidFill>
          <a:ln w="28575" cap="rnd">
            <a:solidFill>
              <a:schemeClr val="accent1"/>
            </a:solidFill>
            <a:round/>
          </a:ln>
          <a:effectLst/>
        </c:spPr>
      </c:pivotFmt>
      <c:pivotFmt>
        <c:idx val="139"/>
        <c:spPr>
          <a:solidFill>
            <a:schemeClr val="accent1"/>
          </a:solidFill>
          <a:ln w="28575" cap="rnd">
            <a:solidFill>
              <a:schemeClr val="accent1"/>
            </a:solidFill>
            <a:round/>
          </a:ln>
          <a:effectLst/>
        </c:spPr>
      </c:pivotFmt>
      <c:pivotFmt>
        <c:idx val="140"/>
        <c:spPr>
          <a:solidFill>
            <a:schemeClr val="accent1"/>
          </a:solidFill>
          <a:ln w="28575" cap="rnd">
            <a:solidFill>
              <a:schemeClr val="accent1"/>
            </a:solidFill>
            <a:round/>
          </a:ln>
          <a:effectLst/>
        </c:spPr>
      </c:pivotFmt>
      <c:pivotFmt>
        <c:idx val="141"/>
        <c:spPr>
          <a:solidFill>
            <a:schemeClr val="accent1"/>
          </a:solidFill>
          <a:ln w="28575" cap="rnd">
            <a:solidFill>
              <a:schemeClr val="accent1"/>
            </a:solidFill>
            <a:round/>
          </a:ln>
          <a:effectLst/>
        </c:spPr>
      </c:pivotFmt>
      <c:pivotFmt>
        <c:idx val="142"/>
        <c:spPr>
          <a:solidFill>
            <a:schemeClr val="accent1"/>
          </a:solidFill>
          <a:ln w="28575" cap="rnd">
            <a:solidFill>
              <a:schemeClr val="accent1"/>
            </a:solidFill>
            <a:round/>
          </a:ln>
          <a:effectLst/>
        </c:spPr>
      </c:pivotFmt>
      <c:pivotFmt>
        <c:idx val="143"/>
        <c:spPr>
          <a:solidFill>
            <a:schemeClr val="accent1"/>
          </a:solidFill>
          <a:ln w="28575" cap="rnd">
            <a:solidFill>
              <a:schemeClr val="accent1"/>
            </a:solidFill>
            <a:round/>
          </a:ln>
          <a:effectLst/>
        </c:spPr>
      </c:pivotFmt>
      <c:pivotFmt>
        <c:idx val="144"/>
        <c:spPr>
          <a:solidFill>
            <a:schemeClr val="accent1"/>
          </a:solidFill>
          <a:ln w="28575" cap="rnd">
            <a:solidFill>
              <a:schemeClr val="accent1"/>
            </a:solidFill>
            <a:round/>
          </a:ln>
          <a:effectLst/>
        </c:spPr>
      </c:pivotFmt>
      <c:pivotFmt>
        <c:idx val="145"/>
        <c:spPr>
          <a:solidFill>
            <a:schemeClr val="accent1"/>
          </a:solidFill>
          <a:ln w="28575" cap="rnd">
            <a:solidFill>
              <a:schemeClr val="accent1"/>
            </a:solidFill>
            <a:round/>
          </a:ln>
          <a:effectLst/>
        </c:spPr>
      </c:pivotFmt>
      <c:pivotFmt>
        <c:idx val="146"/>
        <c:spPr>
          <a:solidFill>
            <a:schemeClr val="accent1"/>
          </a:solidFill>
          <a:ln w="28575" cap="rnd">
            <a:solidFill>
              <a:schemeClr val="accent1"/>
            </a:solidFill>
            <a:round/>
          </a:ln>
          <a:effectLst/>
        </c:spPr>
      </c:pivotFmt>
      <c:pivotFmt>
        <c:idx val="147"/>
        <c:spPr>
          <a:solidFill>
            <a:schemeClr val="accent1"/>
          </a:solidFill>
          <a:ln w="28575" cap="rnd">
            <a:solidFill>
              <a:schemeClr val="accent1"/>
            </a:solidFill>
            <a:round/>
          </a:ln>
          <a:effectLst/>
        </c:spPr>
      </c:pivotFmt>
      <c:pivotFmt>
        <c:idx val="148"/>
        <c:spPr>
          <a:solidFill>
            <a:schemeClr val="accent1"/>
          </a:solidFill>
          <a:ln w="28575" cap="rnd">
            <a:solidFill>
              <a:schemeClr val="accent1"/>
            </a:solidFill>
            <a:round/>
          </a:ln>
          <a:effectLst/>
        </c:spPr>
      </c:pivotFmt>
      <c:pivotFmt>
        <c:idx val="149"/>
        <c:spPr>
          <a:solidFill>
            <a:schemeClr val="accent1"/>
          </a:solidFill>
          <a:ln w="28575" cap="rnd">
            <a:solidFill>
              <a:schemeClr val="accent1"/>
            </a:solidFill>
            <a:round/>
          </a:ln>
          <a:effectLst/>
        </c:spPr>
      </c:pivotFmt>
      <c:pivotFmt>
        <c:idx val="150"/>
        <c:spPr>
          <a:solidFill>
            <a:schemeClr val="accent1"/>
          </a:solidFill>
          <a:ln w="28575" cap="rnd">
            <a:solidFill>
              <a:schemeClr val="accent1"/>
            </a:solidFill>
            <a:round/>
          </a:ln>
          <a:effectLst/>
        </c:spPr>
      </c:pivotFmt>
      <c:pivotFmt>
        <c:idx val="151"/>
        <c:spPr>
          <a:solidFill>
            <a:schemeClr val="accent1"/>
          </a:solidFill>
          <a:ln w="28575" cap="rnd">
            <a:solidFill>
              <a:schemeClr val="accent1"/>
            </a:solidFill>
            <a:round/>
          </a:ln>
          <a:effectLst/>
        </c:spPr>
      </c:pivotFmt>
      <c:pivotFmt>
        <c:idx val="152"/>
        <c:spPr>
          <a:solidFill>
            <a:schemeClr val="accent1"/>
          </a:solidFill>
          <a:ln w="28575" cap="rnd">
            <a:solidFill>
              <a:schemeClr val="accent1"/>
            </a:solidFill>
            <a:round/>
          </a:ln>
          <a:effectLst/>
        </c:spPr>
      </c:pivotFmt>
      <c:pivotFmt>
        <c:idx val="153"/>
        <c:spPr>
          <a:solidFill>
            <a:schemeClr val="accent1"/>
          </a:solidFill>
          <a:ln w="28575" cap="rnd">
            <a:solidFill>
              <a:schemeClr val="accent1"/>
            </a:solidFill>
            <a:round/>
          </a:ln>
          <a:effectLst/>
        </c:spPr>
      </c:pivotFmt>
      <c:pivotFmt>
        <c:idx val="154"/>
        <c:spPr>
          <a:solidFill>
            <a:schemeClr val="accent1"/>
          </a:solidFill>
          <a:ln w="28575" cap="rnd">
            <a:solidFill>
              <a:schemeClr val="accent1"/>
            </a:solidFill>
            <a:round/>
          </a:ln>
          <a:effectLst/>
        </c:spPr>
      </c:pivotFmt>
      <c:pivotFmt>
        <c:idx val="155"/>
        <c:spPr>
          <a:solidFill>
            <a:schemeClr val="accent1"/>
          </a:solidFill>
          <a:ln w="28575" cap="rnd">
            <a:solidFill>
              <a:schemeClr val="accent1"/>
            </a:solidFill>
            <a:round/>
          </a:ln>
          <a:effectLst/>
        </c:spPr>
      </c:pivotFmt>
      <c:pivotFmt>
        <c:idx val="156"/>
        <c:spPr>
          <a:solidFill>
            <a:schemeClr val="accent1"/>
          </a:solidFill>
          <a:ln w="28575" cap="rnd">
            <a:solidFill>
              <a:schemeClr val="accent1"/>
            </a:solidFill>
            <a:round/>
          </a:ln>
          <a:effectLst/>
        </c:spPr>
      </c:pivotFmt>
      <c:pivotFmt>
        <c:idx val="157"/>
        <c:spPr>
          <a:solidFill>
            <a:schemeClr val="accent1"/>
          </a:solidFill>
          <a:ln w="28575" cap="rnd">
            <a:solidFill>
              <a:schemeClr val="accent1"/>
            </a:solidFill>
            <a:round/>
          </a:ln>
          <a:effectLst/>
        </c:spPr>
      </c:pivotFmt>
      <c:pivotFmt>
        <c:idx val="158"/>
        <c:spPr>
          <a:solidFill>
            <a:schemeClr val="accent1"/>
          </a:solidFill>
          <a:ln w="28575" cap="rnd">
            <a:solidFill>
              <a:schemeClr val="accent1"/>
            </a:solidFill>
            <a:round/>
          </a:ln>
          <a:effectLst/>
        </c:spPr>
      </c:pivotFmt>
      <c:pivotFmt>
        <c:idx val="159"/>
        <c:spPr>
          <a:solidFill>
            <a:schemeClr val="accent1"/>
          </a:solidFill>
          <a:ln w="28575" cap="rnd">
            <a:solidFill>
              <a:schemeClr val="accent1"/>
            </a:solidFill>
            <a:round/>
          </a:ln>
          <a:effectLst/>
        </c:spPr>
      </c:pivotFmt>
      <c:pivotFmt>
        <c:idx val="160"/>
        <c:spPr>
          <a:solidFill>
            <a:schemeClr val="accent1"/>
          </a:solidFill>
          <a:ln w="28575" cap="rnd">
            <a:solidFill>
              <a:schemeClr val="accent1"/>
            </a:solidFill>
            <a:round/>
          </a:ln>
          <a:effectLst/>
        </c:spPr>
      </c:pivotFmt>
      <c:pivotFmt>
        <c:idx val="161"/>
        <c:spPr>
          <a:solidFill>
            <a:schemeClr val="accent1"/>
          </a:solidFill>
          <a:ln w="28575" cap="rnd">
            <a:solidFill>
              <a:schemeClr val="accent1"/>
            </a:solidFill>
            <a:round/>
          </a:ln>
          <a:effectLst/>
        </c:spPr>
      </c:pivotFmt>
      <c:pivotFmt>
        <c:idx val="162"/>
        <c:spPr>
          <a:solidFill>
            <a:schemeClr val="accent1"/>
          </a:solidFill>
          <a:ln w="28575" cap="rnd">
            <a:solidFill>
              <a:schemeClr val="accent1"/>
            </a:solidFill>
            <a:round/>
          </a:ln>
          <a:effectLst/>
        </c:spPr>
      </c:pivotFmt>
      <c:pivotFmt>
        <c:idx val="163"/>
        <c:spPr>
          <a:solidFill>
            <a:schemeClr val="accent1"/>
          </a:solidFill>
          <a:ln w="28575" cap="rnd">
            <a:solidFill>
              <a:schemeClr val="accent1"/>
            </a:solidFill>
            <a:round/>
          </a:ln>
          <a:effectLst/>
        </c:spPr>
      </c:pivotFmt>
      <c:pivotFmt>
        <c:idx val="164"/>
        <c:spPr>
          <a:solidFill>
            <a:schemeClr val="accent1"/>
          </a:solidFill>
          <a:ln w="28575" cap="rnd">
            <a:solidFill>
              <a:schemeClr val="accent1"/>
            </a:solidFill>
            <a:round/>
          </a:ln>
          <a:effectLst/>
        </c:spPr>
      </c:pivotFmt>
      <c:pivotFmt>
        <c:idx val="165"/>
        <c:spPr>
          <a:solidFill>
            <a:schemeClr val="accent1"/>
          </a:solidFill>
          <a:ln w="28575" cap="rnd">
            <a:solidFill>
              <a:schemeClr val="accent1"/>
            </a:solidFill>
            <a:round/>
          </a:ln>
          <a:effectLst/>
        </c:spPr>
      </c:pivotFmt>
      <c:pivotFmt>
        <c:idx val="166"/>
        <c:spPr>
          <a:solidFill>
            <a:schemeClr val="accent1"/>
          </a:solidFill>
          <a:ln w="28575" cap="rnd">
            <a:solidFill>
              <a:schemeClr val="accent1"/>
            </a:solidFill>
            <a:round/>
          </a:ln>
          <a:effectLst/>
        </c:spPr>
      </c:pivotFmt>
      <c:pivotFmt>
        <c:idx val="167"/>
        <c:spPr>
          <a:solidFill>
            <a:schemeClr val="accent1"/>
          </a:solidFill>
          <a:ln w="28575" cap="rnd">
            <a:solidFill>
              <a:schemeClr val="accent1"/>
            </a:solidFill>
            <a:round/>
          </a:ln>
          <a:effectLst/>
        </c:spPr>
      </c:pivotFmt>
      <c:pivotFmt>
        <c:idx val="168"/>
        <c:spPr>
          <a:solidFill>
            <a:schemeClr val="accent1"/>
          </a:solidFill>
          <a:ln w="28575" cap="rnd">
            <a:solidFill>
              <a:schemeClr val="accent1"/>
            </a:solidFill>
            <a:round/>
          </a:ln>
          <a:effectLst/>
        </c:spPr>
      </c:pivotFmt>
      <c:pivotFmt>
        <c:idx val="169"/>
        <c:spPr>
          <a:solidFill>
            <a:schemeClr val="accent1"/>
          </a:solidFill>
          <a:ln w="28575" cap="rnd">
            <a:solidFill>
              <a:schemeClr val="accent1"/>
            </a:solidFill>
            <a:round/>
          </a:ln>
          <a:effectLst/>
        </c:spPr>
      </c:pivotFmt>
      <c:pivotFmt>
        <c:idx val="170"/>
        <c:spPr>
          <a:solidFill>
            <a:schemeClr val="accent1"/>
          </a:solidFill>
          <a:ln w="28575" cap="rnd">
            <a:solidFill>
              <a:schemeClr val="accent1"/>
            </a:solidFill>
            <a:round/>
          </a:ln>
          <a:effectLst/>
        </c:spPr>
      </c:pivotFmt>
      <c:pivotFmt>
        <c:idx val="171"/>
        <c:spPr>
          <a:solidFill>
            <a:schemeClr val="accent1"/>
          </a:solidFill>
          <a:ln w="28575" cap="rnd">
            <a:solidFill>
              <a:schemeClr val="accent1"/>
            </a:solidFill>
            <a:round/>
          </a:ln>
          <a:effectLst/>
        </c:spPr>
      </c:pivotFmt>
      <c:pivotFmt>
        <c:idx val="172"/>
        <c:spPr>
          <a:solidFill>
            <a:schemeClr val="accent1"/>
          </a:solidFill>
          <a:ln w="28575" cap="rnd">
            <a:solidFill>
              <a:schemeClr val="accent1"/>
            </a:solidFill>
            <a:round/>
          </a:ln>
          <a:effectLst/>
        </c:spPr>
      </c:pivotFmt>
      <c:pivotFmt>
        <c:idx val="173"/>
        <c:spPr>
          <a:solidFill>
            <a:schemeClr val="accent1"/>
          </a:solidFill>
          <a:ln w="28575" cap="rnd">
            <a:solidFill>
              <a:schemeClr val="accent1"/>
            </a:solidFill>
            <a:round/>
          </a:ln>
          <a:effectLst/>
        </c:spPr>
      </c:pivotFmt>
      <c:pivotFmt>
        <c:idx val="174"/>
        <c:spPr>
          <a:solidFill>
            <a:schemeClr val="accent1"/>
          </a:solidFill>
          <a:ln w="28575" cap="rnd">
            <a:solidFill>
              <a:schemeClr val="accent1"/>
            </a:solidFill>
            <a:round/>
          </a:ln>
          <a:effectLst/>
        </c:spPr>
      </c:pivotFmt>
      <c:pivotFmt>
        <c:idx val="175"/>
        <c:spPr>
          <a:solidFill>
            <a:schemeClr val="accent1"/>
          </a:solidFill>
          <a:ln w="28575" cap="rnd">
            <a:solidFill>
              <a:schemeClr val="accent1"/>
            </a:solidFill>
            <a:round/>
          </a:ln>
          <a:effectLst/>
        </c:spPr>
      </c:pivotFmt>
      <c:pivotFmt>
        <c:idx val="176"/>
        <c:spPr>
          <a:solidFill>
            <a:schemeClr val="accent1"/>
          </a:solidFill>
          <a:ln w="28575" cap="rnd">
            <a:solidFill>
              <a:schemeClr val="accent1"/>
            </a:solidFill>
            <a:round/>
          </a:ln>
          <a:effectLst/>
        </c:spPr>
      </c:pivotFmt>
      <c:pivotFmt>
        <c:idx val="177"/>
        <c:spPr>
          <a:solidFill>
            <a:schemeClr val="accent1"/>
          </a:solidFill>
          <a:ln w="28575" cap="rnd">
            <a:solidFill>
              <a:schemeClr val="accent1"/>
            </a:solidFill>
            <a:round/>
          </a:ln>
          <a:effectLst/>
        </c:spPr>
      </c:pivotFmt>
      <c:pivotFmt>
        <c:idx val="178"/>
        <c:spPr>
          <a:solidFill>
            <a:schemeClr val="accent1"/>
          </a:solidFill>
          <a:ln w="28575" cap="rnd">
            <a:solidFill>
              <a:schemeClr val="accent1"/>
            </a:solidFill>
            <a:round/>
          </a:ln>
          <a:effectLst/>
        </c:spPr>
      </c:pivotFmt>
      <c:pivotFmt>
        <c:idx val="179"/>
        <c:spPr>
          <a:solidFill>
            <a:schemeClr val="accent1"/>
          </a:solidFill>
          <a:ln w="28575" cap="rnd">
            <a:solidFill>
              <a:schemeClr val="accent1"/>
            </a:solidFill>
            <a:round/>
          </a:ln>
          <a:effectLst/>
        </c:spPr>
      </c:pivotFmt>
      <c:pivotFmt>
        <c:idx val="180"/>
        <c:spPr>
          <a:solidFill>
            <a:schemeClr val="accent1"/>
          </a:solidFill>
          <a:ln w="28575" cap="rnd">
            <a:solidFill>
              <a:schemeClr val="accent1"/>
            </a:solidFill>
            <a:round/>
          </a:ln>
          <a:effectLst/>
        </c:spPr>
      </c:pivotFmt>
      <c:pivotFmt>
        <c:idx val="181"/>
        <c:spPr>
          <a:solidFill>
            <a:schemeClr val="accent1"/>
          </a:solidFill>
          <a:ln w="28575" cap="rnd">
            <a:solidFill>
              <a:schemeClr val="accent1"/>
            </a:solidFill>
            <a:round/>
          </a:ln>
          <a:effectLst/>
        </c:spPr>
      </c:pivotFmt>
      <c:pivotFmt>
        <c:idx val="182"/>
        <c:spPr>
          <a:solidFill>
            <a:schemeClr val="accent1"/>
          </a:solidFill>
          <a:ln w="28575" cap="rnd">
            <a:solidFill>
              <a:schemeClr val="accent1"/>
            </a:solidFill>
            <a:round/>
          </a:ln>
          <a:effectLst/>
        </c:spPr>
      </c:pivotFmt>
      <c:pivotFmt>
        <c:idx val="183"/>
        <c:spPr>
          <a:solidFill>
            <a:schemeClr val="accent1"/>
          </a:solidFill>
          <a:ln w="28575" cap="rnd">
            <a:solidFill>
              <a:schemeClr val="accent1"/>
            </a:solidFill>
            <a:round/>
          </a:ln>
          <a:effectLst/>
        </c:spPr>
      </c:pivotFmt>
      <c:pivotFmt>
        <c:idx val="184"/>
        <c:spPr>
          <a:solidFill>
            <a:schemeClr val="accent1"/>
          </a:solidFill>
          <a:ln w="28575" cap="rnd">
            <a:solidFill>
              <a:schemeClr val="accent1"/>
            </a:solidFill>
            <a:round/>
          </a:ln>
          <a:effectLst/>
        </c:spPr>
      </c:pivotFmt>
      <c:pivotFmt>
        <c:idx val="185"/>
        <c:spPr>
          <a:solidFill>
            <a:schemeClr val="accent1"/>
          </a:solidFill>
          <a:ln w="28575" cap="rnd">
            <a:solidFill>
              <a:schemeClr val="accent1"/>
            </a:solidFill>
            <a:round/>
          </a:ln>
          <a:effectLst/>
        </c:spPr>
      </c:pivotFmt>
      <c:pivotFmt>
        <c:idx val="186"/>
        <c:spPr>
          <a:solidFill>
            <a:schemeClr val="accent1"/>
          </a:solidFill>
          <a:ln w="28575" cap="rnd">
            <a:solidFill>
              <a:schemeClr val="accent1"/>
            </a:solidFill>
            <a:round/>
          </a:ln>
          <a:effectLst/>
        </c:spPr>
      </c:pivotFmt>
      <c:pivotFmt>
        <c:idx val="187"/>
        <c:spPr>
          <a:solidFill>
            <a:schemeClr val="accent1"/>
          </a:solidFill>
          <a:ln w="28575" cap="rnd">
            <a:solidFill>
              <a:schemeClr val="accent1"/>
            </a:solidFill>
            <a:round/>
          </a:ln>
          <a:effectLst/>
        </c:spPr>
      </c:pivotFmt>
      <c:pivotFmt>
        <c:idx val="188"/>
        <c:spPr>
          <a:solidFill>
            <a:schemeClr val="accent1"/>
          </a:solidFill>
          <a:ln w="28575" cap="rnd">
            <a:solidFill>
              <a:schemeClr val="accent1"/>
            </a:solidFill>
            <a:round/>
          </a:ln>
          <a:effectLst/>
        </c:spPr>
      </c:pivotFmt>
      <c:pivotFmt>
        <c:idx val="189"/>
        <c:spPr>
          <a:solidFill>
            <a:schemeClr val="accent1"/>
          </a:solidFill>
          <a:ln w="28575" cap="rnd">
            <a:solidFill>
              <a:schemeClr val="accent1"/>
            </a:solidFill>
            <a:round/>
          </a:ln>
          <a:effectLst/>
        </c:spPr>
      </c:pivotFmt>
      <c:pivotFmt>
        <c:idx val="190"/>
        <c:spPr>
          <a:solidFill>
            <a:schemeClr val="accent1"/>
          </a:solidFill>
          <a:ln w="28575" cap="rnd">
            <a:solidFill>
              <a:schemeClr val="accent1"/>
            </a:solidFill>
            <a:round/>
          </a:ln>
          <a:effectLst/>
        </c:spPr>
      </c:pivotFmt>
      <c:pivotFmt>
        <c:idx val="191"/>
        <c:spPr>
          <a:solidFill>
            <a:schemeClr val="accent1"/>
          </a:solidFill>
          <a:ln w="28575" cap="rnd">
            <a:solidFill>
              <a:schemeClr val="accent1"/>
            </a:solidFill>
            <a:round/>
          </a:ln>
          <a:effectLst/>
        </c:spPr>
      </c:pivotFmt>
      <c:pivotFmt>
        <c:idx val="192"/>
        <c:spPr>
          <a:solidFill>
            <a:schemeClr val="accent1"/>
          </a:solidFill>
          <a:ln w="28575" cap="rnd">
            <a:solidFill>
              <a:schemeClr val="accent1"/>
            </a:solidFill>
            <a:round/>
          </a:ln>
          <a:effectLst/>
        </c:spPr>
      </c:pivotFmt>
      <c:pivotFmt>
        <c:idx val="193"/>
        <c:spPr>
          <a:solidFill>
            <a:schemeClr val="accent1"/>
          </a:solidFill>
          <a:ln w="28575" cap="rnd">
            <a:solidFill>
              <a:schemeClr val="accent1"/>
            </a:solidFill>
            <a:round/>
          </a:ln>
          <a:effectLst/>
        </c:spPr>
      </c:pivotFmt>
      <c:pivotFmt>
        <c:idx val="1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'50..800_F2amp'!$B$3:$B$4</c:f>
              <c:strCache>
                <c:ptCount val="1"/>
                <c:pt idx="0">
                  <c:v>D02</c:v>
                </c:pt>
              </c:strCache>
            </c:strRef>
          </c:tx>
          <c:spPr>
            <a:ln w="28575" cap="rnd">
              <a:solidFill>
                <a:schemeClr val="accent1"/>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'50..800_F2amp'!$B$5:$B$50</c:f>
              <c:numCache>
                <c:formatCode>General</c:formatCode>
                <c:ptCount val="45"/>
                <c:pt idx="0">
                  <c:v>5565.5</c:v>
                </c:pt>
                <c:pt idx="1">
                  <c:v>5588.2</c:v>
                </c:pt>
                <c:pt idx="2">
                  <c:v>5594.09</c:v>
                </c:pt>
                <c:pt idx="3">
                  <c:v>5597.28</c:v>
                </c:pt>
                <c:pt idx="4">
                  <c:v>5601.86</c:v>
                </c:pt>
                <c:pt idx="5">
                  <c:v>5607.17</c:v>
                </c:pt>
                <c:pt idx="6">
                  <c:v>5612.63</c:v>
                </c:pt>
                <c:pt idx="7">
                  <c:v>5616.32</c:v>
                </c:pt>
                <c:pt idx="8">
                  <c:v>5618.62</c:v>
                </c:pt>
                <c:pt idx="9">
                  <c:v>5621.81</c:v>
                </c:pt>
                <c:pt idx="10">
                  <c:v>5626</c:v>
                </c:pt>
                <c:pt idx="11">
                  <c:v>5626.94</c:v>
                </c:pt>
                <c:pt idx="12">
                  <c:v>5628.74</c:v>
                </c:pt>
                <c:pt idx="13">
                  <c:v>5628.51</c:v>
                </c:pt>
                <c:pt idx="14">
                  <c:v>5628.21</c:v>
                </c:pt>
                <c:pt idx="15">
                  <c:v>5628.02</c:v>
                </c:pt>
                <c:pt idx="16">
                  <c:v>5628.43</c:v>
                </c:pt>
                <c:pt idx="17">
                  <c:v>5630.06</c:v>
                </c:pt>
                <c:pt idx="18">
                  <c:v>5632.21</c:v>
                </c:pt>
                <c:pt idx="19">
                  <c:v>5640.08</c:v>
                </c:pt>
                <c:pt idx="20">
                  <c:v>5654.46</c:v>
                </c:pt>
                <c:pt idx="21">
                  <c:v>5684.61</c:v>
                </c:pt>
                <c:pt idx="22">
                  <c:v>5744.26</c:v>
                </c:pt>
                <c:pt idx="23">
                  <c:v>5855.64</c:v>
                </c:pt>
                <c:pt idx="24">
                  <c:v>6053.11</c:v>
                </c:pt>
                <c:pt idx="25">
                  <c:v>6396.82</c:v>
                </c:pt>
                <c:pt idx="26">
                  <c:v>6942.78</c:v>
                </c:pt>
                <c:pt idx="27">
                  <c:v>7711.28</c:v>
                </c:pt>
                <c:pt idx="28">
                  <c:v>8645.84</c:v>
                </c:pt>
                <c:pt idx="29">
                  <c:v>9711.42</c:v>
                </c:pt>
                <c:pt idx="30">
                  <c:v>10823.03</c:v>
                </c:pt>
                <c:pt idx="31">
                  <c:v>11902.87</c:v>
                </c:pt>
                <c:pt idx="32">
                  <c:v>12890.36</c:v>
                </c:pt>
                <c:pt idx="33">
                  <c:v>13748.36</c:v>
                </c:pt>
                <c:pt idx="34">
                  <c:v>14469.74</c:v>
                </c:pt>
                <c:pt idx="35">
                  <c:v>15042.1</c:v>
                </c:pt>
                <c:pt idx="36">
                  <c:v>15362.86</c:v>
                </c:pt>
                <c:pt idx="37">
                  <c:v>15716.3</c:v>
                </c:pt>
                <c:pt idx="38">
                  <c:v>15922.16</c:v>
                </c:pt>
                <c:pt idx="39">
                  <c:v>16133.08</c:v>
                </c:pt>
                <c:pt idx="40">
                  <c:v>16254.65</c:v>
                </c:pt>
                <c:pt idx="41">
                  <c:v>16376.33</c:v>
                </c:pt>
                <c:pt idx="42">
                  <c:v>16428.2</c:v>
                </c:pt>
                <c:pt idx="43">
                  <c:v>16497.490000000002</c:v>
                </c:pt>
                <c:pt idx="44">
                  <c:v>16535.97</c:v>
                </c:pt>
              </c:numCache>
            </c:numRef>
          </c:val>
          <c:smooth val="0"/>
          <c:extLst>
            <c:ext xmlns:c16="http://schemas.microsoft.com/office/drawing/2014/chart" uri="{C3380CC4-5D6E-409C-BE32-E72D297353CC}">
              <c16:uniqueId val="{00000000-D41B-49A3-A743-35A0D5C18E08}"/>
            </c:ext>
          </c:extLst>
        </c:ser>
        <c:ser>
          <c:idx val="1"/>
          <c:order val="1"/>
          <c:tx>
            <c:strRef>
              <c:f>'50..800_F2amp'!$C$3:$C$4</c:f>
              <c:strCache>
                <c:ptCount val="1"/>
                <c:pt idx="0">
                  <c:v>D03</c:v>
                </c:pt>
              </c:strCache>
            </c:strRef>
          </c:tx>
          <c:spPr>
            <a:ln w="28575" cap="rnd">
              <a:solidFill>
                <a:schemeClr val="accent2"/>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'50..800_F2amp'!$C$5:$C$50</c:f>
              <c:numCache>
                <c:formatCode>General</c:formatCode>
                <c:ptCount val="45"/>
                <c:pt idx="0">
                  <c:v>6546.6</c:v>
                </c:pt>
                <c:pt idx="1">
                  <c:v>6624.8</c:v>
                </c:pt>
                <c:pt idx="2">
                  <c:v>6641.53</c:v>
                </c:pt>
                <c:pt idx="3">
                  <c:v>6652.2</c:v>
                </c:pt>
                <c:pt idx="4">
                  <c:v>6666.26</c:v>
                </c:pt>
                <c:pt idx="5">
                  <c:v>6676.23</c:v>
                </c:pt>
                <c:pt idx="6">
                  <c:v>6684.2</c:v>
                </c:pt>
                <c:pt idx="7">
                  <c:v>6689.28</c:v>
                </c:pt>
                <c:pt idx="8">
                  <c:v>6695.97</c:v>
                </c:pt>
                <c:pt idx="9">
                  <c:v>6700.92</c:v>
                </c:pt>
                <c:pt idx="10">
                  <c:v>6705.28</c:v>
                </c:pt>
                <c:pt idx="11">
                  <c:v>6708.27</c:v>
                </c:pt>
                <c:pt idx="12">
                  <c:v>6709.02</c:v>
                </c:pt>
                <c:pt idx="13">
                  <c:v>6710.47</c:v>
                </c:pt>
                <c:pt idx="14">
                  <c:v>6710.58</c:v>
                </c:pt>
                <c:pt idx="15">
                  <c:v>6713.41</c:v>
                </c:pt>
                <c:pt idx="16">
                  <c:v>6714.22</c:v>
                </c:pt>
                <c:pt idx="17">
                  <c:v>6714.35</c:v>
                </c:pt>
                <c:pt idx="18">
                  <c:v>6717.55</c:v>
                </c:pt>
                <c:pt idx="19">
                  <c:v>6728.12</c:v>
                </c:pt>
                <c:pt idx="20">
                  <c:v>6746.7</c:v>
                </c:pt>
                <c:pt idx="21">
                  <c:v>6780.99</c:v>
                </c:pt>
                <c:pt idx="22">
                  <c:v>6849.24</c:v>
                </c:pt>
                <c:pt idx="23">
                  <c:v>6980.91</c:v>
                </c:pt>
                <c:pt idx="24">
                  <c:v>7222.51</c:v>
                </c:pt>
                <c:pt idx="25">
                  <c:v>7640.51</c:v>
                </c:pt>
                <c:pt idx="26">
                  <c:v>8318.52</c:v>
                </c:pt>
                <c:pt idx="27">
                  <c:v>9251.43</c:v>
                </c:pt>
                <c:pt idx="28">
                  <c:v>10402.469999999999</c:v>
                </c:pt>
                <c:pt idx="29">
                  <c:v>11685.03</c:v>
                </c:pt>
                <c:pt idx="30">
                  <c:v>13009.87</c:v>
                </c:pt>
                <c:pt idx="31">
                  <c:v>14301.07</c:v>
                </c:pt>
                <c:pt idx="32">
                  <c:v>15505</c:v>
                </c:pt>
                <c:pt idx="33">
                  <c:v>16554.93</c:v>
                </c:pt>
                <c:pt idx="34">
                  <c:v>17414.86</c:v>
                </c:pt>
                <c:pt idx="35">
                  <c:v>18098.89</c:v>
                </c:pt>
                <c:pt idx="36">
                  <c:v>18485.75</c:v>
                </c:pt>
                <c:pt idx="37">
                  <c:v>18893.79</c:v>
                </c:pt>
                <c:pt idx="38">
                  <c:v>19221.14</c:v>
                </c:pt>
                <c:pt idx="39">
                  <c:v>19405.79</c:v>
                </c:pt>
                <c:pt idx="40">
                  <c:v>19597.39</c:v>
                </c:pt>
                <c:pt idx="41">
                  <c:v>19707.810000000001</c:v>
                </c:pt>
                <c:pt idx="42">
                  <c:v>19764.830000000002</c:v>
                </c:pt>
                <c:pt idx="43">
                  <c:v>19845.21</c:v>
                </c:pt>
                <c:pt idx="44">
                  <c:v>19890.490000000002</c:v>
                </c:pt>
              </c:numCache>
            </c:numRef>
          </c:val>
          <c:smooth val="0"/>
          <c:extLst>
            <c:ext xmlns:c16="http://schemas.microsoft.com/office/drawing/2014/chart" uri="{C3380CC4-5D6E-409C-BE32-E72D297353CC}">
              <c16:uniqueId val="{00000001-D41B-49A3-A743-35A0D5C18E08}"/>
            </c:ext>
          </c:extLst>
        </c:ser>
        <c:ser>
          <c:idx val="2"/>
          <c:order val="2"/>
          <c:tx>
            <c:strRef>
              <c:f>'50..800_F2amp'!$D$3:$D$4</c:f>
              <c:strCache>
                <c:ptCount val="1"/>
                <c:pt idx="0">
                  <c:v>D04</c:v>
                </c:pt>
              </c:strCache>
            </c:strRef>
          </c:tx>
          <c:spPr>
            <a:ln w="28575" cap="rnd">
              <a:solidFill>
                <a:schemeClr val="accent3"/>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'50..800_F2amp'!$D$5:$D$50</c:f>
              <c:numCache>
                <c:formatCode>General</c:formatCode>
                <c:ptCount val="45"/>
                <c:pt idx="0">
                  <c:v>5654</c:v>
                </c:pt>
                <c:pt idx="1">
                  <c:v>5702.78</c:v>
                </c:pt>
                <c:pt idx="2">
                  <c:v>5721.4</c:v>
                </c:pt>
                <c:pt idx="3">
                  <c:v>5737.82</c:v>
                </c:pt>
                <c:pt idx="4">
                  <c:v>5754.22</c:v>
                </c:pt>
                <c:pt idx="5">
                  <c:v>5770.58</c:v>
                </c:pt>
                <c:pt idx="6">
                  <c:v>5784.84</c:v>
                </c:pt>
                <c:pt idx="7">
                  <c:v>5798.09</c:v>
                </c:pt>
                <c:pt idx="8">
                  <c:v>5809.27</c:v>
                </c:pt>
                <c:pt idx="9">
                  <c:v>5818.56</c:v>
                </c:pt>
                <c:pt idx="10">
                  <c:v>5826.69</c:v>
                </c:pt>
                <c:pt idx="11">
                  <c:v>5831.98</c:v>
                </c:pt>
                <c:pt idx="12">
                  <c:v>5834.16</c:v>
                </c:pt>
                <c:pt idx="13">
                  <c:v>5838</c:v>
                </c:pt>
                <c:pt idx="14">
                  <c:v>5840.12</c:v>
                </c:pt>
                <c:pt idx="15">
                  <c:v>5842.72</c:v>
                </c:pt>
                <c:pt idx="16">
                  <c:v>5842.14</c:v>
                </c:pt>
                <c:pt idx="17">
                  <c:v>5841.03</c:v>
                </c:pt>
                <c:pt idx="18">
                  <c:v>5840.37</c:v>
                </c:pt>
                <c:pt idx="19">
                  <c:v>5846.67</c:v>
                </c:pt>
                <c:pt idx="20">
                  <c:v>5863.05</c:v>
                </c:pt>
                <c:pt idx="21">
                  <c:v>5894.07</c:v>
                </c:pt>
                <c:pt idx="22">
                  <c:v>5954.87</c:v>
                </c:pt>
                <c:pt idx="23">
                  <c:v>6071.94</c:v>
                </c:pt>
                <c:pt idx="24">
                  <c:v>6281.11</c:v>
                </c:pt>
                <c:pt idx="25">
                  <c:v>6645.98</c:v>
                </c:pt>
                <c:pt idx="26">
                  <c:v>7221.86</c:v>
                </c:pt>
                <c:pt idx="27">
                  <c:v>8028.26</c:v>
                </c:pt>
                <c:pt idx="28">
                  <c:v>9020.64</c:v>
                </c:pt>
                <c:pt idx="29">
                  <c:v>10127.9</c:v>
                </c:pt>
                <c:pt idx="30">
                  <c:v>11295.16</c:v>
                </c:pt>
                <c:pt idx="31">
                  <c:v>12408.68</c:v>
                </c:pt>
                <c:pt idx="32">
                  <c:v>13423.12</c:v>
                </c:pt>
                <c:pt idx="33">
                  <c:v>14311.53</c:v>
                </c:pt>
                <c:pt idx="34">
                  <c:v>15048.86</c:v>
                </c:pt>
                <c:pt idx="35">
                  <c:v>15628.11</c:v>
                </c:pt>
                <c:pt idx="36">
                  <c:v>15970.91</c:v>
                </c:pt>
                <c:pt idx="37">
                  <c:v>16335.37</c:v>
                </c:pt>
                <c:pt idx="38">
                  <c:v>16622.72</c:v>
                </c:pt>
                <c:pt idx="39">
                  <c:v>16792.96</c:v>
                </c:pt>
                <c:pt idx="40">
                  <c:v>16960.93</c:v>
                </c:pt>
                <c:pt idx="41">
                  <c:v>17057.349999999999</c:v>
                </c:pt>
                <c:pt idx="42">
                  <c:v>17108.03</c:v>
                </c:pt>
                <c:pt idx="43">
                  <c:v>17179.669999999998</c:v>
                </c:pt>
                <c:pt idx="44">
                  <c:v>17220.05</c:v>
                </c:pt>
              </c:numCache>
            </c:numRef>
          </c:val>
          <c:smooth val="0"/>
          <c:extLst>
            <c:ext xmlns:c16="http://schemas.microsoft.com/office/drawing/2014/chart" uri="{C3380CC4-5D6E-409C-BE32-E72D297353CC}">
              <c16:uniqueId val="{00000002-D41B-49A3-A743-35A0D5C18E08}"/>
            </c:ext>
          </c:extLst>
        </c:ser>
        <c:ser>
          <c:idx val="3"/>
          <c:order val="3"/>
          <c:tx>
            <c:strRef>
              <c:f>'50..800_F2amp'!$E$3:$E$4</c:f>
              <c:strCache>
                <c:ptCount val="1"/>
                <c:pt idx="0">
                  <c:v>D05</c:v>
                </c:pt>
              </c:strCache>
            </c:strRef>
          </c:tx>
          <c:spPr>
            <a:ln w="28575" cap="rnd">
              <a:solidFill>
                <a:schemeClr val="accent4"/>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'50..800_F2amp'!$E$5:$E$50</c:f>
              <c:numCache>
                <c:formatCode>General</c:formatCode>
                <c:ptCount val="45"/>
                <c:pt idx="0">
                  <c:v>6773.6</c:v>
                </c:pt>
                <c:pt idx="1">
                  <c:v>6841.19</c:v>
                </c:pt>
                <c:pt idx="2">
                  <c:v>6843.38</c:v>
                </c:pt>
                <c:pt idx="3">
                  <c:v>6846.54</c:v>
                </c:pt>
                <c:pt idx="4">
                  <c:v>6849.92</c:v>
                </c:pt>
                <c:pt idx="5">
                  <c:v>6852.4</c:v>
                </c:pt>
                <c:pt idx="6">
                  <c:v>6854.72</c:v>
                </c:pt>
                <c:pt idx="7">
                  <c:v>6857.43</c:v>
                </c:pt>
                <c:pt idx="8">
                  <c:v>6859.66</c:v>
                </c:pt>
                <c:pt idx="9">
                  <c:v>6861.99</c:v>
                </c:pt>
                <c:pt idx="10">
                  <c:v>6863.94</c:v>
                </c:pt>
                <c:pt idx="11">
                  <c:v>6866.05</c:v>
                </c:pt>
                <c:pt idx="12">
                  <c:v>6868.03</c:v>
                </c:pt>
                <c:pt idx="13">
                  <c:v>6868.19</c:v>
                </c:pt>
                <c:pt idx="14">
                  <c:v>6866.54</c:v>
                </c:pt>
                <c:pt idx="15">
                  <c:v>6865.21</c:v>
                </c:pt>
                <c:pt idx="16">
                  <c:v>6864</c:v>
                </c:pt>
                <c:pt idx="17">
                  <c:v>6864.06</c:v>
                </c:pt>
                <c:pt idx="18">
                  <c:v>6864.34</c:v>
                </c:pt>
                <c:pt idx="19">
                  <c:v>6869.03</c:v>
                </c:pt>
                <c:pt idx="20">
                  <c:v>6883.29</c:v>
                </c:pt>
                <c:pt idx="21">
                  <c:v>6917.05</c:v>
                </c:pt>
                <c:pt idx="22">
                  <c:v>6986</c:v>
                </c:pt>
                <c:pt idx="23">
                  <c:v>7118.31</c:v>
                </c:pt>
                <c:pt idx="24">
                  <c:v>7370.73</c:v>
                </c:pt>
                <c:pt idx="25">
                  <c:v>7795.94</c:v>
                </c:pt>
                <c:pt idx="26">
                  <c:v>8466.85</c:v>
                </c:pt>
                <c:pt idx="27">
                  <c:v>9410.2000000000007</c:v>
                </c:pt>
                <c:pt idx="28">
                  <c:v>10584.52</c:v>
                </c:pt>
                <c:pt idx="29">
                  <c:v>11900.29</c:v>
                </c:pt>
                <c:pt idx="30">
                  <c:v>13281.89</c:v>
                </c:pt>
                <c:pt idx="31">
                  <c:v>14620.32</c:v>
                </c:pt>
                <c:pt idx="32">
                  <c:v>15838.67</c:v>
                </c:pt>
                <c:pt idx="33">
                  <c:v>16875.689999999999</c:v>
                </c:pt>
                <c:pt idx="34">
                  <c:v>17728.34</c:v>
                </c:pt>
                <c:pt idx="35">
                  <c:v>18410.900000000001</c:v>
                </c:pt>
                <c:pt idx="36">
                  <c:v>18946.98</c:v>
                </c:pt>
                <c:pt idx="37">
                  <c:v>19249.02</c:v>
                </c:pt>
                <c:pt idx="38">
                  <c:v>19570.009999999998</c:v>
                </c:pt>
                <c:pt idx="39">
                  <c:v>19753.47</c:v>
                </c:pt>
                <c:pt idx="40">
                  <c:v>19950.23</c:v>
                </c:pt>
                <c:pt idx="41">
                  <c:v>20065.57</c:v>
                </c:pt>
                <c:pt idx="42">
                  <c:v>20125.21</c:v>
                </c:pt>
                <c:pt idx="43">
                  <c:v>20209.259999999998</c:v>
                </c:pt>
                <c:pt idx="44">
                  <c:v>20256.599999999999</c:v>
                </c:pt>
              </c:numCache>
            </c:numRef>
          </c:val>
          <c:smooth val="0"/>
          <c:extLst>
            <c:ext xmlns:c16="http://schemas.microsoft.com/office/drawing/2014/chart" uri="{C3380CC4-5D6E-409C-BE32-E72D297353CC}">
              <c16:uniqueId val="{00000003-D41B-49A3-A743-35A0D5C18E08}"/>
            </c:ext>
          </c:extLst>
        </c:ser>
        <c:ser>
          <c:idx val="4"/>
          <c:order val="4"/>
          <c:tx>
            <c:strRef>
              <c:f>'50..800_F2amp'!$F$3:$F$4</c:f>
              <c:strCache>
                <c:ptCount val="1"/>
                <c:pt idx="0">
                  <c:v>D06</c:v>
                </c:pt>
              </c:strCache>
            </c:strRef>
          </c:tx>
          <c:spPr>
            <a:ln w="28575" cap="rnd">
              <a:solidFill>
                <a:schemeClr val="accent5"/>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'50..800_F2amp'!$F$5:$F$50</c:f>
              <c:numCache>
                <c:formatCode>General</c:formatCode>
                <c:ptCount val="45"/>
                <c:pt idx="0">
                  <c:v>6376.4</c:v>
                </c:pt>
                <c:pt idx="1">
                  <c:v>6431.75</c:v>
                </c:pt>
                <c:pt idx="2">
                  <c:v>6446.03</c:v>
                </c:pt>
                <c:pt idx="3">
                  <c:v>6454.04</c:v>
                </c:pt>
                <c:pt idx="4">
                  <c:v>6465.94</c:v>
                </c:pt>
                <c:pt idx="5">
                  <c:v>6474.69</c:v>
                </c:pt>
                <c:pt idx="6">
                  <c:v>6483.75</c:v>
                </c:pt>
                <c:pt idx="7">
                  <c:v>6491.81</c:v>
                </c:pt>
                <c:pt idx="8">
                  <c:v>6496.2</c:v>
                </c:pt>
                <c:pt idx="9">
                  <c:v>6500.5</c:v>
                </c:pt>
                <c:pt idx="10">
                  <c:v>6504.84</c:v>
                </c:pt>
                <c:pt idx="11">
                  <c:v>6507.12</c:v>
                </c:pt>
                <c:pt idx="12">
                  <c:v>6509.38</c:v>
                </c:pt>
                <c:pt idx="13">
                  <c:v>6510.25</c:v>
                </c:pt>
                <c:pt idx="14">
                  <c:v>6510.18</c:v>
                </c:pt>
                <c:pt idx="15">
                  <c:v>6510.42</c:v>
                </c:pt>
                <c:pt idx="16">
                  <c:v>6510.69</c:v>
                </c:pt>
                <c:pt idx="17">
                  <c:v>6510.92</c:v>
                </c:pt>
                <c:pt idx="18">
                  <c:v>6514.07</c:v>
                </c:pt>
                <c:pt idx="19">
                  <c:v>6522.65</c:v>
                </c:pt>
                <c:pt idx="20">
                  <c:v>6539.84</c:v>
                </c:pt>
                <c:pt idx="21">
                  <c:v>6574.69</c:v>
                </c:pt>
                <c:pt idx="22">
                  <c:v>6644.97</c:v>
                </c:pt>
                <c:pt idx="23">
                  <c:v>6770.02</c:v>
                </c:pt>
                <c:pt idx="24">
                  <c:v>6999.47</c:v>
                </c:pt>
                <c:pt idx="25">
                  <c:v>7403.78</c:v>
                </c:pt>
                <c:pt idx="26">
                  <c:v>8047.92</c:v>
                </c:pt>
                <c:pt idx="27">
                  <c:v>8958.85</c:v>
                </c:pt>
                <c:pt idx="28">
                  <c:v>10065.27</c:v>
                </c:pt>
                <c:pt idx="29">
                  <c:v>11327.3</c:v>
                </c:pt>
                <c:pt idx="30">
                  <c:v>12644.62</c:v>
                </c:pt>
                <c:pt idx="31">
                  <c:v>13941.83</c:v>
                </c:pt>
                <c:pt idx="32">
                  <c:v>15108.45</c:v>
                </c:pt>
                <c:pt idx="33">
                  <c:v>16114.61</c:v>
                </c:pt>
                <c:pt idx="34">
                  <c:v>16949.41</c:v>
                </c:pt>
                <c:pt idx="35">
                  <c:v>17613.22</c:v>
                </c:pt>
                <c:pt idx="36">
                  <c:v>17985.75</c:v>
                </c:pt>
                <c:pt idx="37">
                  <c:v>18391.68</c:v>
                </c:pt>
                <c:pt idx="38">
                  <c:v>18628.05</c:v>
                </c:pt>
                <c:pt idx="39">
                  <c:v>18874.599999999999</c:v>
                </c:pt>
                <c:pt idx="40">
                  <c:v>19016.580000000002</c:v>
                </c:pt>
                <c:pt idx="41">
                  <c:v>19122.240000000002</c:v>
                </c:pt>
                <c:pt idx="42">
                  <c:v>19181.580000000002</c:v>
                </c:pt>
                <c:pt idx="43">
                  <c:v>19266.349999999999</c:v>
                </c:pt>
                <c:pt idx="44">
                  <c:v>19314.27</c:v>
                </c:pt>
              </c:numCache>
            </c:numRef>
          </c:val>
          <c:smooth val="0"/>
          <c:extLst>
            <c:ext xmlns:c16="http://schemas.microsoft.com/office/drawing/2014/chart" uri="{C3380CC4-5D6E-409C-BE32-E72D297353CC}">
              <c16:uniqueId val="{00000004-D41B-49A3-A743-35A0D5C18E08}"/>
            </c:ext>
          </c:extLst>
        </c:ser>
        <c:ser>
          <c:idx val="5"/>
          <c:order val="5"/>
          <c:tx>
            <c:strRef>
              <c:f>'50..800_F2amp'!$G$3:$G$4</c:f>
              <c:strCache>
                <c:ptCount val="1"/>
                <c:pt idx="0">
                  <c:v>D07</c:v>
                </c:pt>
              </c:strCache>
            </c:strRef>
          </c:tx>
          <c:spPr>
            <a:ln w="28575" cap="rnd">
              <a:solidFill>
                <a:schemeClr val="accent6"/>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'50..800_F2amp'!$G$5:$G$50</c:f>
              <c:numCache>
                <c:formatCode>General</c:formatCode>
                <c:ptCount val="45"/>
                <c:pt idx="0">
                  <c:v>6258.6</c:v>
                </c:pt>
                <c:pt idx="1">
                  <c:v>6374.38</c:v>
                </c:pt>
                <c:pt idx="2">
                  <c:v>6384.68</c:v>
                </c:pt>
                <c:pt idx="3">
                  <c:v>6391.56</c:v>
                </c:pt>
                <c:pt idx="4">
                  <c:v>6402.19</c:v>
                </c:pt>
                <c:pt idx="5">
                  <c:v>6411.13</c:v>
                </c:pt>
                <c:pt idx="6">
                  <c:v>6417.59</c:v>
                </c:pt>
                <c:pt idx="7">
                  <c:v>6422.14</c:v>
                </c:pt>
                <c:pt idx="8">
                  <c:v>6427.13</c:v>
                </c:pt>
                <c:pt idx="9">
                  <c:v>6432.1</c:v>
                </c:pt>
                <c:pt idx="10">
                  <c:v>6435.54</c:v>
                </c:pt>
                <c:pt idx="11">
                  <c:v>6437.98</c:v>
                </c:pt>
                <c:pt idx="12">
                  <c:v>6441.61</c:v>
                </c:pt>
                <c:pt idx="13">
                  <c:v>6443.29</c:v>
                </c:pt>
                <c:pt idx="14">
                  <c:v>6443.65</c:v>
                </c:pt>
                <c:pt idx="15">
                  <c:v>6443.7</c:v>
                </c:pt>
                <c:pt idx="16">
                  <c:v>6444.58</c:v>
                </c:pt>
                <c:pt idx="17">
                  <c:v>6447.13</c:v>
                </c:pt>
                <c:pt idx="18">
                  <c:v>6448.71</c:v>
                </c:pt>
                <c:pt idx="19">
                  <c:v>6455.34</c:v>
                </c:pt>
                <c:pt idx="20">
                  <c:v>6470.9</c:v>
                </c:pt>
                <c:pt idx="21">
                  <c:v>6505.4</c:v>
                </c:pt>
                <c:pt idx="22">
                  <c:v>6573.24</c:v>
                </c:pt>
                <c:pt idx="23">
                  <c:v>6700.16</c:v>
                </c:pt>
                <c:pt idx="24">
                  <c:v>6934.37</c:v>
                </c:pt>
                <c:pt idx="25">
                  <c:v>7337.06</c:v>
                </c:pt>
                <c:pt idx="26">
                  <c:v>7992.06</c:v>
                </c:pt>
                <c:pt idx="27">
                  <c:v>8893.49</c:v>
                </c:pt>
                <c:pt idx="28">
                  <c:v>10001.25</c:v>
                </c:pt>
                <c:pt idx="29">
                  <c:v>11240.89</c:v>
                </c:pt>
                <c:pt idx="30">
                  <c:v>12526.32</c:v>
                </c:pt>
                <c:pt idx="31">
                  <c:v>13777.22</c:v>
                </c:pt>
                <c:pt idx="32">
                  <c:v>14927.81</c:v>
                </c:pt>
                <c:pt idx="33">
                  <c:v>15941.36</c:v>
                </c:pt>
                <c:pt idx="34">
                  <c:v>16782.560000000001</c:v>
                </c:pt>
                <c:pt idx="35">
                  <c:v>17442.86</c:v>
                </c:pt>
                <c:pt idx="36">
                  <c:v>17813.7</c:v>
                </c:pt>
                <c:pt idx="37">
                  <c:v>18200.900000000001</c:v>
                </c:pt>
                <c:pt idx="38">
                  <c:v>18511.21</c:v>
                </c:pt>
                <c:pt idx="39">
                  <c:v>18685.28</c:v>
                </c:pt>
                <c:pt idx="40">
                  <c:v>18818.36</c:v>
                </c:pt>
                <c:pt idx="41">
                  <c:v>18962.41</c:v>
                </c:pt>
                <c:pt idx="42">
                  <c:v>19023.599999999999</c:v>
                </c:pt>
                <c:pt idx="43">
                  <c:v>19105.169999999998</c:v>
                </c:pt>
                <c:pt idx="44">
                  <c:v>19150.439999999999</c:v>
                </c:pt>
              </c:numCache>
            </c:numRef>
          </c:val>
          <c:smooth val="0"/>
          <c:extLst>
            <c:ext xmlns:c16="http://schemas.microsoft.com/office/drawing/2014/chart" uri="{C3380CC4-5D6E-409C-BE32-E72D297353CC}">
              <c16:uniqueId val="{00000005-D41B-49A3-A743-35A0D5C18E08}"/>
            </c:ext>
          </c:extLst>
        </c:ser>
        <c:ser>
          <c:idx val="6"/>
          <c:order val="6"/>
          <c:tx>
            <c:strRef>
              <c:f>'50..800_F2amp'!$H$3:$H$4</c:f>
              <c:strCache>
                <c:ptCount val="1"/>
                <c:pt idx="0">
                  <c:v>D08</c:v>
                </c:pt>
              </c:strCache>
            </c:strRef>
          </c:tx>
          <c:spPr>
            <a:ln w="28575" cap="rnd">
              <a:solidFill>
                <a:schemeClr val="accent1">
                  <a:lumMod val="6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'50..800_F2amp'!$H$5:$H$50</c:f>
              <c:numCache>
                <c:formatCode>General</c:formatCode>
                <c:ptCount val="45"/>
                <c:pt idx="0">
                  <c:v>6767.9</c:v>
                </c:pt>
                <c:pt idx="1">
                  <c:v>6818.11</c:v>
                </c:pt>
                <c:pt idx="2">
                  <c:v>6816.76</c:v>
                </c:pt>
                <c:pt idx="3">
                  <c:v>6816.83</c:v>
                </c:pt>
                <c:pt idx="4">
                  <c:v>6815.6</c:v>
                </c:pt>
                <c:pt idx="5">
                  <c:v>6813.88</c:v>
                </c:pt>
                <c:pt idx="6">
                  <c:v>6813.96</c:v>
                </c:pt>
                <c:pt idx="7">
                  <c:v>6812.83</c:v>
                </c:pt>
                <c:pt idx="8">
                  <c:v>6809.94</c:v>
                </c:pt>
                <c:pt idx="9">
                  <c:v>6808.43</c:v>
                </c:pt>
                <c:pt idx="10">
                  <c:v>6808.45</c:v>
                </c:pt>
                <c:pt idx="11">
                  <c:v>6808.19</c:v>
                </c:pt>
                <c:pt idx="12">
                  <c:v>6807.23</c:v>
                </c:pt>
                <c:pt idx="13">
                  <c:v>6804.45</c:v>
                </c:pt>
                <c:pt idx="14">
                  <c:v>6801.27</c:v>
                </c:pt>
                <c:pt idx="15">
                  <c:v>6796.85</c:v>
                </c:pt>
                <c:pt idx="16">
                  <c:v>6793.75</c:v>
                </c:pt>
                <c:pt idx="17">
                  <c:v>6791.73</c:v>
                </c:pt>
                <c:pt idx="18">
                  <c:v>6791.48</c:v>
                </c:pt>
                <c:pt idx="19">
                  <c:v>6796.29</c:v>
                </c:pt>
                <c:pt idx="20">
                  <c:v>6808.95</c:v>
                </c:pt>
                <c:pt idx="21">
                  <c:v>6839.98</c:v>
                </c:pt>
                <c:pt idx="22">
                  <c:v>6905.9</c:v>
                </c:pt>
                <c:pt idx="23">
                  <c:v>7030.86</c:v>
                </c:pt>
                <c:pt idx="24">
                  <c:v>7269.78</c:v>
                </c:pt>
                <c:pt idx="25">
                  <c:v>7688.74</c:v>
                </c:pt>
                <c:pt idx="26">
                  <c:v>8332.81</c:v>
                </c:pt>
                <c:pt idx="27">
                  <c:v>9239.23</c:v>
                </c:pt>
                <c:pt idx="28">
                  <c:v>10373.43</c:v>
                </c:pt>
                <c:pt idx="29">
                  <c:v>11647.67</c:v>
                </c:pt>
                <c:pt idx="30">
                  <c:v>12966.52</c:v>
                </c:pt>
                <c:pt idx="31">
                  <c:v>14266.64</c:v>
                </c:pt>
                <c:pt idx="32">
                  <c:v>15455.16</c:v>
                </c:pt>
                <c:pt idx="33">
                  <c:v>16480.7</c:v>
                </c:pt>
                <c:pt idx="34">
                  <c:v>17316.02</c:v>
                </c:pt>
                <c:pt idx="35">
                  <c:v>17979.009999999998</c:v>
                </c:pt>
                <c:pt idx="36">
                  <c:v>18355.43</c:v>
                </c:pt>
                <c:pt idx="37">
                  <c:v>18752.689999999999</c:v>
                </c:pt>
                <c:pt idx="38">
                  <c:v>18984.73</c:v>
                </c:pt>
                <c:pt idx="39">
                  <c:v>19157.21</c:v>
                </c:pt>
                <c:pt idx="40">
                  <c:v>19348.64</c:v>
                </c:pt>
                <c:pt idx="41">
                  <c:v>19458.89</c:v>
                </c:pt>
                <c:pt idx="42">
                  <c:v>19515.599999999999</c:v>
                </c:pt>
                <c:pt idx="43">
                  <c:v>19595.34</c:v>
                </c:pt>
                <c:pt idx="44">
                  <c:v>19640.22</c:v>
                </c:pt>
              </c:numCache>
            </c:numRef>
          </c:val>
          <c:smooth val="0"/>
          <c:extLst>
            <c:ext xmlns:c16="http://schemas.microsoft.com/office/drawing/2014/chart" uri="{C3380CC4-5D6E-409C-BE32-E72D297353CC}">
              <c16:uniqueId val="{00000006-D41B-49A3-A743-35A0D5C18E08}"/>
            </c:ext>
          </c:extLst>
        </c:ser>
        <c:ser>
          <c:idx val="7"/>
          <c:order val="7"/>
          <c:tx>
            <c:strRef>
              <c:f>'50..800_F2amp'!$I$3:$I$4</c:f>
              <c:strCache>
                <c:ptCount val="1"/>
                <c:pt idx="0">
                  <c:v>D09</c:v>
                </c:pt>
              </c:strCache>
            </c:strRef>
          </c:tx>
          <c:spPr>
            <a:ln w="28575" cap="rnd">
              <a:solidFill>
                <a:schemeClr val="accent2">
                  <a:lumMod val="6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'50..800_F2amp'!$I$5:$I$50</c:f>
              <c:numCache>
                <c:formatCode>General</c:formatCode>
                <c:ptCount val="45"/>
                <c:pt idx="0">
                  <c:v>6902.2</c:v>
                </c:pt>
                <c:pt idx="1">
                  <c:v>6949.39</c:v>
                </c:pt>
                <c:pt idx="2">
                  <c:v>6952.26</c:v>
                </c:pt>
                <c:pt idx="3">
                  <c:v>6953.89</c:v>
                </c:pt>
                <c:pt idx="4">
                  <c:v>6954.67</c:v>
                </c:pt>
                <c:pt idx="5">
                  <c:v>6956.6</c:v>
                </c:pt>
                <c:pt idx="6">
                  <c:v>6957.61</c:v>
                </c:pt>
                <c:pt idx="7">
                  <c:v>6958.88</c:v>
                </c:pt>
                <c:pt idx="8">
                  <c:v>6960.6</c:v>
                </c:pt>
                <c:pt idx="9">
                  <c:v>6962.47</c:v>
                </c:pt>
                <c:pt idx="10">
                  <c:v>6963.7</c:v>
                </c:pt>
                <c:pt idx="11">
                  <c:v>6963.73</c:v>
                </c:pt>
                <c:pt idx="12">
                  <c:v>6964.69</c:v>
                </c:pt>
                <c:pt idx="13">
                  <c:v>6966.15</c:v>
                </c:pt>
                <c:pt idx="14">
                  <c:v>6965.39</c:v>
                </c:pt>
                <c:pt idx="15">
                  <c:v>6964.17</c:v>
                </c:pt>
                <c:pt idx="16">
                  <c:v>6964.26</c:v>
                </c:pt>
                <c:pt idx="17">
                  <c:v>6963.79</c:v>
                </c:pt>
                <c:pt idx="18">
                  <c:v>6963.76</c:v>
                </c:pt>
                <c:pt idx="19">
                  <c:v>6969.99</c:v>
                </c:pt>
                <c:pt idx="20">
                  <c:v>6985.5</c:v>
                </c:pt>
                <c:pt idx="21">
                  <c:v>7019.68</c:v>
                </c:pt>
                <c:pt idx="22">
                  <c:v>7086.31</c:v>
                </c:pt>
                <c:pt idx="23">
                  <c:v>7214.99</c:v>
                </c:pt>
                <c:pt idx="24">
                  <c:v>7452.09</c:v>
                </c:pt>
                <c:pt idx="25">
                  <c:v>7864.98</c:v>
                </c:pt>
                <c:pt idx="26">
                  <c:v>8545.32</c:v>
                </c:pt>
                <c:pt idx="27">
                  <c:v>9484.75</c:v>
                </c:pt>
                <c:pt idx="28">
                  <c:v>10648.52</c:v>
                </c:pt>
                <c:pt idx="29">
                  <c:v>11997.07</c:v>
                </c:pt>
                <c:pt idx="30">
                  <c:v>13379.67</c:v>
                </c:pt>
                <c:pt idx="31">
                  <c:v>14707.79</c:v>
                </c:pt>
                <c:pt idx="32">
                  <c:v>15937.8</c:v>
                </c:pt>
                <c:pt idx="33">
                  <c:v>16992.009999999998</c:v>
                </c:pt>
                <c:pt idx="34">
                  <c:v>17857.93</c:v>
                </c:pt>
                <c:pt idx="35">
                  <c:v>18544.509999999998</c:v>
                </c:pt>
                <c:pt idx="36">
                  <c:v>19076.96</c:v>
                </c:pt>
                <c:pt idx="37">
                  <c:v>19375.8</c:v>
                </c:pt>
                <c:pt idx="38">
                  <c:v>19687.28</c:v>
                </c:pt>
                <c:pt idx="39">
                  <c:v>19867.43</c:v>
                </c:pt>
                <c:pt idx="40">
                  <c:v>19996.02</c:v>
                </c:pt>
                <c:pt idx="41">
                  <c:v>20098.580000000002</c:v>
                </c:pt>
                <c:pt idx="42">
                  <c:v>20154.29</c:v>
                </c:pt>
                <c:pt idx="43">
                  <c:v>20233.37</c:v>
                </c:pt>
                <c:pt idx="44">
                  <c:v>20277.990000000002</c:v>
                </c:pt>
              </c:numCache>
            </c:numRef>
          </c:val>
          <c:smooth val="0"/>
          <c:extLst>
            <c:ext xmlns:c16="http://schemas.microsoft.com/office/drawing/2014/chart" uri="{C3380CC4-5D6E-409C-BE32-E72D297353CC}">
              <c16:uniqueId val="{00000007-D41B-49A3-A743-35A0D5C18E08}"/>
            </c:ext>
          </c:extLst>
        </c:ser>
        <c:ser>
          <c:idx val="8"/>
          <c:order val="8"/>
          <c:tx>
            <c:strRef>
              <c:f>'50..800_F2amp'!$J$3:$J$4</c:f>
              <c:strCache>
                <c:ptCount val="1"/>
                <c:pt idx="0">
                  <c:v>D10</c:v>
                </c:pt>
              </c:strCache>
            </c:strRef>
          </c:tx>
          <c:spPr>
            <a:ln w="28575" cap="rnd">
              <a:solidFill>
                <a:schemeClr val="accent3">
                  <a:lumMod val="6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'50..800_F2amp'!$J$5:$J$50</c:f>
              <c:numCache>
                <c:formatCode>General</c:formatCode>
                <c:ptCount val="45"/>
                <c:pt idx="0">
                  <c:v>6686.9</c:v>
                </c:pt>
                <c:pt idx="1">
                  <c:v>6732.56</c:v>
                </c:pt>
                <c:pt idx="2">
                  <c:v>6729.57</c:v>
                </c:pt>
                <c:pt idx="3">
                  <c:v>6729.64</c:v>
                </c:pt>
                <c:pt idx="4">
                  <c:v>6729.69</c:v>
                </c:pt>
                <c:pt idx="5">
                  <c:v>6730.73</c:v>
                </c:pt>
                <c:pt idx="6">
                  <c:v>6731.24</c:v>
                </c:pt>
                <c:pt idx="7">
                  <c:v>6731.93</c:v>
                </c:pt>
                <c:pt idx="8">
                  <c:v>6734.15</c:v>
                </c:pt>
                <c:pt idx="9">
                  <c:v>6737.21</c:v>
                </c:pt>
                <c:pt idx="10">
                  <c:v>6739.87</c:v>
                </c:pt>
                <c:pt idx="11">
                  <c:v>6739.43</c:v>
                </c:pt>
                <c:pt idx="12">
                  <c:v>6738.51</c:v>
                </c:pt>
                <c:pt idx="13">
                  <c:v>6738.72</c:v>
                </c:pt>
                <c:pt idx="14">
                  <c:v>6738.33</c:v>
                </c:pt>
                <c:pt idx="15">
                  <c:v>6737.59</c:v>
                </c:pt>
                <c:pt idx="16">
                  <c:v>6734.82</c:v>
                </c:pt>
                <c:pt idx="17">
                  <c:v>6732.37</c:v>
                </c:pt>
                <c:pt idx="18">
                  <c:v>6733.93</c:v>
                </c:pt>
                <c:pt idx="19">
                  <c:v>6740.44</c:v>
                </c:pt>
                <c:pt idx="20">
                  <c:v>6753.88</c:v>
                </c:pt>
                <c:pt idx="21">
                  <c:v>6784.57</c:v>
                </c:pt>
                <c:pt idx="22">
                  <c:v>6846.98</c:v>
                </c:pt>
                <c:pt idx="23">
                  <c:v>6966.7</c:v>
                </c:pt>
                <c:pt idx="24">
                  <c:v>7191.39</c:v>
                </c:pt>
                <c:pt idx="25">
                  <c:v>7587.48</c:v>
                </c:pt>
                <c:pt idx="26">
                  <c:v>8243.2199999999993</c:v>
                </c:pt>
                <c:pt idx="27">
                  <c:v>9159.17</c:v>
                </c:pt>
                <c:pt idx="28">
                  <c:v>10283.48</c:v>
                </c:pt>
                <c:pt idx="29">
                  <c:v>11612.27</c:v>
                </c:pt>
                <c:pt idx="30">
                  <c:v>12982.76</c:v>
                </c:pt>
                <c:pt idx="31">
                  <c:v>14305.61</c:v>
                </c:pt>
                <c:pt idx="32">
                  <c:v>15527.81</c:v>
                </c:pt>
                <c:pt idx="33">
                  <c:v>16575.64</c:v>
                </c:pt>
                <c:pt idx="34">
                  <c:v>17438.87</c:v>
                </c:pt>
                <c:pt idx="35">
                  <c:v>18127.07</c:v>
                </c:pt>
                <c:pt idx="36">
                  <c:v>18515.82</c:v>
                </c:pt>
                <c:pt idx="37">
                  <c:v>18936.73</c:v>
                </c:pt>
                <c:pt idx="38">
                  <c:v>19184.16</c:v>
                </c:pt>
                <c:pt idx="39">
                  <c:v>19366.89</c:v>
                </c:pt>
                <c:pt idx="40">
                  <c:v>19566.43</c:v>
                </c:pt>
                <c:pt idx="41">
                  <c:v>19682.099999999999</c:v>
                </c:pt>
                <c:pt idx="42">
                  <c:v>19740.52</c:v>
                </c:pt>
                <c:pt idx="43">
                  <c:v>19822.419999999998</c:v>
                </c:pt>
                <c:pt idx="44">
                  <c:v>19868.490000000002</c:v>
                </c:pt>
              </c:numCache>
            </c:numRef>
          </c:val>
          <c:smooth val="0"/>
          <c:extLst>
            <c:ext xmlns:c16="http://schemas.microsoft.com/office/drawing/2014/chart" uri="{C3380CC4-5D6E-409C-BE32-E72D297353CC}">
              <c16:uniqueId val="{00000008-D41B-49A3-A743-35A0D5C18E08}"/>
            </c:ext>
          </c:extLst>
        </c:ser>
        <c:ser>
          <c:idx val="9"/>
          <c:order val="9"/>
          <c:tx>
            <c:strRef>
              <c:f>'50..800_F2amp'!$K$3:$K$4</c:f>
              <c:strCache>
                <c:ptCount val="1"/>
                <c:pt idx="0">
                  <c:v>D11</c:v>
                </c:pt>
              </c:strCache>
            </c:strRef>
          </c:tx>
          <c:spPr>
            <a:ln w="28575" cap="rnd">
              <a:solidFill>
                <a:schemeClr val="accent4">
                  <a:lumMod val="6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'50..800_F2amp'!$K$5:$K$50</c:f>
              <c:numCache>
                <c:formatCode>General</c:formatCode>
                <c:ptCount val="45"/>
                <c:pt idx="0">
                  <c:v>5940.5</c:v>
                </c:pt>
                <c:pt idx="1">
                  <c:v>5947.21</c:v>
                </c:pt>
                <c:pt idx="2">
                  <c:v>5946.9</c:v>
                </c:pt>
                <c:pt idx="3">
                  <c:v>5945.86</c:v>
                </c:pt>
                <c:pt idx="4">
                  <c:v>5945.54</c:v>
                </c:pt>
                <c:pt idx="5">
                  <c:v>5944.97</c:v>
                </c:pt>
                <c:pt idx="6">
                  <c:v>5944.51</c:v>
                </c:pt>
                <c:pt idx="7">
                  <c:v>5943.59</c:v>
                </c:pt>
                <c:pt idx="8">
                  <c:v>5943.53</c:v>
                </c:pt>
                <c:pt idx="9">
                  <c:v>5942.33</c:v>
                </c:pt>
                <c:pt idx="10">
                  <c:v>5940.51</c:v>
                </c:pt>
                <c:pt idx="11">
                  <c:v>5939.77</c:v>
                </c:pt>
                <c:pt idx="12">
                  <c:v>5939.06</c:v>
                </c:pt>
                <c:pt idx="13">
                  <c:v>5937.32</c:v>
                </c:pt>
                <c:pt idx="14">
                  <c:v>5934.78</c:v>
                </c:pt>
                <c:pt idx="15">
                  <c:v>5933.8</c:v>
                </c:pt>
                <c:pt idx="16">
                  <c:v>5931.65</c:v>
                </c:pt>
                <c:pt idx="17">
                  <c:v>5929.55</c:v>
                </c:pt>
                <c:pt idx="18">
                  <c:v>5931.12</c:v>
                </c:pt>
                <c:pt idx="19">
                  <c:v>5937.07</c:v>
                </c:pt>
                <c:pt idx="20">
                  <c:v>5948.77</c:v>
                </c:pt>
                <c:pt idx="21">
                  <c:v>5974.17</c:v>
                </c:pt>
                <c:pt idx="22">
                  <c:v>6029.26</c:v>
                </c:pt>
                <c:pt idx="23">
                  <c:v>6131.73</c:v>
                </c:pt>
                <c:pt idx="24">
                  <c:v>6325.51</c:v>
                </c:pt>
                <c:pt idx="25">
                  <c:v>6667.61</c:v>
                </c:pt>
                <c:pt idx="26">
                  <c:v>7218.64</c:v>
                </c:pt>
                <c:pt idx="27">
                  <c:v>8005.98</c:v>
                </c:pt>
                <c:pt idx="28">
                  <c:v>9022.17</c:v>
                </c:pt>
                <c:pt idx="29">
                  <c:v>10179.26</c:v>
                </c:pt>
                <c:pt idx="30">
                  <c:v>11357.76</c:v>
                </c:pt>
                <c:pt idx="31">
                  <c:v>12513.46</c:v>
                </c:pt>
                <c:pt idx="32">
                  <c:v>13575.59</c:v>
                </c:pt>
                <c:pt idx="33">
                  <c:v>14487.1</c:v>
                </c:pt>
                <c:pt idx="34">
                  <c:v>15240.24</c:v>
                </c:pt>
                <c:pt idx="35">
                  <c:v>15838.53</c:v>
                </c:pt>
                <c:pt idx="36">
                  <c:v>16303.09</c:v>
                </c:pt>
                <c:pt idx="37">
                  <c:v>16564.59</c:v>
                </c:pt>
                <c:pt idx="38">
                  <c:v>16836.689999999999</c:v>
                </c:pt>
                <c:pt idx="39">
                  <c:v>16993.330000000002</c:v>
                </c:pt>
                <c:pt idx="40">
                  <c:v>17109.689999999999</c:v>
                </c:pt>
                <c:pt idx="41">
                  <c:v>17232.02</c:v>
                </c:pt>
                <c:pt idx="42">
                  <c:v>17284.55</c:v>
                </c:pt>
                <c:pt idx="43">
                  <c:v>17354.87</c:v>
                </c:pt>
                <c:pt idx="44">
                  <c:v>17393.939999999999</c:v>
                </c:pt>
              </c:numCache>
            </c:numRef>
          </c:val>
          <c:smooth val="0"/>
          <c:extLst>
            <c:ext xmlns:c16="http://schemas.microsoft.com/office/drawing/2014/chart" uri="{C3380CC4-5D6E-409C-BE32-E72D297353CC}">
              <c16:uniqueId val="{00000009-D41B-49A3-A743-35A0D5C18E08}"/>
            </c:ext>
          </c:extLst>
        </c:ser>
        <c:ser>
          <c:idx val="10"/>
          <c:order val="10"/>
          <c:tx>
            <c:strRef>
              <c:f>'50..800_F2amp'!$L$3:$L$4</c:f>
              <c:strCache>
                <c:ptCount val="1"/>
                <c:pt idx="0">
                  <c:v>D12</c:v>
                </c:pt>
              </c:strCache>
            </c:strRef>
          </c:tx>
          <c:spPr>
            <a:ln w="28575" cap="rnd">
              <a:solidFill>
                <a:schemeClr val="accent5">
                  <a:lumMod val="6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'50..800_F2amp'!$L$5:$L$50</c:f>
              <c:numCache>
                <c:formatCode>General</c:formatCode>
                <c:ptCount val="45"/>
                <c:pt idx="0">
                  <c:v>5839.8</c:v>
                </c:pt>
                <c:pt idx="1">
                  <c:v>5785.45</c:v>
                </c:pt>
                <c:pt idx="2">
                  <c:v>5776.85</c:v>
                </c:pt>
                <c:pt idx="3">
                  <c:v>5766.15</c:v>
                </c:pt>
                <c:pt idx="4">
                  <c:v>5759.12</c:v>
                </c:pt>
                <c:pt idx="5">
                  <c:v>5754.12</c:v>
                </c:pt>
                <c:pt idx="6">
                  <c:v>5749.33</c:v>
                </c:pt>
                <c:pt idx="7">
                  <c:v>5743.04</c:v>
                </c:pt>
                <c:pt idx="8">
                  <c:v>5735.11</c:v>
                </c:pt>
                <c:pt idx="9">
                  <c:v>5726.96</c:v>
                </c:pt>
                <c:pt idx="10">
                  <c:v>5720.98</c:v>
                </c:pt>
                <c:pt idx="11">
                  <c:v>5716.23</c:v>
                </c:pt>
                <c:pt idx="12">
                  <c:v>5709.97</c:v>
                </c:pt>
                <c:pt idx="13">
                  <c:v>5704.45</c:v>
                </c:pt>
                <c:pt idx="14">
                  <c:v>5695.71</c:v>
                </c:pt>
                <c:pt idx="15">
                  <c:v>5685.04</c:v>
                </c:pt>
                <c:pt idx="16">
                  <c:v>5674.86</c:v>
                </c:pt>
                <c:pt idx="17">
                  <c:v>5666.77</c:v>
                </c:pt>
                <c:pt idx="18">
                  <c:v>5666.21</c:v>
                </c:pt>
                <c:pt idx="19">
                  <c:v>5667.69</c:v>
                </c:pt>
                <c:pt idx="20">
                  <c:v>5676.34</c:v>
                </c:pt>
                <c:pt idx="21">
                  <c:v>5698.78</c:v>
                </c:pt>
                <c:pt idx="22">
                  <c:v>5751.08</c:v>
                </c:pt>
                <c:pt idx="23">
                  <c:v>5855.37</c:v>
                </c:pt>
                <c:pt idx="24">
                  <c:v>6051.16</c:v>
                </c:pt>
                <c:pt idx="25">
                  <c:v>6395.63</c:v>
                </c:pt>
                <c:pt idx="26">
                  <c:v>6959.17</c:v>
                </c:pt>
                <c:pt idx="27">
                  <c:v>7729.53</c:v>
                </c:pt>
                <c:pt idx="28">
                  <c:v>8676.2800000000007</c:v>
                </c:pt>
                <c:pt idx="29">
                  <c:v>9745.1</c:v>
                </c:pt>
                <c:pt idx="30">
                  <c:v>10858.62</c:v>
                </c:pt>
                <c:pt idx="31">
                  <c:v>11938.93</c:v>
                </c:pt>
                <c:pt idx="32">
                  <c:v>12931.34</c:v>
                </c:pt>
                <c:pt idx="33">
                  <c:v>13796.03</c:v>
                </c:pt>
                <c:pt idx="34">
                  <c:v>14529.23</c:v>
                </c:pt>
                <c:pt idx="35">
                  <c:v>15106.13</c:v>
                </c:pt>
                <c:pt idx="36">
                  <c:v>15445.71</c:v>
                </c:pt>
                <c:pt idx="37">
                  <c:v>15801.45</c:v>
                </c:pt>
                <c:pt idx="38">
                  <c:v>16008.94</c:v>
                </c:pt>
                <c:pt idx="39">
                  <c:v>16231.38</c:v>
                </c:pt>
                <c:pt idx="40">
                  <c:v>16410.759999999998</c:v>
                </c:pt>
                <c:pt idx="41">
                  <c:v>16513.95</c:v>
                </c:pt>
                <c:pt idx="42">
                  <c:v>16566.68</c:v>
                </c:pt>
                <c:pt idx="43">
                  <c:v>16640.93</c:v>
                </c:pt>
                <c:pt idx="44">
                  <c:v>16682.75</c:v>
                </c:pt>
              </c:numCache>
            </c:numRef>
          </c:val>
          <c:smooth val="0"/>
          <c:extLst>
            <c:ext xmlns:c16="http://schemas.microsoft.com/office/drawing/2014/chart" uri="{C3380CC4-5D6E-409C-BE32-E72D297353CC}">
              <c16:uniqueId val="{0000000A-D41B-49A3-A743-35A0D5C18E08}"/>
            </c:ext>
          </c:extLst>
        </c:ser>
        <c:ser>
          <c:idx val="11"/>
          <c:order val="11"/>
          <c:tx>
            <c:strRef>
              <c:f>'50..800_F2amp'!$M$3:$M$4</c:f>
              <c:strCache>
                <c:ptCount val="1"/>
                <c:pt idx="0">
                  <c:v>E02</c:v>
                </c:pt>
              </c:strCache>
            </c:strRef>
          </c:tx>
          <c:spPr>
            <a:ln w="28575" cap="rnd">
              <a:solidFill>
                <a:schemeClr val="accent6">
                  <a:lumMod val="6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'50..800_F2amp'!$M$5:$M$50</c:f>
              <c:numCache>
                <c:formatCode>General</c:formatCode>
                <c:ptCount val="45"/>
                <c:pt idx="0">
                  <c:v>6022.3</c:v>
                </c:pt>
                <c:pt idx="1">
                  <c:v>6047.36</c:v>
                </c:pt>
                <c:pt idx="2">
                  <c:v>6057.46</c:v>
                </c:pt>
                <c:pt idx="3">
                  <c:v>6066.48</c:v>
                </c:pt>
                <c:pt idx="4">
                  <c:v>6075.04</c:v>
                </c:pt>
                <c:pt idx="5">
                  <c:v>6080.66</c:v>
                </c:pt>
                <c:pt idx="6">
                  <c:v>6087.51</c:v>
                </c:pt>
                <c:pt idx="7">
                  <c:v>6094.48</c:v>
                </c:pt>
                <c:pt idx="8">
                  <c:v>6101.7</c:v>
                </c:pt>
                <c:pt idx="9">
                  <c:v>6105.78</c:v>
                </c:pt>
                <c:pt idx="10">
                  <c:v>6109.01</c:v>
                </c:pt>
                <c:pt idx="11">
                  <c:v>6113.25</c:v>
                </c:pt>
                <c:pt idx="12">
                  <c:v>6118.04</c:v>
                </c:pt>
                <c:pt idx="13">
                  <c:v>6121.62</c:v>
                </c:pt>
                <c:pt idx="14">
                  <c:v>6126.21</c:v>
                </c:pt>
                <c:pt idx="15">
                  <c:v>6128.12</c:v>
                </c:pt>
                <c:pt idx="16">
                  <c:v>6130.69</c:v>
                </c:pt>
                <c:pt idx="17">
                  <c:v>6130.8</c:v>
                </c:pt>
                <c:pt idx="18">
                  <c:v>6136.04</c:v>
                </c:pt>
                <c:pt idx="19">
                  <c:v>6146.12</c:v>
                </c:pt>
                <c:pt idx="20">
                  <c:v>6161.94</c:v>
                </c:pt>
                <c:pt idx="21">
                  <c:v>6192.58</c:v>
                </c:pt>
                <c:pt idx="22">
                  <c:v>6254.93</c:v>
                </c:pt>
                <c:pt idx="23">
                  <c:v>6370.11</c:v>
                </c:pt>
                <c:pt idx="24">
                  <c:v>6584.98</c:v>
                </c:pt>
                <c:pt idx="25">
                  <c:v>6961.11</c:v>
                </c:pt>
                <c:pt idx="26">
                  <c:v>7559.84</c:v>
                </c:pt>
                <c:pt idx="27">
                  <c:v>8407.2000000000007</c:v>
                </c:pt>
                <c:pt idx="28">
                  <c:v>9484.94</c:v>
                </c:pt>
                <c:pt idx="29">
                  <c:v>10678.78</c:v>
                </c:pt>
                <c:pt idx="30">
                  <c:v>11914.6</c:v>
                </c:pt>
                <c:pt idx="31">
                  <c:v>13115.12</c:v>
                </c:pt>
                <c:pt idx="32">
                  <c:v>14214.32</c:v>
                </c:pt>
                <c:pt idx="33">
                  <c:v>15184.74</c:v>
                </c:pt>
                <c:pt idx="34">
                  <c:v>15992.29</c:v>
                </c:pt>
                <c:pt idx="35">
                  <c:v>16618.91</c:v>
                </c:pt>
                <c:pt idx="36">
                  <c:v>16987.12</c:v>
                </c:pt>
                <c:pt idx="37">
                  <c:v>17381.310000000001</c:v>
                </c:pt>
                <c:pt idx="38">
                  <c:v>17608.29</c:v>
                </c:pt>
                <c:pt idx="39">
                  <c:v>17853.11</c:v>
                </c:pt>
                <c:pt idx="40">
                  <c:v>17995.07</c:v>
                </c:pt>
                <c:pt idx="41">
                  <c:v>18136.439999999999</c:v>
                </c:pt>
                <c:pt idx="42">
                  <c:v>18196.240000000002</c:v>
                </c:pt>
                <c:pt idx="43">
                  <c:v>18276.2</c:v>
                </c:pt>
                <c:pt idx="44">
                  <c:v>18320.62</c:v>
                </c:pt>
              </c:numCache>
            </c:numRef>
          </c:val>
          <c:smooth val="0"/>
          <c:extLst>
            <c:ext xmlns:c16="http://schemas.microsoft.com/office/drawing/2014/chart" uri="{C3380CC4-5D6E-409C-BE32-E72D297353CC}">
              <c16:uniqueId val="{0000000B-D41B-49A3-A743-35A0D5C18E08}"/>
            </c:ext>
          </c:extLst>
        </c:ser>
        <c:ser>
          <c:idx val="12"/>
          <c:order val="12"/>
          <c:tx>
            <c:strRef>
              <c:f>'50..800_F2amp'!$N$3:$N$4</c:f>
              <c:strCache>
                <c:ptCount val="1"/>
                <c:pt idx="0">
                  <c:v>E03</c:v>
                </c:pt>
              </c:strCache>
            </c:strRef>
          </c:tx>
          <c:spPr>
            <a:ln w="28575" cap="rnd">
              <a:solidFill>
                <a:schemeClr val="accent1">
                  <a:lumMod val="80000"/>
                  <a:lumOff val="2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'50..800_F2amp'!$N$5:$N$50</c:f>
              <c:numCache>
                <c:formatCode>General</c:formatCode>
                <c:ptCount val="45"/>
                <c:pt idx="0">
                  <c:v>5922.8</c:v>
                </c:pt>
                <c:pt idx="1">
                  <c:v>5972.14</c:v>
                </c:pt>
                <c:pt idx="2">
                  <c:v>5983.27</c:v>
                </c:pt>
                <c:pt idx="3">
                  <c:v>5992.04</c:v>
                </c:pt>
                <c:pt idx="4">
                  <c:v>6004.79</c:v>
                </c:pt>
                <c:pt idx="5">
                  <c:v>6014.81</c:v>
                </c:pt>
                <c:pt idx="6">
                  <c:v>6022.23</c:v>
                </c:pt>
                <c:pt idx="7">
                  <c:v>6030.3</c:v>
                </c:pt>
                <c:pt idx="8">
                  <c:v>6035.48</c:v>
                </c:pt>
                <c:pt idx="9">
                  <c:v>6042.88</c:v>
                </c:pt>
                <c:pt idx="10">
                  <c:v>6048.56</c:v>
                </c:pt>
                <c:pt idx="11">
                  <c:v>6055.27</c:v>
                </c:pt>
                <c:pt idx="12">
                  <c:v>6060.27</c:v>
                </c:pt>
                <c:pt idx="13">
                  <c:v>6065.02</c:v>
                </c:pt>
                <c:pt idx="14">
                  <c:v>6070.79</c:v>
                </c:pt>
                <c:pt idx="15">
                  <c:v>6072.62</c:v>
                </c:pt>
                <c:pt idx="16">
                  <c:v>6074.8</c:v>
                </c:pt>
                <c:pt idx="17">
                  <c:v>6074.54</c:v>
                </c:pt>
                <c:pt idx="18">
                  <c:v>6075.44</c:v>
                </c:pt>
                <c:pt idx="19">
                  <c:v>6082.79</c:v>
                </c:pt>
                <c:pt idx="20">
                  <c:v>6099.45</c:v>
                </c:pt>
                <c:pt idx="21">
                  <c:v>6132.18</c:v>
                </c:pt>
                <c:pt idx="22">
                  <c:v>6195.68</c:v>
                </c:pt>
                <c:pt idx="23">
                  <c:v>6316.44</c:v>
                </c:pt>
                <c:pt idx="24">
                  <c:v>6530.48</c:v>
                </c:pt>
                <c:pt idx="25">
                  <c:v>6900.3</c:v>
                </c:pt>
                <c:pt idx="26">
                  <c:v>7486.33</c:v>
                </c:pt>
                <c:pt idx="27">
                  <c:v>8316.67</c:v>
                </c:pt>
                <c:pt idx="28">
                  <c:v>9330.15</c:v>
                </c:pt>
                <c:pt idx="29">
                  <c:v>10489.36</c:v>
                </c:pt>
                <c:pt idx="30">
                  <c:v>11717.6</c:v>
                </c:pt>
                <c:pt idx="31">
                  <c:v>12896.8</c:v>
                </c:pt>
                <c:pt idx="32">
                  <c:v>13974.58</c:v>
                </c:pt>
                <c:pt idx="33">
                  <c:v>14911.65</c:v>
                </c:pt>
                <c:pt idx="34">
                  <c:v>15695.93</c:v>
                </c:pt>
                <c:pt idx="35">
                  <c:v>16328.06</c:v>
                </c:pt>
                <c:pt idx="36">
                  <c:v>16821.39</c:v>
                </c:pt>
                <c:pt idx="37">
                  <c:v>17098.759999999998</c:v>
                </c:pt>
                <c:pt idx="38">
                  <c:v>17391.29</c:v>
                </c:pt>
                <c:pt idx="39">
                  <c:v>17632.8</c:v>
                </c:pt>
                <c:pt idx="40">
                  <c:v>17771.62</c:v>
                </c:pt>
                <c:pt idx="41">
                  <c:v>17903.560000000001</c:v>
                </c:pt>
                <c:pt idx="42">
                  <c:v>17959.490000000002</c:v>
                </c:pt>
                <c:pt idx="43">
                  <c:v>18034.27</c:v>
                </c:pt>
                <c:pt idx="44">
                  <c:v>18075.810000000001</c:v>
                </c:pt>
              </c:numCache>
            </c:numRef>
          </c:val>
          <c:smooth val="0"/>
          <c:extLst>
            <c:ext xmlns:c16="http://schemas.microsoft.com/office/drawing/2014/chart" uri="{C3380CC4-5D6E-409C-BE32-E72D297353CC}">
              <c16:uniqueId val="{0000000C-D41B-49A3-A743-35A0D5C18E08}"/>
            </c:ext>
          </c:extLst>
        </c:ser>
        <c:ser>
          <c:idx val="13"/>
          <c:order val="13"/>
          <c:tx>
            <c:strRef>
              <c:f>'50..800_F2amp'!$O$3:$O$4</c:f>
              <c:strCache>
                <c:ptCount val="1"/>
                <c:pt idx="0">
                  <c:v>E04</c:v>
                </c:pt>
              </c:strCache>
            </c:strRef>
          </c:tx>
          <c:spPr>
            <a:ln w="28575" cap="rnd">
              <a:solidFill>
                <a:schemeClr val="accent2">
                  <a:lumMod val="80000"/>
                  <a:lumOff val="2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'50..800_F2amp'!$O$5:$O$50</c:f>
              <c:numCache>
                <c:formatCode>General</c:formatCode>
                <c:ptCount val="45"/>
                <c:pt idx="0">
                  <c:v>6250.7</c:v>
                </c:pt>
                <c:pt idx="1">
                  <c:v>6310.44</c:v>
                </c:pt>
                <c:pt idx="2">
                  <c:v>6317.28</c:v>
                </c:pt>
                <c:pt idx="3">
                  <c:v>6325.44</c:v>
                </c:pt>
                <c:pt idx="4">
                  <c:v>6335.61</c:v>
                </c:pt>
                <c:pt idx="5">
                  <c:v>6345.73</c:v>
                </c:pt>
                <c:pt idx="6">
                  <c:v>6357.54</c:v>
                </c:pt>
                <c:pt idx="7">
                  <c:v>6365.51</c:v>
                </c:pt>
                <c:pt idx="8">
                  <c:v>6374.87</c:v>
                </c:pt>
                <c:pt idx="9">
                  <c:v>6383.99</c:v>
                </c:pt>
                <c:pt idx="10">
                  <c:v>6392.17</c:v>
                </c:pt>
                <c:pt idx="11">
                  <c:v>6399.16</c:v>
                </c:pt>
                <c:pt idx="12">
                  <c:v>6403.13</c:v>
                </c:pt>
                <c:pt idx="13">
                  <c:v>6407.4</c:v>
                </c:pt>
                <c:pt idx="14">
                  <c:v>6410.89</c:v>
                </c:pt>
                <c:pt idx="15">
                  <c:v>6411.08</c:v>
                </c:pt>
                <c:pt idx="16">
                  <c:v>6411.05</c:v>
                </c:pt>
                <c:pt idx="17">
                  <c:v>6411.41</c:v>
                </c:pt>
                <c:pt idx="18">
                  <c:v>6416.19</c:v>
                </c:pt>
                <c:pt idx="19">
                  <c:v>6424.77</c:v>
                </c:pt>
                <c:pt idx="20">
                  <c:v>6440.95</c:v>
                </c:pt>
                <c:pt idx="21">
                  <c:v>6471.85</c:v>
                </c:pt>
                <c:pt idx="22">
                  <c:v>6533.84</c:v>
                </c:pt>
                <c:pt idx="23">
                  <c:v>6656.35</c:v>
                </c:pt>
                <c:pt idx="24">
                  <c:v>6879.3</c:v>
                </c:pt>
                <c:pt idx="25">
                  <c:v>7267.16</c:v>
                </c:pt>
                <c:pt idx="26">
                  <c:v>7898.6</c:v>
                </c:pt>
                <c:pt idx="27">
                  <c:v>8766.4599999999991</c:v>
                </c:pt>
                <c:pt idx="28">
                  <c:v>9860.56</c:v>
                </c:pt>
                <c:pt idx="29">
                  <c:v>11066.19</c:v>
                </c:pt>
                <c:pt idx="30">
                  <c:v>12308.46</c:v>
                </c:pt>
                <c:pt idx="31">
                  <c:v>13516.03</c:v>
                </c:pt>
                <c:pt idx="32">
                  <c:v>14625.45</c:v>
                </c:pt>
                <c:pt idx="33">
                  <c:v>15593.34</c:v>
                </c:pt>
                <c:pt idx="34">
                  <c:v>16404.73</c:v>
                </c:pt>
                <c:pt idx="35">
                  <c:v>17055.7</c:v>
                </c:pt>
                <c:pt idx="36">
                  <c:v>17421.61</c:v>
                </c:pt>
                <c:pt idx="37">
                  <c:v>17816.12</c:v>
                </c:pt>
                <c:pt idx="38">
                  <c:v>18049.169999999998</c:v>
                </c:pt>
                <c:pt idx="39">
                  <c:v>18297.77</c:v>
                </c:pt>
                <c:pt idx="40">
                  <c:v>18441.46</c:v>
                </c:pt>
                <c:pt idx="41">
                  <c:v>18592.689999999999</c:v>
                </c:pt>
                <c:pt idx="42">
                  <c:v>18656.650000000001</c:v>
                </c:pt>
                <c:pt idx="43">
                  <c:v>18741.919999999998</c:v>
                </c:pt>
                <c:pt idx="44">
                  <c:v>18789.259999999998</c:v>
                </c:pt>
              </c:numCache>
            </c:numRef>
          </c:val>
          <c:smooth val="0"/>
          <c:extLst>
            <c:ext xmlns:c16="http://schemas.microsoft.com/office/drawing/2014/chart" uri="{C3380CC4-5D6E-409C-BE32-E72D297353CC}">
              <c16:uniqueId val="{0000000D-D41B-49A3-A743-35A0D5C18E08}"/>
            </c:ext>
          </c:extLst>
        </c:ser>
        <c:ser>
          <c:idx val="14"/>
          <c:order val="14"/>
          <c:tx>
            <c:strRef>
              <c:f>'50..800_F2amp'!$P$3:$P$4</c:f>
              <c:strCache>
                <c:ptCount val="1"/>
                <c:pt idx="0">
                  <c:v>E05</c:v>
                </c:pt>
              </c:strCache>
            </c:strRef>
          </c:tx>
          <c:spPr>
            <a:ln w="28575" cap="rnd">
              <a:solidFill>
                <a:schemeClr val="accent3">
                  <a:lumMod val="80000"/>
                  <a:lumOff val="2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'50..800_F2amp'!$P$5:$P$50</c:f>
              <c:numCache>
                <c:formatCode>General</c:formatCode>
                <c:ptCount val="45"/>
                <c:pt idx="0">
                  <c:v>6364.7</c:v>
                </c:pt>
                <c:pt idx="1">
                  <c:v>6405.01</c:v>
                </c:pt>
                <c:pt idx="2">
                  <c:v>6406.74</c:v>
                </c:pt>
                <c:pt idx="3">
                  <c:v>6411.65</c:v>
                </c:pt>
                <c:pt idx="4">
                  <c:v>6417.8</c:v>
                </c:pt>
                <c:pt idx="5">
                  <c:v>6425.73</c:v>
                </c:pt>
                <c:pt idx="6">
                  <c:v>6430.93</c:v>
                </c:pt>
                <c:pt idx="7">
                  <c:v>6434.82</c:v>
                </c:pt>
                <c:pt idx="8">
                  <c:v>6438.06</c:v>
                </c:pt>
                <c:pt idx="9">
                  <c:v>6442.3</c:v>
                </c:pt>
                <c:pt idx="10">
                  <c:v>6447.89</c:v>
                </c:pt>
                <c:pt idx="11">
                  <c:v>6452.26</c:v>
                </c:pt>
                <c:pt idx="12">
                  <c:v>6454.29</c:v>
                </c:pt>
                <c:pt idx="13">
                  <c:v>6456.99</c:v>
                </c:pt>
                <c:pt idx="14">
                  <c:v>6456.94</c:v>
                </c:pt>
                <c:pt idx="15">
                  <c:v>6457.56</c:v>
                </c:pt>
                <c:pt idx="16">
                  <c:v>6458.99</c:v>
                </c:pt>
                <c:pt idx="17">
                  <c:v>6459.33</c:v>
                </c:pt>
                <c:pt idx="18">
                  <c:v>6461.92</c:v>
                </c:pt>
                <c:pt idx="19">
                  <c:v>6469.76</c:v>
                </c:pt>
                <c:pt idx="20">
                  <c:v>6485.08</c:v>
                </c:pt>
                <c:pt idx="21">
                  <c:v>6517.34</c:v>
                </c:pt>
                <c:pt idx="22">
                  <c:v>6583.82</c:v>
                </c:pt>
                <c:pt idx="23">
                  <c:v>6708.55</c:v>
                </c:pt>
                <c:pt idx="24">
                  <c:v>6936.6</c:v>
                </c:pt>
                <c:pt idx="25">
                  <c:v>7333.77</c:v>
                </c:pt>
                <c:pt idx="26">
                  <c:v>7978.95</c:v>
                </c:pt>
                <c:pt idx="27">
                  <c:v>8867.92</c:v>
                </c:pt>
                <c:pt idx="28">
                  <c:v>9942.7199999999993</c:v>
                </c:pt>
                <c:pt idx="29">
                  <c:v>11197.54</c:v>
                </c:pt>
                <c:pt idx="30">
                  <c:v>12484.18</c:v>
                </c:pt>
                <c:pt idx="31">
                  <c:v>13722.48</c:v>
                </c:pt>
                <c:pt idx="32">
                  <c:v>14867</c:v>
                </c:pt>
                <c:pt idx="33">
                  <c:v>15849.03</c:v>
                </c:pt>
                <c:pt idx="34">
                  <c:v>16660.189999999999</c:v>
                </c:pt>
                <c:pt idx="35">
                  <c:v>17299.740000000002</c:v>
                </c:pt>
                <c:pt idx="36">
                  <c:v>17677.97</c:v>
                </c:pt>
                <c:pt idx="37">
                  <c:v>18083.18</c:v>
                </c:pt>
                <c:pt idx="38">
                  <c:v>18319.64</c:v>
                </c:pt>
                <c:pt idx="39">
                  <c:v>18572.8</c:v>
                </c:pt>
                <c:pt idx="40">
                  <c:v>18719.490000000002</c:v>
                </c:pt>
                <c:pt idx="41">
                  <c:v>18825.740000000002</c:v>
                </c:pt>
                <c:pt idx="42">
                  <c:v>18885.740000000002</c:v>
                </c:pt>
                <c:pt idx="43">
                  <c:v>18971.45</c:v>
                </c:pt>
                <c:pt idx="44">
                  <c:v>19019.89</c:v>
                </c:pt>
              </c:numCache>
            </c:numRef>
          </c:val>
          <c:smooth val="0"/>
          <c:extLst>
            <c:ext xmlns:c16="http://schemas.microsoft.com/office/drawing/2014/chart" uri="{C3380CC4-5D6E-409C-BE32-E72D297353CC}">
              <c16:uniqueId val="{0000000E-D41B-49A3-A743-35A0D5C18E08}"/>
            </c:ext>
          </c:extLst>
        </c:ser>
        <c:ser>
          <c:idx val="15"/>
          <c:order val="15"/>
          <c:tx>
            <c:strRef>
              <c:f>'50..800_F2amp'!$Q$3:$Q$4</c:f>
              <c:strCache>
                <c:ptCount val="1"/>
                <c:pt idx="0">
                  <c:v>E06</c:v>
                </c:pt>
              </c:strCache>
            </c:strRef>
          </c:tx>
          <c:spPr>
            <a:ln w="28575" cap="rnd">
              <a:solidFill>
                <a:schemeClr val="accent4">
                  <a:lumMod val="80000"/>
                  <a:lumOff val="2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'50..800_F2amp'!$Q$5:$Q$50</c:f>
              <c:numCache>
                <c:formatCode>General</c:formatCode>
                <c:ptCount val="45"/>
                <c:pt idx="0">
                  <c:v>6621</c:v>
                </c:pt>
                <c:pt idx="1">
                  <c:v>6703.65</c:v>
                </c:pt>
                <c:pt idx="2">
                  <c:v>6715.64</c:v>
                </c:pt>
                <c:pt idx="3">
                  <c:v>6728.97</c:v>
                </c:pt>
                <c:pt idx="4">
                  <c:v>6744.01</c:v>
                </c:pt>
                <c:pt idx="5">
                  <c:v>6760.24</c:v>
                </c:pt>
                <c:pt idx="6">
                  <c:v>6777.03</c:v>
                </c:pt>
                <c:pt idx="7">
                  <c:v>6793.45</c:v>
                </c:pt>
                <c:pt idx="8">
                  <c:v>6808.37</c:v>
                </c:pt>
                <c:pt idx="9">
                  <c:v>6823.33</c:v>
                </c:pt>
                <c:pt idx="10">
                  <c:v>6833.05</c:v>
                </c:pt>
                <c:pt idx="11">
                  <c:v>6841.19</c:v>
                </c:pt>
                <c:pt idx="12">
                  <c:v>6846.62</c:v>
                </c:pt>
                <c:pt idx="13">
                  <c:v>6850.12</c:v>
                </c:pt>
                <c:pt idx="14">
                  <c:v>6850.17</c:v>
                </c:pt>
                <c:pt idx="15">
                  <c:v>6853.09</c:v>
                </c:pt>
                <c:pt idx="16">
                  <c:v>6855.24</c:v>
                </c:pt>
                <c:pt idx="17">
                  <c:v>6859.3</c:v>
                </c:pt>
                <c:pt idx="18">
                  <c:v>6865.9</c:v>
                </c:pt>
                <c:pt idx="19">
                  <c:v>6876.25</c:v>
                </c:pt>
                <c:pt idx="20">
                  <c:v>6895.54</c:v>
                </c:pt>
                <c:pt idx="21">
                  <c:v>6934.59</c:v>
                </c:pt>
                <c:pt idx="22">
                  <c:v>7008.01</c:v>
                </c:pt>
                <c:pt idx="23">
                  <c:v>7144.28</c:v>
                </c:pt>
                <c:pt idx="24">
                  <c:v>7405.62</c:v>
                </c:pt>
                <c:pt idx="25">
                  <c:v>7845.46</c:v>
                </c:pt>
                <c:pt idx="26">
                  <c:v>8532.4500000000007</c:v>
                </c:pt>
                <c:pt idx="27">
                  <c:v>9497.0400000000009</c:v>
                </c:pt>
                <c:pt idx="28">
                  <c:v>10665.01</c:v>
                </c:pt>
                <c:pt idx="29">
                  <c:v>12023.79</c:v>
                </c:pt>
                <c:pt idx="30">
                  <c:v>13412.82</c:v>
                </c:pt>
                <c:pt idx="31">
                  <c:v>14743.69</c:v>
                </c:pt>
                <c:pt idx="32">
                  <c:v>15973.95</c:v>
                </c:pt>
                <c:pt idx="33">
                  <c:v>17029.39</c:v>
                </c:pt>
                <c:pt idx="34">
                  <c:v>17909.07</c:v>
                </c:pt>
                <c:pt idx="35">
                  <c:v>18411.349999999999</c:v>
                </c:pt>
                <c:pt idx="36">
                  <c:v>18963.82</c:v>
                </c:pt>
                <c:pt idx="37">
                  <c:v>19287.22</c:v>
                </c:pt>
                <c:pt idx="38">
                  <c:v>19637.93</c:v>
                </c:pt>
                <c:pt idx="39">
                  <c:v>19840.099999999999</c:v>
                </c:pt>
                <c:pt idx="40">
                  <c:v>19989.990000000002</c:v>
                </c:pt>
                <c:pt idx="41">
                  <c:v>20159.54</c:v>
                </c:pt>
                <c:pt idx="42">
                  <c:v>20231.650000000001</c:v>
                </c:pt>
                <c:pt idx="43">
                  <c:v>20327.78</c:v>
                </c:pt>
                <c:pt idx="44">
                  <c:v>20381.14</c:v>
                </c:pt>
              </c:numCache>
            </c:numRef>
          </c:val>
          <c:smooth val="0"/>
          <c:extLst>
            <c:ext xmlns:c16="http://schemas.microsoft.com/office/drawing/2014/chart" uri="{C3380CC4-5D6E-409C-BE32-E72D297353CC}">
              <c16:uniqueId val="{0000000F-D41B-49A3-A743-35A0D5C18E08}"/>
            </c:ext>
          </c:extLst>
        </c:ser>
        <c:ser>
          <c:idx val="16"/>
          <c:order val="16"/>
          <c:tx>
            <c:strRef>
              <c:f>'50..800_F2amp'!$R$3:$R$4</c:f>
              <c:strCache>
                <c:ptCount val="1"/>
                <c:pt idx="0">
                  <c:v>E07</c:v>
                </c:pt>
              </c:strCache>
            </c:strRef>
          </c:tx>
          <c:spPr>
            <a:ln w="28575" cap="rnd">
              <a:solidFill>
                <a:schemeClr val="accent5">
                  <a:lumMod val="80000"/>
                  <a:lumOff val="2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'50..800_F2amp'!$R$5:$R$50</c:f>
              <c:numCache>
                <c:formatCode>General</c:formatCode>
                <c:ptCount val="45"/>
                <c:pt idx="0">
                  <c:v>5266.4</c:v>
                </c:pt>
                <c:pt idx="1">
                  <c:v>5340.52</c:v>
                </c:pt>
                <c:pt idx="2">
                  <c:v>5351.49</c:v>
                </c:pt>
                <c:pt idx="3">
                  <c:v>5361.98</c:v>
                </c:pt>
                <c:pt idx="4">
                  <c:v>5376.19</c:v>
                </c:pt>
                <c:pt idx="5">
                  <c:v>5387.53</c:v>
                </c:pt>
                <c:pt idx="6">
                  <c:v>5395.58</c:v>
                </c:pt>
                <c:pt idx="7">
                  <c:v>5403.18</c:v>
                </c:pt>
                <c:pt idx="8">
                  <c:v>5410.67</c:v>
                </c:pt>
                <c:pt idx="9">
                  <c:v>5417.67</c:v>
                </c:pt>
                <c:pt idx="10">
                  <c:v>5421.76</c:v>
                </c:pt>
                <c:pt idx="11">
                  <c:v>5427.37</c:v>
                </c:pt>
                <c:pt idx="12">
                  <c:v>5431.4</c:v>
                </c:pt>
                <c:pt idx="13">
                  <c:v>5435.19</c:v>
                </c:pt>
                <c:pt idx="14">
                  <c:v>5437.44</c:v>
                </c:pt>
                <c:pt idx="15">
                  <c:v>5439.13</c:v>
                </c:pt>
                <c:pt idx="16">
                  <c:v>5440.99</c:v>
                </c:pt>
                <c:pt idx="17">
                  <c:v>5442.75</c:v>
                </c:pt>
                <c:pt idx="18">
                  <c:v>5446.33</c:v>
                </c:pt>
                <c:pt idx="19">
                  <c:v>5453.18</c:v>
                </c:pt>
                <c:pt idx="20">
                  <c:v>5468.27</c:v>
                </c:pt>
                <c:pt idx="21">
                  <c:v>5497.62</c:v>
                </c:pt>
                <c:pt idx="22">
                  <c:v>5552.04</c:v>
                </c:pt>
                <c:pt idx="23">
                  <c:v>5653.41</c:v>
                </c:pt>
                <c:pt idx="24">
                  <c:v>5842.15</c:v>
                </c:pt>
                <c:pt idx="25">
                  <c:v>6182.82</c:v>
                </c:pt>
                <c:pt idx="26">
                  <c:v>6711.83</c:v>
                </c:pt>
                <c:pt idx="27">
                  <c:v>7459.01</c:v>
                </c:pt>
                <c:pt idx="28">
                  <c:v>8374.0499999999993</c:v>
                </c:pt>
                <c:pt idx="29">
                  <c:v>9421.4500000000007</c:v>
                </c:pt>
                <c:pt idx="30">
                  <c:v>10513.37</c:v>
                </c:pt>
                <c:pt idx="31">
                  <c:v>11578.39</c:v>
                </c:pt>
                <c:pt idx="32">
                  <c:v>12570.36</c:v>
                </c:pt>
                <c:pt idx="33">
                  <c:v>13424.14</c:v>
                </c:pt>
                <c:pt idx="34">
                  <c:v>14133.74</c:v>
                </c:pt>
                <c:pt idx="35">
                  <c:v>14696.27</c:v>
                </c:pt>
                <c:pt idx="36">
                  <c:v>15030.2</c:v>
                </c:pt>
                <c:pt idx="37">
                  <c:v>15371.79</c:v>
                </c:pt>
                <c:pt idx="38">
                  <c:v>15646.86</c:v>
                </c:pt>
                <c:pt idx="39">
                  <c:v>15803.28</c:v>
                </c:pt>
                <c:pt idx="40">
                  <c:v>15966.55</c:v>
                </c:pt>
                <c:pt idx="41">
                  <c:v>16060.96</c:v>
                </c:pt>
                <c:pt idx="42">
                  <c:v>16109.65</c:v>
                </c:pt>
                <c:pt idx="43">
                  <c:v>16178.3</c:v>
                </c:pt>
                <c:pt idx="44">
                  <c:v>16216.98</c:v>
                </c:pt>
              </c:numCache>
            </c:numRef>
          </c:val>
          <c:smooth val="0"/>
          <c:extLst>
            <c:ext xmlns:c16="http://schemas.microsoft.com/office/drawing/2014/chart" uri="{C3380CC4-5D6E-409C-BE32-E72D297353CC}">
              <c16:uniqueId val="{00000010-D41B-49A3-A743-35A0D5C18E08}"/>
            </c:ext>
          </c:extLst>
        </c:ser>
        <c:ser>
          <c:idx val="17"/>
          <c:order val="17"/>
          <c:tx>
            <c:strRef>
              <c:f>'50..800_F2amp'!$S$3:$S$4</c:f>
              <c:strCache>
                <c:ptCount val="1"/>
                <c:pt idx="0">
                  <c:v>E08</c:v>
                </c:pt>
              </c:strCache>
            </c:strRef>
          </c:tx>
          <c:spPr>
            <a:ln w="28575" cap="rnd">
              <a:solidFill>
                <a:schemeClr val="accent6">
                  <a:lumMod val="80000"/>
                  <a:lumOff val="2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'50..800_F2amp'!$S$5:$S$50</c:f>
              <c:numCache>
                <c:formatCode>General</c:formatCode>
                <c:ptCount val="45"/>
                <c:pt idx="0">
                  <c:v>6665.4</c:v>
                </c:pt>
                <c:pt idx="1">
                  <c:v>6759.04</c:v>
                </c:pt>
                <c:pt idx="2">
                  <c:v>6770.52</c:v>
                </c:pt>
                <c:pt idx="3">
                  <c:v>6786.73</c:v>
                </c:pt>
                <c:pt idx="4">
                  <c:v>6802.29</c:v>
                </c:pt>
                <c:pt idx="5">
                  <c:v>6811.08</c:v>
                </c:pt>
                <c:pt idx="6">
                  <c:v>6821.01</c:v>
                </c:pt>
                <c:pt idx="7">
                  <c:v>6830.17</c:v>
                </c:pt>
                <c:pt idx="8">
                  <c:v>6839.27</c:v>
                </c:pt>
                <c:pt idx="9">
                  <c:v>6845.55</c:v>
                </c:pt>
                <c:pt idx="10">
                  <c:v>6850.08</c:v>
                </c:pt>
                <c:pt idx="11">
                  <c:v>6852.54</c:v>
                </c:pt>
                <c:pt idx="12">
                  <c:v>6854.86</c:v>
                </c:pt>
                <c:pt idx="13">
                  <c:v>6859.89</c:v>
                </c:pt>
                <c:pt idx="14">
                  <c:v>6865.98</c:v>
                </c:pt>
                <c:pt idx="15">
                  <c:v>6866.14</c:v>
                </c:pt>
                <c:pt idx="16">
                  <c:v>6866.05</c:v>
                </c:pt>
                <c:pt idx="17">
                  <c:v>6866.52</c:v>
                </c:pt>
                <c:pt idx="18">
                  <c:v>6869.75</c:v>
                </c:pt>
                <c:pt idx="19">
                  <c:v>6875.42</c:v>
                </c:pt>
                <c:pt idx="20">
                  <c:v>6890.33</c:v>
                </c:pt>
                <c:pt idx="21">
                  <c:v>6923</c:v>
                </c:pt>
                <c:pt idx="22">
                  <c:v>6991.17</c:v>
                </c:pt>
                <c:pt idx="23">
                  <c:v>7124.78</c:v>
                </c:pt>
                <c:pt idx="24">
                  <c:v>7364.58</c:v>
                </c:pt>
                <c:pt idx="25">
                  <c:v>7777.95</c:v>
                </c:pt>
                <c:pt idx="26">
                  <c:v>8436.68</c:v>
                </c:pt>
                <c:pt idx="27">
                  <c:v>9372.86</c:v>
                </c:pt>
                <c:pt idx="28">
                  <c:v>10546.04</c:v>
                </c:pt>
                <c:pt idx="29">
                  <c:v>11861.01</c:v>
                </c:pt>
                <c:pt idx="30">
                  <c:v>13217.28</c:v>
                </c:pt>
                <c:pt idx="31">
                  <c:v>14532.15</c:v>
                </c:pt>
                <c:pt idx="32">
                  <c:v>15755.23</c:v>
                </c:pt>
                <c:pt idx="33">
                  <c:v>16820.55</c:v>
                </c:pt>
                <c:pt idx="34">
                  <c:v>17690.830000000002</c:v>
                </c:pt>
                <c:pt idx="35">
                  <c:v>18371</c:v>
                </c:pt>
                <c:pt idx="36">
                  <c:v>18772.27</c:v>
                </c:pt>
                <c:pt idx="37">
                  <c:v>19197.59</c:v>
                </c:pt>
                <c:pt idx="38">
                  <c:v>19445.54</c:v>
                </c:pt>
                <c:pt idx="39">
                  <c:v>19713.259999999998</c:v>
                </c:pt>
                <c:pt idx="40">
                  <c:v>19868.7</c:v>
                </c:pt>
                <c:pt idx="41">
                  <c:v>20033.810000000001</c:v>
                </c:pt>
                <c:pt idx="42">
                  <c:v>20104.13</c:v>
                </c:pt>
                <c:pt idx="43">
                  <c:v>20198.240000000002</c:v>
                </c:pt>
                <c:pt idx="44">
                  <c:v>20250.53</c:v>
                </c:pt>
              </c:numCache>
            </c:numRef>
          </c:val>
          <c:smooth val="0"/>
          <c:extLst>
            <c:ext xmlns:c16="http://schemas.microsoft.com/office/drawing/2014/chart" uri="{C3380CC4-5D6E-409C-BE32-E72D297353CC}">
              <c16:uniqueId val="{00000011-D41B-49A3-A743-35A0D5C18E08}"/>
            </c:ext>
          </c:extLst>
        </c:ser>
        <c:ser>
          <c:idx val="18"/>
          <c:order val="18"/>
          <c:tx>
            <c:strRef>
              <c:f>'50..800_F2amp'!$T$3:$T$4</c:f>
              <c:strCache>
                <c:ptCount val="1"/>
                <c:pt idx="0">
                  <c:v>E09</c:v>
                </c:pt>
              </c:strCache>
            </c:strRef>
          </c:tx>
          <c:spPr>
            <a:ln w="28575" cap="rnd">
              <a:solidFill>
                <a:schemeClr val="accent1">
                  <a:lumMod val="8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'50..800_F2amp'!$T$5:$T$50</c:f>
              <c:numCache>
                <c:formatCode>General</c:formatCode>
                <c:ptCount val="45"/>
                <c:pt idx="0">
                  <c:v>6439.4</c:v>
                </c:pt>
                <c:pt idx="1">
                  <c:v>6522.96</c:v>
                </c:pt>
                <c:pt idx="2">
                  <c:v>6528.49</c:v>
                </c:pt>
                <c:pt idx="3">
                  <c:v>6534.03</c:v>
                </c:pt>
                <c:pt idx="4">
                  <c:v>6540.99</c:v>
                </c:pt>
                <c:pt idx="5">
                  <c:v>6547.06</c:v>
                </c:pt>
                <c:pt idx="6">
                  <c:v>6552.52</c:v>
                </c:pt>
                <c:pt idx="7">
                  <c:v>6558.6</c:v>
                </c:pt>
                <c:pt idx="8">
                  <c:v>6559.86</c:v>
                </c:pt>
                <c:pt idx="9">
                  <c:v>6561.95</c:v>
                </c:pt>
                <c:pt idx="10">
                  <c:v>6564.28</c:v>
                </c:pt>
                <c:pt idx="11">
                  <c:v>6566.41</c:v>
                </c:pt>
                <c:pt idx="12">
                  <c:v>6567.78</c:v>
                </c:pt>
                <c:pt idx="13">
                  <c:v>6569.94</c:v>
                </c:pt>
                <c:pt idx="14">
                  <c:v>6570.33</c:v>
                </c:pt>
                <c:pt idx="15">
                  <c:v>6570.22</c:v>
                </c:pt>
                <c:pt idx="16">
                  <c:v>6570.03</c:v>
                </c:pt>
                <c:pt idx="17">
                  <c:v>6571.78</c:v>
                </c:pt>
                <c:pt idx="18">
                  <c:v>6575.61</c:v>
                </c:pt>
                <c:pt idx="19">
                  <c:v>6584.01</c:v>
                </c:pt>
                <c:pt idx="20">
                  <c:v>6602.81</c:v>
                </c:pt>
                <c:pt idx="21">
                  <c:v>6636.87</c:v>
                </c:pt>
                <c:pt idx="22">
                  <c:v>6703.15</c:v>
                </c:pt>
                <c:pt idx="23">
                  <c:v>6827.76</c:v>
                </c:pt>
                <c:pt idx="24">
                  <c:v>7058.12</c:v>
                </c:pt>
                <c:pt idx="25">
                  <c:v>7464.03</c:v>
                </c:pt>
                <c:pt idx="26">
                  <c:v>8111.21</c:v>
                </c:pt>
                <c:pt idx="27">
                  <c:v>9022.94</c:v>
                </c:pt>
                <c:pt idx="28">
                  <c:v>10156.280000000001</c:v>
                </c:pt>
                <c:pt idx="29">
                  <c:v>11436.3</c:v>
                </c:pt>
                <c:pt idx="30">
                  <c:v>12766.65</c:v>
                </c:pt>
                <c:pt idx="31">
                  <c:v>14058.37</c:v>
                </c:pt>
                <c:pt idx="32">
                  <c:v>15260.84</c:v>
                </c:pt>
                <c:pt idx="33">
                  <c:v>16291.67</c:v>
                </c:pt>
                <c:pt idx="34">
                  <c:v>17141.68</c:v>
                </c:pt>
                <c:pt idx="35">
                  <c:v>17813.400000000001</c:v>
                </c:pt>
                <c:pt idx="36">
                  <c:v>18210.97</c:v>
                </c:pt>
                <c:pt idx="37">
                  <c:v>18634.13</c:v>
                </c:pt>
                <c:pt idx="38">
                  <c:v>18880.439999999999</c:v>
                </c:pt>
                <c:pt idx="39">
                  <c:v>19139.45</c:v>
                </c:pt>
                <c:pt idx="40">
                  <c:v>19291.759999999998</c:v>
                </c:pt>
                <c:pt idx="41">
                  <c:v>19447.310000000001</c:v>
                </c:pt>
                <c:pt idx="42">
                  <c:v>19513.82</c:v>
                </c:pt>
                <c:pt idx="43">
                  <c:v>19602.87</c:v>
                </c:pt>
                <c:pt idx="44">
                  <c:v>19652.349999999999</c:v>
                </c:pt>
              </c:numCache>
            </c:numRef>
          </c:val>
          <c:smooth val="0"/>
          <c:extLst>
            <c:ext xmlns:c16="http://schemas.microsoft.com/office/drawing/2014/chart" uri="{C3380CC4-5D6E-409C-BE32-E72D297353CC}">
              <c16:uniqueId val="{00000012-D41B-49A3-A743-35A0D5C18E08}"/>
            </c:ext>
          </c:extLst>
        </c:ser>
        <c:ser>
          <c:idx val="19"/>
          <c:order val="19"/>
          <c:tx>
            <c:strRef>
              <c:f>'50..800_F2amp'!$U$3:$U$4</c:f>
              <c:strCache>
                <c:ptCount val="1"/>
                <c:pt idx="0">
                  <c:v>E10</c:v>
                </c:pt>
              </c:strCache>
            </c:strRef>
          </c:tx>
          <c:spPr>
            <a:ln w="28575" cap="rnd">
              <a:solidFill>
                <a:schemeClr val="accent2">
                  <a:lumMod val="8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'50..800_F2amp'!$U$5:$U$50</c:f>
              <c:numCache>
                <c:formatCode>General</c:formatCode>
                <c:ptCount val="45"/>
                <c:pt idx="0">
                  <c:v>6741.8</c:v>
                </c:pt>
                <c:pt idx="1">
                  <c:v>6816.21</c:v>
                </c:pt>
                <c:pt idx="2">
                  <c:v>6831.37</c:v>
                </c:pt>
                <c:pt idx="3">
                  <c:v>6846.04</c:v>
                </c:pt>
                <c:pt idx="4">
                  <c:v>6854.67</c:v>
                </c:pt>
                <c:pt idx="5">
                  <c:v>6866.75</c:v>
                </c:pt>
                <c:pt idx="6">
                  <c:v>6877.96</c:v>
                </c:pt>
                <c:pt idx="7">
                  <c:v>6887.16</c:v>
                </c:pt>
                <c:pt idx="8">
                  <c:v>6895.71</c:v>
                </c:pt>
                <c:pt idx="9">
                  <c:v>6901.18</c:v>
                </c:pt>
                <c:pt idx="10">
                  <c:v>6904.8</c:v>
                </c:pt>
                <c:pt idx="11">
                  <c:v>6906.96</c:v>
                </c:pt>
                <c:pt idx="12">
                  <c:v>6908.38</c:v>
                </c:pt>
                <c:pt idx="13">
                  <c:v>6910.68</c:v>
                </c:pt>
                <c:pt idx="14">
                  <c:v>6914.64</c:v>
                </c:pt>
                <c:pt idx="15">
                  <c:v>6918.2</c:v>
                </c:pt>
                <c:pt idx="16">
                  <c:v>6920.05</c:v>
                </c:pt>
                <c:pt idx="17">
                  <c:v>6920.89</c:v>
                </c:pt>
                <c:pt idx="18">
                  <c:v>6923.77</c:v>
                </c:pt>
                <c:pt idx="19">
                  <c:v>6930.87</c:v>
                </c:pt>
                <c:pt idx="20">
                  <c:v>6946.76</c:v>
                </c:pt>
                <c:pt idx="21">
                  <c:v>6980.99</c:v>
                </c:pt>
                <c:pt idx="22">
                  <c:v>7055.2</c:v>
                </c:pt>
                <c:pt idx="23">
                  <c:v>7198.48</c:v>
                </c:pt>
                <c:pt idx="24">
                  <c:v>7450.25</c:v>
                </c:pt>
                <c:pt idx="25">
                  <c:v>7883.76</c:v>
                </c:pt>
                <c:pt idx="26">
                  <c:v>8573</c:v>
                </c:pt>
                <c:pt idx="27">
                  <c:v>9547.43</c:v>
                </c:pt>
                <c:pt idx="28">
                  <c:v>10731.74</c:v>
                </c:pt>
                <c:pt idx="29">
                  <c:v>12083.84</c:v>
                </c:pt>
                <c:pt idx="30">
                  <c:v>13513.85</c:v>
                </c:pt>
                <c:pt idx="31">
                  <c:v>14876.11</c:v>
                </c:pt>
                <c:pt idx="32">
                  <c:v>16106.76</c:v>
                </c:pt>
                <c:pt idx="33">
                  <c:v>17184.759999999998</c:v>
                </c:pt>
                <c:pt idx="34">
                  <c:v>18071.71</c:v>
                </c:pt>
                <c:pt idx="35">
                  <c:v>18766.98</c:v>
                </c:pt>
                <c:pt idx="36">
                  <c:v>19176.32</c:v>
                </c:pt>
                <c:pt idx="37">
                  <c:v>19610.87</c:v>
                </c:pt>
                <c:pt idx="38">
                  <c:v>19861.3</c:v>
                </c:pt>
                <c:pt idx="39">
                  <c:v>20129.55</c:v>
                </c:pt>
                <c:pt idx="40">
                  <c:v>20283.400000000001</c:v>
                </c:pt>
                <c:pt idx="41">
                  <c:v>20447.03</c:v>
                </c:pt>
                <c:pt idx="42">
                  <c:v>20516.11</c:v>
                </c:pt>
                <c:pt idx="43">
                  <c:v>20608.400000000001</c:v>
                </c:pt>
                <c:pt idx="44">
                  <c:v>20659.650000000001</c:v>
                </c:pt>
              </c:numCache>
            </c:numRef>
          </c:val>
          <c:smooth val="0"/>
          <c:extLst>
            <c:ext xmlns:c16="http://schemas.microsoft.com/office/drawing/2014/chart" uri="{C3380CC4-5D6E-409C-BE32-E72D297353CC}">
              <c16:uniqueId val="{00000013-D41B-49A3-A743-35A0D5C18E08}"/>
            </c:ext>
          </c:extLst>
        </c:ser>
        <c:ser>
          <c:idx val="20"/>
          <c:order val="20"/>
          <c:tx>
            <c:strRef>
              <c:f>'50..800_F2amp'!$V$3:$V$4</c:f>
              <c:strCache>
                <c:ptCount val="1"/>
                <c:pt idx="0">
                  <c:v>E11</c:v>
                </c:pt>
              </c:strCache>
            </c:strRef>
          </c:tx>
          <c:spPr>
            <a:ln w="28575" cap="rnd">
              <a:solidFill>
                <a:schemeClr val="accent3">
                  <a:lumMod val="8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'50..800_F2amp'!$V$5:$V$50</c:f>
              <c:numCache>
                <c:formatCode>General</c:formatCode>
                <c:ptCount val="45"/>
                <c:pt idx="0">
                  <c:v>7345.6</c:v>
                </c:pt>
                <c:pt idx="1">
                  <c:v>7405.56</c:v>
                </c:pt>
                <c:pt idx="2">
                  <c:v>7416.07</c:v>
                </c:pt>
                <c:pt idx="3">
                  <c:v>7425.31</c:v>
                </c:pt>
                <c:pt idx="4">
                  <c:v>7435.99</c:v>
                </c:pt>
                <c:pt idx="5">
                  <c:v>7443.82</c:v>
                </c:pt>
                <c:pt idx="6">
                  <c:v>7449.35</c:v>
                </c:pt>
                <c:pt idx="7">
                  <c:v>7455.57</c:v>
                </c:pt>
                <c:pt idx="8">
                  <c:v>7459.64</c:v>
                </c:pt>
                <c:pt idx="9">
                  <c:v>7463.92</c:v>
                </c:pt>
                <c:pt idx="10">
                  <c:v>7466.74</c:v>
                </c:pt>
                <c:pt idx="11">
                  <c:v>7471.81</c:v>
                </c:pt>
                <c:pt idx="12">
                  <c:v>7477.94</c:v>
                </c:pt>
                <c:pt idx="13">
                  <c:v>7478.66</c:v>
                </c:pt>
                <c:pt idx="14">
                  <c:v>7481.21</c:v>
                </c:pt>
                <c:pt idx="15">
                  <c:v>7480.69</c:v>
                </c:pt>
                <c:pt idx="16">
                  <c:v>7480.64</c:v>
                </c:pt>
                <c:pt idx="17">
                  <c:v>7481.48</c:v>
                </c:pt>
                <c:pt idx="18">
                  <c:v>7484.76</c:v>
                </c:pt>
                <c:pt idx="19">
                  <c:v>7494.98</c:v>
                </c:pt>
                <c:pt idx="20">
                  <c:v>7516.21</c:v>
                </c:pt>
                <c:pt idx="21">
                  <c:v>7557.68</c:v>
                </c:pt>
                <c:pt idx="22">
                  <c:v>7633.46</c:v>
                </c:pt>
                <c:pt idx="23">
                  <c:v>7776.84</c:v>
                </c:pt>
                <c:pt idx="24">
                  <c:v>8042.86</c:v>
                </c:pt>
                <c:pt idx="25">
                  <c:v>8504.4500000000007</c:v>
                </c:pt>
                <c:pt idx="26">
                  <c:v>9234.0300000000007</c:v>
                </c:pt>
                <c:pt idx="27">
                  <c:v>10256.15</c:v>
                </c:pt>
                <c:pt idx="28">
                  <c:v>11497.64</c:v>
                </c:pt>
                <c:pt idx="29">
                  <c:v>12909.4</c:v>
                </c:pt>
                <c:pt idx="30">
                  <c:v>14372.82</c:v>
                </c:pt>
                <c:pt idx="31">
                  <c:v>15809.63</c:v>
                </c:pt>
                <c:pt idx="32">
                  <c:v>17121.38</c:v>
                </c:pt>
                <c:pt idx="33">
                  <c:v>18235.27</c:v>
                </c:pt>
                <c:pt idx="34">
                  <c:v>19147.330000000002</c:v>
                </c:pt>
                <c:pt idx="35">
                  <c:v>19859.47</c:v>
                </c:pt>
                <c:pt idx="36">
                  <c:v>20278.509999999998</c:v>
                </c:pt>
                <c:pt idx="37">
                  <c:v>20714.55</c:v>
                </c:pt>
                <c:pt idx="38">
                  <c:v>20964.599999999999</c:v>
                </c:pt>
                <c:pt idx="39">
                  <c:v>21153.74</c:v>
                </c:pt>
                <c:pt idx="40">
                  <c:v>21303.33</c:v>
                </c:pt>
                <c:pt idx="41">
                  <c:v>21422.94</c:v>
                </c:pt>
                <c:pt idx="42">
                  <c:v>21490.560000000001</c:v>
                </c:pt>
                <c:pt idx="43">
                  <c:v>21587.25</c:v>
                </c:pt>
                <c:pt idx="44">
                  <c:v>21641.91</c:v>
                </c:pt>
              </c:numCache>
            </c:numRef>
          </c:val>
          <c:smooth val="0"/>
          <c:extLst>
            <c:ext xmlns:c16="http://schemas.microsoft.com/office/drawing/2014/chart" uri="{C3380CC4-5D6E-409C-BE32-E72D297353CC}">
              <c16:uniqueId val="{00000014-D41B-49A3-A743-35A0D5C18E08}"/>
            </c:ext>
          </c:extLst>
        </c:ser>
        <c:ser>
          <c:idx val="21"/>
          <c:order val="21"/>
          <c:tx>
            <c:strRef>
              <c:f>'50..800_F2amp'!$W$3:$W$4</c:f>
              <c:strCache>
                <c:ptCount val="1"/>
                <c:pt idx="0">
                  <c:v>E12</c:v>
                </c:pt>
              </c:strCache>
            </c:strRef>
          </c:tx>
          <c:spPr>
            <a:ln w="28575" cap="rnd">
              <a:solidFill>
                <a:schemeClr val="accent4">
                  <a:lumMod val="8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'50..800_F2amp'!$W$5:$W$50</c:f>
              <c:numCache>
                <c:formatCode>General</c:formatCode>
                <c:ptCount val="45"/>
                <c:pt idx="0">
                  <c:v>6477.1</c:v>
                </c:pt>
                <c:pt idx="1">
                  <c:v>6275.66</c:v>
                </c:pt>
                <c:pt idx="2">
                  <c:v>6269.76</c:v>
                </c:pt>
                <c:pt idx="3">
                  <c:v>6264.32</c:v>
                </c:pt>
                <c:pt idx="4">
                  <c:v>6258.08</c:v>
                </c:pt>
                <c:pt idx="5">
                  <c:v>6254.2</c:v>
                </c:pt>
                <c:pt idx="6">
                  <c:v>6249.08</c:v>
                </c:pt>
                <c:pt idx="7">
                  <c:v>6243.91</c:v>
                </c:pt>
                <c:pt idx="8">
                  <c:v>6236.52</c:v>
                </c:pt>
                <c:pt idx="9">
                  <c:v>6226.85</c:v>
                </c:pt>
                <c:pt idx="10">
                  <c:v>6217.22</c:v>
                </c:pt>
                <c:pt idx="11">
                  <c:v>6209.72</c:v>
                </c:pt>
                <c:pt idx="12">
                  <c:v>6202.71</c:v>
                </c:pt>
                <c:pt idx="13">
                  <c:v>6195.68</c:v>
                </c:pt>
                <c:pt idx="14">
                  <c:v>6190.71</c:v>
                </c:pt>
                <c:pt idx="15">
                  <c:v>6187.08</c:v>
                </c:pt>
                <c:pt idx="16">
                  <c:v>6183.89</c:v>
                </c:pt>
                <c:pt idx="17">
                  <c:v>6180.77</c:v>
                </c:pt>
                <c:pt idx="18">
                  <c:v>6180.95</c:v>
                </c:pt>
                <c:pt idx="19">
                  <c:v>6186.24</c:v>
                </c:pt>
                <c:pt idx="20">
                  <c:v>6202.25</c:v>
                </c:pt>
                <c:pt idx="21">
                  <c:v>6238.99</c:v>
                </c:pt>
                <c:pt idx="22">
                  <c:v>6308.36</c:v>
                </c:pt>
                <c:pt idx="23">
                  <c:v>6443.73</c:v>
                </c:pt>
                <c:pt idx="24">
                  <c:v>6686.21</c:v>
                </c:pt>
                <c:pt idx="25">
                  <c:v>7100.41</c:v>
                </c:pt>
                <c:pt idx="26">
                  <c:v>7742.76</c:v>
                </c:pt>
                <c:pt idx="27">
                  <c:v>8628.4500000000007</c:v>
                </c:pt>
                <c:pt idx="28">
                  <c:v>9713.02</c:v>
                </c:pt>
                <c:pt idx="29">
                  <c:v>10935.77</c:v>
                </c:pt>
                <c:pt idx="30">
                  <c:v>12161.31</c:v>
                </c:pt>
                <c:pt idx="31">
                  <c:v>13350.41</c:v>
                </c:pt>
                <c:pt idx="32">
                  <c:v>14428.15</c:v>
                </c:pt>
                <c:pt idx="33">
                  <c:v>15362.78</c:v>
                </c:pt>
                <c:pt idx="34">
                  <c:v>16141.98</c:v>
                </c:pt>
                <c:pt idx="35">
                  <c:v>16769.599999999999</c:v>
                </c:pt>
                <c:pt idx="36">
                  <c:v>17125.560000000001</c:v>
                </c:pt>
                <c:pt idx="37">
                  <c:v>17514.45</c:v>
                </c:pt>
                <c:pt idx="38">
                  <c:v>17743.990000000002</c:v>
                </c:pt>
                <c:pt idx="39">
                  <c:v>17992.89</c:v>
                </c:pt>
                <c:pt idx="40">
                  <c:v>18139.169999999998</c:v>
                </c:pt>
                <c:pt idx="41">
                  <c:v>18298.03</c:v>
                </c:pt>
                <c:pt idx="42">
                  <c:v>18367.29</c:v>
                </c:pt>
                <c:pt idx="43">
                  <c:v>18459.98</c:v>
                </c:pt>
                <c:pt idx="44">
                  <c:v>18511.47</c:v>
                </c:pt>
              </c:numCache>
            </c:numRef>
          </c:val>
          <c:smooth val="0"/>
          <c:extLst>
            <c:ext xmlns:c16="http://schemas.microsoft.com/office/drawing/2014/chart" uri="{C3380CC4-5D6E-409C-BE32-E72D297353CC}">
              <c16:uniqueId val="{00000015-D41B-49A3-A743-35A0D5C18E08}"/>
            </c:ext>
          </c:extLst>
        </c:ser>
        <c:ser>
          <c:idx val="22"/>
          <c:order val="22"/>
          <c:tx>
            <c:strRef>
              <c:f>'50..800_F2amp'!$X$3:$X$4</c:f>
              <c:strCache>
                <c:ptCount val="1"/>
                <c:pt idx="0">
                  <c:v>F02</c:v>
                </c:pt>
              </c:strCache>
            </c:strRef>
          </c:tx>
          <c:spPr>
            <a:ln w="28575" cap="rnd">
              <a:solidFill>
                <a:schemeClr val="accent5">
                  <a:lumMod val="8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'50..800_F2amp'!$X$5:$X$50</c:f>
              <c:numCache>
                <c:formatCode>General</c:formatCode>
                <c:ptCount val="45"/>
                <c:pt idx="0">
                  <c:v>5753.6</c:v>
                </c:pt>
                <c:pt idx="1">
                  <c:v>5803.81</c:v>
                </c:pt>
                <c:pt idx="2">
                  <c:v>5822.48</c:v>
                </c:pt>
                <c:pt idx="3">
                  <c:v>5839.28</c:v>
                </c:pt>
                <c:pt idx="4">
                  <c:v>5853.57</c:v>
                </c:pt>
                <c:pt idx="5">
                  <c:v>5865.93</c:v>
                </c:pt>
                <c:pt idx="6">
                  <c:v>5877.7</c:v>
                </c:pt>
                <c:pt idx="7">
                  <c:v>5887.91</c:v>
                </c:pt>
                <c:pt idx="8">
                  <c:v>5897.69</c:v>
                </c:pt>
                <c:pt idx="9">
                  <c:v>5908.34</c:v>
                </c:pt>
                <c:pt idx="10">
                  <c:v>5915.35</c:v>
                </c:pt>
                <c:pt idx="11">
                  <c:v>5922.26</c:v>
                </c:pt>
                <c:pt idx="12">
                  <c:v>5926.53</c:v>
                </c:pt>
                <c:pt idx="13">
                  <c:v>5928.44</c:v>
                </c:pt>
                <c:pt idx="14">
                  <c:v>5929.68</c:v>
                </c:pt>
                <c:pt idx="15">
                  <c:v>5931.72</c:v>
                </c:pt>
                <c:pt idx="16">
                  <c:v>5933.93</c:v>
                </c:pt>
                <c:pt idx="17">
                  <c:v>5937.54</c:v>
                </c:pt>
                <c:pt idx="18">
                  <c:v>5943.36</c:v>
                </c:pt>
                <c:pt idx="19">
                  <c:v>5951.3</c:v>
                </c:pt>
                <c:pt idx="20">
                  <c:v>5967</c:v>
                </c:pt>
                <c:pt idx="21">
                  <c:v>5997.97</c:v>
                </c:pt>
                <c:pt idx="22">
                  <c:v>6057.82</c:v>
                </c:pt>
                <c:pt idx="23">
                  <c:v>6170.78</c:v>
                </c:pt>
                <c:pt idx="24">
                  <c:v>6377.91</c:v>
                </c:pt>
                <c:pt idx="25">
                  <c:v>6750.63</c:v>
                </c:pt>
                <c:pt idx="26">
                  <c:v>7330.3</c:v>
                </c:pt>
                <c:pt idx="27">
                  <c:v>8146.5</c:v>
                </c:pt>
                <c:pt idx="28">
                  <c:v>9149.7900000000009</c:v>
                </c:pt>
                <c:pt idx="29">
                  <c:v>10327.59</c:v>
                </c:pt>
                <c:pt idx="30">
                  <c:v>11539.52</c:v>
                </c:pt>
                <c:pt idx="31">
                  <c:v>12733.6</c:v>
                </c:pt>
                <c:pt idx="32">
                  <c:v>13820.87</c:v>
                </c:pt>
                <c:pt idx="33">
                  <c:v>14766.78</c:v>
                </c:pt>
                <c:pt idx="34">
                  <c:v>15554.52</c:v>
                </c:pt>
                <c:pt idx="35">
                  <c:v>16195.83</c:v>
                </c:pt>
                <c:pt idx="36">
                  <c:v>16558.759999999998</c:v>
                </c:pt>
                <c:pt idx="37">
                  <c:v>16950.41</c:v>
                </c:pt>
                <c:pt idx="38">
                  <c:v>17179.419999999998</c:v>
                </c:pt>
                <c:pt idx="39">
                  <c:v>17422.39</c:v>
                </c:pt>
                <c:pt idx="40">
                  <c:v>17564.22</c:v>
                </c:pt>
                <c:pt idx="41">
                  <c:v>17705.740000000002</c:v>
                </c:pt>
                <c:pt idx="42">
                  <c:v>17765.93</c:v>
                </c:pt>
                <c:pt idx="43">
                  <c:v>17846.43</c:v>
                </c:pt>
                <c:pt idx="44">
                  <c:v>17891.14</c:v>
                </c:pt>
              </c:numCache>
            </c:numRef>
          </c:val>
          <c:smooth val="0"/>
          <c:extLst>
            <c:ext xmlns:c16="http://schemas.microsoft.com/office/drawing/2014/chart" uri="{C3380CC4-5D6E-409C-BE32-E72D297353CC}">
              <c16:uniqueId val="{00000016-D41B-49A3-A743-35A0D5C18E08}"/>
            </c:ext>
          </c:extLst>
        </c:ser>
        <c:ser>
          <c:idx val="23"/>
          <c:order val="23"/>
          <c:tx>
            <c:strRef>
              <c:f>'50..800_F2amp'!$Y$3:$Y$4</c:f>
              <c:strCache>
                <c:ptCount val="1"/>
                <c:pt idx="0">
                  <c:v>F03</c:v>
                </c:pt>
              </c:strCache>
            </c:strRef>
          </c:tx>
          <c:spPr>
            <a:ln w="28575" cap="rnd">
              <a:solidFill>
                <a:schemeClr val="accent6">
                  <a:lumMod val="8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'50..800_F2amp'!$Y$5:$Y$50</c:f>
              <c:numCache>
                <c:formatCode>General</c:formatCode>
                <c:ptCount val="45"/>
                <c:pt idx="0">
                  <c:v>6376.4</c:v>
                </c:pt>
                <c:pt idx="1">
                  <c:v>6474.59</c:v>
                </c:pt>
                <c:pt idx="2">
                  <c:v>6480.68</c:v>
                </c:pt>
                <c:pt idx="3">
                  <c:v>6489.43</c:v>
                </c:pt>
                <c:pt idx="4">
                  <c:v>6501.77</c:v>
                </c:pt>
                <c:pt idx="5">
                  <c:v>6510.42</c:v>
                </c:pt>
                <c:pt idx="6">
                  <c:v>6518.99</c:v>
                </c:pt>
                <c:pt idx="7">
                  <c:v>6523.05</c:v>
                </c:pt>
                <c:pt idx="8">
                  <c:v>6528.85</c:v>
                </c:pt>
                <c:pt idx="9">
                  <c:v>6535.66</c:v>
                </c:pt>
                <c:pt idx="10">
                  <c:v>6541.71</c:v>
                </c:pt>
                <c:pt idx="11">
                  <c:v>6548.69</c:v>
                </c:pt>
                <c:pt idx="12">
                  <c:v>6555.23</c:v>
                </c:pt>
                <c:pt idx="13">
                  <c:v>6556.55</c:v>
                </c:pt>
                <c:pt idx="14">
                  <c:v>6557.01</c:v>
                </c:pt>
                <c:pt idx="15">
                  <c:v>6556.55</c:v>
                </c:pt>
                <c:pt idx="16">
                  <c:v>6556.5</c:v>
                </c:pt>
                <c:pt idx="17">
                  <c:v>6555.94</c:v>
                </c:pt>
                <c:pt idx="18">
                  <c:v>6559.56</c:v>
                </c:pt>
                <c:pt idx="19">
                  <c:v>6568.96</c:v>
                </c:pt>
                <c:pt idx="20">
                  <c:v>6587.64</c:v>
                </c:pt>
                <c:pt idx="21">
                  <c:v>6622.87</c:v>
                </c:pt>
                <c:pt idx="22">
                  <c:v>6689.81</c:v>
                </c:pt>
                <c:pt idx="23">
                  <c:v>6813.25</c:v>
                </c:pt>
                <c:pt idx="24">
                  <c:v>7041.09</c:v>
                </c:pt>
                <c:pt idx="25">
                  <c:v>7438.9</c:v>
                </c:pt>
                <c:pt idx="26">
                  <c:v>8069.77</c:v>
                </c:pt>
                <c:pt idx="27">
                  <c:v>8966.7099999999991</c:v>
                </c:pt>
                <c:pt idx="28">
                  <c:v>10068.69</c:v>
                </c:pt>
                <c:pt idx="29">
                  <c:v>11332.23</c:v>
                </c:pt>
                <c:pt idx="30">
                  <c:v>12676.22</c:v>
                </c:pt>
                <c:pt idx="31">
                  <c:v>13994.28</c:v>
                </c:pt>
                <c:pt idx="32">
                  <c:v>15186.56</c:v>
                </c:pt>
                <c:pt idx="33">
                  <c:v>16222.64</c:v>
                </c:pt>
                <c:pt idx="34">
                  <c:v>17093.560000000001</c:v>
                </c:pt>
                <c:pt idx="35">
                  <c:v>17786.54</c:v>
                </c:pt>
                <c:pt idx="36">
                  <c:v>18179.93</c:v>
                </c:pt>
                <c:pt idx="37">
                  <c:v>18593.830000000002</c:v>
                </c:pt>
                <c:pt idx="38">
                  <c:v>18929.18</c:v>
                </c:pt>
                <c:pt idx="39">
                  <c:v>19119.07</c:v>
                </c:pt>
                <c:pt idx="40">
                  <c:v>19325.099999999999</c:v>
                </c:pt>
                <c:pt idx="41">
                  <c:v>19443.59</c:v>
                </c:pt>
                <c:pt idx="42">
                  <c:v>19503.39</c:v>
                </c:pt>
                <c:pt idx="43">
                  <c:v>19587.37</c:v>
                </c:pt>
                <c:pt idx="44">
                  <c:v>19634.63</c:v>
                </c:pt>
              </c:numCache>
            </c:numRef>
          </c:val>
          <c:smooth val="0"/>
          <c:extLst>
            <c:ext xmlns:c16="http://schemas.microsoft.com/office/drawing/2014/chart" uri="{C3380CC4-5D6E-409C-BE32-E72D297353CC}">
              <c16:uniqueId val="{00000017-D41B-49A3-A743-35A0D5C18E08}"/>
            </c:ext>
          </c:extLst>
        </c:ser>
        <c:ser>
          <c:idx val="24"/>
          <c:order val="24"/>
          <c:tx>
            <c:strRef>
              <c:f>'50..800_F2amp'!$Z$3:$Z$4</c:f>
              <c:strCache>
                <c:ptCount val="1"/>
                <c:pt idx="0">
                  <c:v>F04</c:v>
                </c:pt>
              </c:strCache>
            </c:strRef>
          </c:tx>
          <c:spPr>
            <a:ln w="28575" cap="rnd">
              <a:solidFill>
                <a:schemeClr val="accent1">
                  <a:lumMod val="60000"/>
                  <a:lumOff val="4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'50..800_F2amp'!$Z$5:$Z$50</c:f>
              <c:numCache>
                <c:formatCode>General</c:formatCode>
                <c:ptCount val="45"/>
                <c:pt idx="0">
                  <c:v>5885.6</c:v>
                </c:pt>
                <c:pt idx="1">
                  <c:v>5929.9</c:v>
                </c:pt>
                <c:pt idx="2">
                  <c:v>5944.19</c:v>
                </c:pt>
                <c:pt idx="3">
                  <c:v>5961.28</c:v>
                </c:pt>
                <c:pt idx="4">
                  <c:v>5977.72</c:v>
                </c:pt>
                <c:pt idx="5">
                  <c:v>5993.36</c:v>
                </c:pt>
                <c:pt idx="6">
                  <c:v>6007.07</c:v>
                </c:pt>
                <c:pt idx="7">
                  <c:v>6020.42</c:v>
                </c:pt>
                <c:pt idx="8">
                  <c:v>6032.41</c:v>
                </c:pt>
                <c:pt idx="9">
                  <c:v>6039.32</c:v>
                </c:pt>
                <c:pt idx="10">
                  <c:v>6047.16</c:v>
                </c:pt>
                <c:pt idx="11">
                  <c:v>6052.8</c:v>
                </c:pt>
                <c:pt idx="12">
                  <c:v>6058.26</c:v>
                </c:pt>
                <c:pt idx="13">
                  <c:v>6063.16</c:v>
                </c:pt>
                <c:pt idx="14">
                  <c:v>6065.32</c:v>
                </c:pt>
                <c:pt idx="15">
                  <c:v>6065.66</c:v>
                </c:pt>
                <c:pt idx="16">
                  <c:v>6066.51</c:v>
                </c:pt>
                <c:pt idx="17">
                  <c:v>6068.6</c:v>
                </c:pt>
                <c:pt idx="18">
                  <c:v>6073.74</c:v>
                </c:pt>
                <c:pt idx="19">
                  <c:v>6080.48</c:v>
                </c:pt>
                <c:pt idx="20">
                  <c:v>6096.46</c:v>
                </c:pt>
                <c:pt idx="21">
                  <c:v>6131.57</c:v>
                </c:pt>
                <c:pt idx="22">
                  <c:v>6197.52</c:v>
                </c:pt>
                <c:pt idx="23">
                  <c:v>6317.75</c:v>
                </c:pt>
                <c:pt idx="24">
                  <c:v>6538.98</c:v>
                </c:pt>
                <c:pt idx="25">
                  <c:v>6922.07</c:v>
                </c:pt>
                <c:pt idx="26">
                  <c:v>7523.26</c:v>
                </c:pt>
                <c:pt idx="27">
                  <c:v>8365.41</c:v>
                </c:pt>
                <c:pt idx="28">
                  <c:v>9384.4</c:v>
                </c:pt>
                <c:pt idx="29">
                  <c:v>10544.56</c:v>
                </c:pt>
                <c:pt idx="30">
                  <c:v>11748.45</c:v>
                </c:pt>
                <c:pt idx="31">
                  <c:v>12911.29</c:v>
                </c:pt>
                <c:pt idx="32">
                  <c:v>13978.39</c:v>
                </c:pt>
                <c:pt idx="33">
                  <c:v>14920.06</c:v>
                </c:pt>
                <c:pt idx="34">
                  <c:v>15695.54</c:v>
                </c:pt>
                <c:pt idx="35">
                  <c:v>16304.82</c:v>
                </c:pt>
                <c:pt idx="36">
                  <c:v>16664.48</c:v>
                </c:pt>
                <c:pt idx="37">
                  <c:v>17044.14</c:v>
                </c:pt>
                <c:pt idx="38">
                  <c:v>17351.13</c:v>
                </c:pt>
                <c:pt idx="39">
                  <c:v>17523.419999999998</c:v>
                </c:pt>
                <c:pt idx="40">
                  <c:v>17652.02</c:v>
                </c:pt>
                <c:pt idx="41">
                  <c:v>17796.86</c:v>
                </c:pt>
                <c:pt idx="42">
                  <c:v>17858.82</c:v>
                </c:pt>
                <c:pt idx="43">
                  <c:v>17941.8</c:v>
                </c:pt>
                <c:pt idx="44">
                  <c:v>17987.91</c:v>
                </c:pt>
              </c:numCache>
            </c:numRef>
          </c:val>
          <c:smooth val="0"/>
          <c:extLst>
            <c:ext xmlns:c16="http://schemas.microsoft.com/office/drawing/2014/chart" uri="{C3380CC4-5D6E-409C-BE32-E72D297353CC}">
              <c16:uniqueId val="{00000018-D41B-49A3-A743-35A0D5C18E08}"/>
            </c:ext>
          </c:extLst>
        </c:ser>
        <c:ser>
          <c:idx val="25"/>
          <c:order val="25"/>
          <c:tx>
            <c:strRef>
              <c:f>'50..800_F2amp'!$AA$3:$AA$4</c:f>
              <c:strCache>
                <c:ptCount val="1"/>
                <c:pt idx="0">
                  <c:v>F05</c:v>
                </c:pt>
              </c:strCache>
            </c:strRef>
          </c:tx>
          <c:spPr>
            <a:ln w="28575" cap="rnd">
              <a:solidFill>
                <a:schemeClr val="accent2">
                  <a:lumMod val="60000"/>
                  <a:lumOff val="4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'50..800_F2amp'!$AA$5:$AA$50</c:f>
              <c:numCache>
                <c:formatCode>General</c:formatCode>
                <c:ptCount val="45"/>
                <c:pt idx="0">
                  <c:v>6815.8</c:v>
                </c:pt>
                <c:pt idx="1">
                  <c:v>6889.75</c:v>
                </c:pt>
                <c:pt idx="2">
                  <c:v>6898.75</c:v>
                </c:pt>
                <c:pt idx="3">
                  <c:v>6907.91</c:v>
                </c:pt>
                <c:pt idx="4">
                  <c:v>6913.7</c:v>
                </c:pt>
                <c:pt idx="5">
                  <c:v>6922.11</c:v>
                </c:pt>
                <c:pt idx="6">
                  <c:v>6932.03</c:v>
                </c:pt>
                <c:pt idx="7">
                  <c:v>6941.09</c:v>
                </c:pt>
                <c:pt idx="8">
                  <c:v>6949.13</c:v>
                </c:pt>
                <c:pt idx="9">
                  <c:v>6954.26</c:v>
                </c:pt>
                <c:pt idx="10">
                  <c:v>6959.58</c:v>
                </c:pt>
                <c:pt idx="11">
                  <c:v>6965.01</c:v>
                </c:pt>
                <c:pt idx="12">
                  <c:v>6970.5</c:v>
                </c:pt>
                <c:pt idx="13">
                  <c:v>6975.05</c:v>
                </c:pt>
                <c:pt idx="14">
                  <c:v>6977.55</c:v>
                </c:pt>
                <c:pt idx="15">
                  <c:v>6981.75</c:v>
                </c:pt>
                <c:pt idx="16">
                  <c:v>6985.48</c:v>
                </c:pt>
                <c:pt idx="17">
                  <c:v>6988.59</c:v>
                </c:pt>
                <c:pt idx="18">
                  <c:v>6995.03</c:v>
                </c:pt>
                <c:pt idx="19">
                  <c:v>7004.67</c:v>
                </c:pt>
                <c:pt idx="20">
                  <c:v>7022.91</c:v>
                </c:pt>
                <c:pt idx="21">
                  <c:v>7060.08</c:v>
                </c:pt>
                <c:pt idx="22">
                  <c:v>7133.33</c:v>
                </c:pt>
                <c:pt idx="23">
                  <c:v>7267.29</c:v>
                </c:pt>
                <c:pt idx="24">
                  <c:v>7514.93</c:v>
                </c:pt>
                <c:pt idx="25">
                  <c:v>7946.03</c:v>
                </c:pt>
                <c:pt idx="26">
                  <c:v>8647.44</c:v>
                </c:pt>
                <c:pt idx="27">
                  <c:v>9614.27</c:v>
                </c:pt>
                <c:pt idx="28">
                  <c:v>10784.96</c:v>
                </c:pt>
                <c:pt idx="29">
                  <c:v>12125.83</c:v>
                </c:pt>
                <c:pt idx="30">
                  <c:v>13526.77</c:v>
                </c:pt>
                <c:pt idx="31">
                  <c:v>14886.78</c:v>
                </c:pt>
                <c:pt idx="32">
                  <c:v>16133.47</c:v>
                </c:pt>
                <c:pt idx="33">
                  <c:v>17221.25</c:v>
                </c:pt>
                <c:pt idx="34">
                  <c:v>18127.93</c:v>
                </c:pt>
                <c:pt idx="35">
                  <c:v>18843.14</c:v>
                </c:pt>
                <c:pt idx="36">
                  <c:v>19265.93</c:v>
                </c:pt>
                <c:pt idx="37">
                  <c:v>19714.96</c:v>
                </c:pt>
                <c:pt idx="38">
                  <c:v>19978.28</c:v>
                </c:pt>
                <c:pt idx="39">
                  <c:v>20258.830000000002</c:v>
                </c:pt>
                <c:pt idx="40">
                  <c:v>20423.349999999999</c:v>
                </c:pt>
                <c:pt idx="41">
                  <c:v>20591.23</c:v>
                </c:pt>
                <c:pt idx="42">
                  <c:v>20661.59</c:v>
                </c:pt>
                <c:pt idx="43">
                  <c:v>20755.28</c:v>
                </c:pt>
                <c:pt idx="44">
                  <c:v>20807.259999999998</c:v>
                </c:pt>
              </c:numCache>
            </c:numRef>
          </c:val>
          <c:smooth val="0"/>
          <c:extLst>
            <c:ext xmlns:c16="http://schemas.microsoft.com/office/drawing/2014/chart" uri="{C3380CC4-5D6E-409C-BE32-E72D297353CC}">
              <c16:uniqueId val="{00000019-D41B-49A3-A743-35A0D5C18E08}"/>
            </c:ext>
          </c:extLst>
        </c:ser>
        <c:ser>
          <c:idx val="26"/>
          <c:order val="26"/>
          <c:tx>
            <c:strRef>
              <c:f>'50..800_F2amp'!$AB$3:$AB$4</c:f>
              <c:strCache>
                <c:ptCount val="1"/>
                <c:pt idx="0">
                  <c:v>F06</c:v>
                </c:pt>
              </c:strCache>
            </c:strRef>
          </c:tx>
          <c:spPr>
            <a:ln w="28575" cap="rnd">
              <a:solidFill>
                <a:schemeClr val="accent3">
                  <a:lumMod val="60000"/>
                  <a:lumOff val="4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'50..800_F2amp'!$AB$5:$AB$50</c:f>
              <c:numCache>
                <c:formatCode>General</c:formatCode>
                <c:ptCount val="45"/>
                <c:pt idx="0">
                  <c:v>6922.3</c:v>
                </c:pt>
                <c:pt idx="1">
                  <c:v>6982.96</c:v>
                </c:pt>
                <c:pt idx="2">
                  <c:v>7018.47</c:v>
                </c:pt>
                <c:pt idx="3">
                  <c:v>7030.84</c:v>
                </c:pt>
                <c:pt idx="4">
                  <c:v>7044.03</c:v>
                </c:pt>
                <c:pt idx="5">
                  <c:v>7057.12</c:v>
                </c:pt>
                <c:pt idx="6">
                  <c:v>7067.64</c:v>
                </c:pt>
                <c:pt idx="7">
                  <c:v>7078.14</c:v>
                </c:pt>
                <c:pt idx="8">
                  <c:v>7088.9</c:v>
                </c:pt>
                <c:pt idx="9">
                  <c:v>7098.32</c:v>
                </c:pt>
                <c:pt idx="10">
                  <c:v>7104.11</c:v>
                </c:pt>
                <c:pt idx="11">
                  <c:v>7110.23</c:v>
                </c:pt>
                <c:pt idx="12">
                  <c:v>7117.92</c:v>
                </c:pt>
                <c:pt idx="13">
                  <c:v>7118.01</c:v>
                </c:pt>
                <c:pt idx="14">
                  <c:v>7117.15</c:v>
                </c:pt>
                <c:pt idx="15">
                  <c:v>7116.13</c:v>
                </c:pt>
                <c:pt idx="16">
                  <c:v>7116.1</c:v>
                </c:pt>
                <c:pt idx="17">
                  <c:v>7116.18</c:v>
                </c:pt>
                <c:pt idx="18">
                  <c:v>7116.57</c:v>
                </c:pt>
                <c:pt idx="19">
                  <c:v>7123.22</c:v>
                </c:pt>
                <c:pt idx="20">
                  <c:v>7141.2</c:v>
                </c:pt>
                <c:pt idx="21">
                  <c:v>7174.73</c:v>
                </c:pt>
                <c:pt idx="22">
                  <c:v>7243.79</c:v>
                </c:pt>
                <c:pt idx="23">
                  <c:v>7377.97</c:v>
                </c:pt>
                <c:pt idx="24">
                  <c:v>7628.14</c:v>
                </c:pt>
                <c:pt idx="25">
                  <c:v>8066.2</c:v>
                </c:pt>
                <c:pt idx="26">
                  <c:v>8761.9500000000007</c:v>
                </c:pt>
                <c:pt idx="27">
                  <c:v>9745.5499999999993</c:v>
                </c:pt>
                <c:pt idx="28">
                  <c:v>10977.26</c:v>
                </c:pt>
                <c:pt idx="29">
                  <c:v>12390.97</c:v>
                </c:pt>
                <c:pt idx="30">
                  <c:v>13849.48</c:v>
                </c:pt>
                <c:pt idx="31">
                  <c:v>15233.23</c:v>
                </c:pt>
                <c:pt idx="32">
                  <c:v>16490.689999999999</c:v>
                </c:pt>
                <c:pt idx="33">
                  <c:v>17583.77</c:v>
                </c:pt>
                <c:pt idx="34">
                  <c:v>18499.09</c:v>
                </c:pt>
                <c:pt idx="35">
                  <c:v>19234.62</c:v>
                </c:pt>
                <c:pt idx="36">
                  <c:v>19798.59</c:v>
                </c:pt>
                <c:pt idx="37">
                  <c:v>20128.240000000002</c:v>
                </c:pt>
                <c:pt idx="38">
                  <c:v>20376.169999999998</c:v>
                </c:pt>
                <c:pt idx="39">
                  <c:v>20656.98</c:v>
                </c:pt>
                <c:pt idx="40">
                  <c:v>20822.599999999999</c:v>
                </c:pt>
                <c:pt idx="41">
                  <c:v>20995.26</c:v>
                </c:pt>
                <c:pt idx="42">
                  <c:v>21069.06</c:v>
                </c:pt>
                <c:pt idx="43">
                  <c:v>21167.89</c:v>
                </c:pt>
                <c:pt idx="44">
                  <c:v>21222.81</c:v>
                </c:pt>
              </c:numCache>
            </c:numRef>
          </c:val>
          <c:smooth val="0"/>
          <c:extLst>
            <c:ext xmlns:c16="http://schemas.microsoft.com/office/drawing/2014/chart" uri="{C3380CC4-5D6E-409C-BE32-E72D297353CC}">
              <c16:uniqueId val="{0000001A-D41B-49A3-A743-35A0D5C18E08}"/>
            </c:ext>
          </c:extLst>
        </c:ser>
        <c:ser>
          <c:idx val="27"/>
          <c:order val="27"/>
          <c:tx>
            <c:strRef>
              <c:f>'50..800_F2amp'!$AC$3:$AC$4</c:f>
              <c:strCache>
                <c:ptCount val="1"/>
                <c:pt idx="0">
                  <c:v>F07</c:v>
                </c:pt>
              </c:strCache>
            </c:strRef>
          </c:tx>
          <c:spPr>
            <a:ln w="28575" cap="rnd">
              <a:solidFill>
                <a:schemeClr val="accent4">
                  <a:lumMod val="60000"/>
                  <a:lumOff val="4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'50..800_F2amp'!$AC$5:$AC$50</c:f>
              <c:numCache>
                <c:formatCode>General</c:formatCode>
                <c:ptCount val="45"/>
                <c:pt idx="0">
                  <c:v>5866.9</c:v>
                </c:pt>
                <c:pt idx="1">
                  <c:v>5979.39</c:v>
                </c:pt>
                <c:pt idx="2">
                  <c:v>5986.05</c:v>
                </c:pt>
                <c:pt idx="3">
                  <c:v>5991.75</c:v>
                </c:pt>
                <c:pt idx="4">
                  <c:v>6002.3</c:v>
                </c:pt>
                <c:pt idx="5">
                  <c:v>6011.18</c:v>
                </c:pt>
                <c:pt idx="6">
                  <c:v>6020.08</c:v>
                </c:pt>
                <c:pt idx="7">
                  <c:v>6025.6</c:v>
                </c:pt>
                <c:pt idx="8">
                  <c:v>6032.64</c:v>
                </c:pt>
                <c:pt idx="9">
                  <c:v>6037.64</c:v>
                </c:pt>
                <c:pt idx="10">
                  <c:v>6042.92</c:v>
                </c:pt>
                <c:pt idx="11">
                  <c:v>6048.14</c:v>
                </c:pt>
                <c:pt idx="12">
                  <c:v>6054.14</c:v>
                </c:pt>
                <c:pt idx="13">
                  <c:v>6058.05</c:v>
                </c:pt>
                <c:pt idx="14">
                  <c:v>6062.24</c:v>
                </c:pt>
                <c:pt idx="15">
                  <c:v>6062.27</c:v>
                </c:pt>
                <c:pt idx="16">
                  <c:v>6062.08</c:v>
                </c:pt>
                <c:pt idx="17">
                  <c:v>6062.36</c:v>
                </c:pt>
                <c:pt idx="18">
                  <c:v>6064.36</c:v>
                </c:pt>
                <c:pt idx="19">
                  <c:v>6072</c:v>
                </c:pt>
                <c:pt idx="20">
                  <c:v>6087.41</c:v>
                </c:pt>
                <c:pt idx="21">
                  <c:v>6117.24</c:v>
                </c:pt>
                <c:pt idx="22">
                  <c:v>6176.87</c:v>
                </c:pt>
                <c:pt idx="23">
                  <c:v>6287.9</c:v>
                </c:pt>
                <c:pt idx="24">
                  <c:v>6495.53</c:v>
                </c:pt>
                <c:pt idx="25">
                  <c:v>6860.69</c:v>
                </c:pt>
                <c:pt idx="26">
                  <c:v>7441.64</c:v>
                </c:pt>
                <c:pt idx="27">
                  <c:v>8270.89</c:v>
                </c:pt>
                <c:pt idx="28">
                  <c:v>9288.86</c:v>
                </c:pt>
                <c:pt idx="29">
                  <c:v>10479.969999999999</c:v>
                </c:pt>
                <c:pt idx="30">
                  <c:v>11699.38</c:v>
                </c:pt>
                <c:pt idx="31">
                  <c:v>12879.38</c:v>
                </c:pt>
                <c:pt idx="32">
                  <c:v>13968.14</c:v>
                </c:pt>
                <c:pt idx="33">
                  <c:v>14920.98</c:v>
                </c:pt>
                <c:pt idx="34">
                  <c:v>15718.77</c:v>
                </c:pt>
                <c:pt idx="35">
                  <c:v>16361.01</c:v>
                </c:pt>
                <c:pt idx="36">
                  <c:v>16725.03</c:v>
                </c:pt>
                <c:pt idx="37">
                  <c:v>17114.2</c:v>
                </c:pt>
                <c:pt idx="38">
                  <c:v>17341.12</c:v>
                </c:pt>
                <c:pt idx="39">
                  <c:v>17591.3</c:v>
                </c:pt>
                <c:pt idx="40">
                  <c:v>17735.560000000001</c:v>
                </c:pt>
                <c:pt idx="41">
                  <c:v>17842.91</c:v>
                </c:pt>
                <c:pt idx="42">
                  <c:v>17902.55</c:v>
                </c:pt>
                <c:pt idx="43">
                  <c:v>17987.53</c:v>
                </c:pt>
                <c:pt idx="44">
                  <c:v>18035.53</c:v>
                </c:pt>
              </c:numCache>
            </c:numRef>
          </c:val>
          <c:smooth val="0"/>
          <c:extLst>
            <c:ext xmlns:c16="http://schemas.microsoft.com/office/drawing/2014/chart" uri="{C3380CC4-5D6E-409C-BE32-E72D297353CC}">
              <c16:uniqueId val="{0000001B-D41B-49A3-A743-35A0D5C18E08}"/>
            </c:ext>
          </c:extLst>
        </c:ser>
        <c:ser>
          <c:idx val="28"/>
          <c:order val="28"/>
          <c:tx>
            <c:strRef>
              <c:f>'50..800_F2amp'!$AD$3:$AD$4</c:f>
              <c:strCache>
                <c:ptCount val="1"/>
                <c:pt idx="0">
                  <c:v>F08</c:v>
                </c:pt>
              </c:strCache>
            </c:strRef>
          </c:tx>
          <c:spPr>
            <a:ln w="28575" cap="rnd">
              <a:solidFill>
                <a:schemeClr val="accent5">
                  <a:lumMod val="60000"/>
                  <a:lumOff val="4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'50..800_F2amp'!$AD$5:$AD$50</c:f>
              <c:numCache>
                <c:formatCode>General</c:formatCode>
                <c:ptCount val="45"/>
                <c:pt idx="0">
                  <c:v>6927.3</c:v>
                </c:pt>
                <c:pt idx="1">
                  <c:v>7036.34</c:v>
                </c:pt>
                <c:pt idx="2">
                  <c:v>7053.21</c:v>
                </c:pt>
                <c:pt idx="3">
                  <c:v>7065.17</c:v>
                </c:pt>
                <c:pt idx="4">
                  <c:v>7075.16</c:v>
                </c:pt>
                <c:pt idx="5">
                  <c:v>7081.31</c:v>
                </c:pt>
                <c:pt idx="6">
                  <c:v>7087.98</c:v>
                </c:pt>
                <c:pt idx="7">
                  <c:v>7091.96</c:v>
                </c:pt>
                <c:pt idx="8">
                  <c:v>7098.72</c:v>
                </c:pt>
                <c:pt idx="9">
                  <c:v>7103.96</c:v>
                </c:pt>
                <c:pt idx="10">
                  <c:v>7108.81</c:v>
                </c:pt>
                <c:pt idx="11">
                  <c:v>7113.43</c:v>
                </c:pt>
                <c:pt idx="12">
                  <c:v>7113.74</c:v>
                </c:pt>
                <c:pt idx="13">
                  <c:v>7115.7</c:v>
                </c:pt>
                <c:pt idx="14">
                  <c:v>7116.29</c:v>
                </c:pt>
                <c:pt idx="15">
                  <c:v>7116.4</c:v>
                </c:pt>
                <c:pt idx="16">
                  <c:v>7115.78</c:v>
                </c:pt>
                <c:pt idx="17">
                  <c:v>7115.25</c:v>
                </c:pt>
                <c:pt idx="18">
                  <c:v>7116.41</c:v>
                </c:pt>
                <c:pt idx="19">
                  <c:v>7123.02</c:v>
                </c:pt>
                <c:pt idx="20">
                  <c:v>7140.23</c:v>
                </c:pt>
                <c:pt idx="21">
                  <c:v>7176.34</c:v>
                </c:pt>
                <c:pt idx="22">
                  <c:v>7248.72</c:v>
                </c:pt>
                <c:pt idx="23">
                  <c:v>7381.86</c:v>
                </c:pt>
                <c:pt idx="24">
                  <c:v>7625.57</c:v>
                </c:pt>
                <c:pt idx="25">
                  <c:v>8051.7</c:v>
                </c:pt>
                <c:pt idx="26">
                  <c:v>8732.5300000000007</c:v>
                </c:pt>
                <c:pt idx="27">
                  <c:v>9703.99</c:v>
                </c:pt>
                <c:pt idx="28">
                  <c:v>10926.02</c:v>
                </c:pt>
                <c:pt idx="29">
                  <c:v>12328.98</c:v>
                </c:pt>
                <c:pt idx="30">
                  <c:v>13755.86</c:v>
                </c:pt>
                <c:pt idx="31">
                  <c:v>15155</c:v>
                </c:pt>
                <c:pt idx="32">
                  <c:v>16424.07</c:v>
                </c:pt>
                <c:pt idx="33">
                  <c:v>17523.5</c:v>
                </c:pt>
                <c:pt idx="34">
                  <c:v>18441.27</c:v>
                </c:pt>
                <c:pt idx="35">
                  <c:v>19178.580000000002</c:v>
                </c:pt>
                <c:pt idx="36">
                  <c:v>19595.080000000002</c:v>
                </c:pt>
                <c:pt idx="37">
                  <c:v>20047.12</c:v>
                </c:pt>
                <c:pt idx="38">
                  <c:v>20312.54</c:v>
                </c:pt>
                <c:pt idx="39">
                  <c:v>20592.349999999999</c:v>
                </c:pt>
                <c:pt idx="40">
                  <c:v>20754.439999999999</c:v>
                </c:pt>
                <c:pt idx="41">
                  <c:v>20870.740000000002</c:v>
                </c:pt>
                <c:pt idx="42">
                  <c:v>20932.04</c:v>
                </c:pt>
                <c:pt idx="43">
                  <c:v>21018.6</c:v>
                </c:pt>
                <c:pt idx="44">
                  <c:v>21067.39</c:v>
                </c:pt>
              </c:numCache>
            </c:numRef>
          </c:val>
          <c:smooth val="0"/>
          <c:extLst>
            <c:ext xmlns:c16="http://schemas.microsoft.com/office/drawing/2014/chart" uri="{C3380CC4-5D6E-409C-BE32-E72D297353CC}">
              <c16:uniqueId val="{0000001C-D41B-49A3-A743-35A0D5C18E08}"/>
            </c:ext>
          </c:extLst>
        </c:ser>
        <c:ser>
          <c:idx val="29"/>
          <c:order val="29"/>
          <c:tx>
            <c:strRef>
              <c:f>'50..800_F2amp'!$AE$3:$AE$4</c:f>
              <c:strCache>
                <c:ptCount val="1"/>
                <c:pt idx="0">
                  <c:v>F09</c:v>
                </c:pt>
              </c:strCache>
            </c:strRef>
          </c:tx>
          <c:spPr>
            <a:ln w="28575" cap="rnd">
              <a:solidFill>
                <a:schemeClr val="accent6">
                  <a:lumMod val="60000"/>
                  <a:lumOff val="4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'50..800_F2amp'!$AE$5:$AE$50</c:f>
              <c:numCache>
                <c:formatCode>General</c:formatCode>
                <c:ptCount val="45"/>
                <c:pt idx="0">
                  <c:v>6012.6</c:v>
                </c:pt>
                <c:pt idx="1">
                  <c:v>6079.63</c:v>
                </c:pt>
                <c:pt idx="2">
                  <c:v>6095.55</c:v>
                </c:pt>
                <c:pt idx="3">
                  <c:v>6108.63</c:v>
                </c:pt>
                <c:pt idx="4">
                  <c:v>6120.41</c:v>
                </c:pt>
                <c:pt idx="5">
                  <c:v>6127.48</c:v>
                </c:pt>
                <c:pt idx="6">
                  <c:v>6136.52</c:v>
                </c:pt>
                <c:pt idx="7">
                  <c:v>6142.76</c:v>
                </c:pt>
                <c:pt idx="8">
                  <c:v>6150.71</c:v>
                </c:pt>
                <c:pt idx="9">
                  <c:v>6155.75</c:v>
                </c:pt>
                <c:pt idx="10">
                  <c:v>6159.92</c:v>
                </c:pt>
                <c:pt idx="11">
                  <c:v>6164.47</c:v>
                </c:pt>
                <c:pt idx="12">
                  <c:v>6167.64</c:v>
                </c:pt>
                <c:pt idx="13">
                  <c:v>6171.27</c:v>
                </c:pt>
                <c:pt idx="14">
                  <c:v>6176.36</c:v>
                </c:pt>
                <c:pt idx="15">
                  <c:v>6179.46</c:v>
                </c:pt>
                <c:pt idx="16">
                  <c:v>6183.63</c:v>
                </c:pt>
                <c:pt idx="17">
                  <c:v>6186.53</c:v>
                </c:pt>
                <c:pt idx="18">
                  <c:v>6189.06</c:v>
                </c:pt>
                <c:pt idx="19">
                  <c:v>6197.25</c:v>
                </c:pt>
                <c:pt idx="20">
                  <c:v>6212.73</c:v>
                </c:pt>
                <c:pt idx="21">
                  <c:v>6242.91</c:v>
                </c:pt>
                <c:pt idx="22">
                  <c:v>6302.63</c:v>
                </c:pt>
                <c:pt idx="23">
                  <c:v>6418.58</c:v>
                </c:pt>
                <c:pt idx="24">
                  <c:v>6639.73</c:v>
                </c:pt>
                <c:pt idx="25">
                  <c:v>7012.87</c:v>
                </c:pt>
                <c:pt idx="26">
                  <c:v>7621.85</c:v>
                </c:pt>
                <c:pt idx="27">
                  <c:v>8468.2999999999993</c:v>
                </c:pt>
                <c:pt idx="28">
                  <c:v>9501.44</c:v>
                </c:pt>
                <c:pt idx="29">
                  <c:v>10690.55</c:v>
                </c:pt>
                <c:pt idx="30">
                  <c:v>11958.01</c:v>
                </c:pt>
                <c:pt idx="31">
                  <c:v>13174.04</c:v>
                </c:pt>
                <c:pt idx="32">
                  <c:v>14279.47</c:v>
                </c:pt>
                <c:pt idx="33">
                  <c:v>15241.71</c:v>
                </c:pt>
                <c:pt idx="34">
                  <c:v>16045.56</c:v>
                </c:pt>
                <c:pt idx="35">
                  <c:v>16690.900000000001</c:v>
                </c:pt>
                <c:pt idx="36">
                  <c:v>17188.64</c:v>
                </c:pt>
                <c:pt idx="37">
                  <c:v>17480.95</c:v>
                </c:pt>
                <c:pt idx="38">
                  <c:v>17793.87</c:v>
                </c:pt>
                <c:pt idx="39">
                  <c:v>17975.05</c:v>
                </c:pt>
                <c:pt idx="40">
                  <c:v>18107.98</c:v>
                </c:pt>
                <c:pt idx="41">
                  <c:v>18255.04</c:v>
                </c:pt>
                <c:pt idx="42">
                  <c:v>18317.900000000001</c:v>
                </c:pt>
                <c:pt idx="43">
                  <c:v>18402.03</c:v>
                </c:pt>
                <c:pt idx="44">
                  <c:v>18448.77</c:v>
                </c:pt>
              </c:numCache>
            </c:numRef>
          </c:val>
          <c:smooth val="0"/>
          <c:extLst>
            <c:ext xmlns:c16="http://schemas.microsoft.com/office/drawing/2014/chart" uri="{C3380CC4-5D6E-409C-BE32-E72D297353CC}">
              <c16:uniqueId val="{0000001D-D41B-49A3-A743-35A0D5C18E08}"/>
            </c:ext>
          </c:extLst>
        </c:ser>
        <c:ser>
          <c:idx val="30"/>
          <c:order val="30"/>
          <c:tx>
            <c:strRef>
              <c:f>'50..800_F2amp'!$AF$3:$AF$4</c:f>
              <c:strCache>
                <c:ptCount val="1"/>
                <c:pt idx="0">
                  <c:v>F10</c:v>
                </c:pt>
              </c:strCache>
            </c:strRef>
          </c:tx>
          <c:spPr>
            <a:ln w="28575" cap="rnd">
              <a:solidFill>
                <a:schemeClr val="accent1">
                  <a:lumMod val="5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'50..800_F2amp'!$AF$5:$AF$50</c:f>
              <c:numCache>
                <c:formatCode>General</c:formatCode>
                <c:ptCount val="45"/>
                <c:pt idx="0">
                  <c:v>6521.2</c:v>
                </c:pt>
                <c:pt idx="1">
                  <c:v>6589.44</c:v>
                </c:pt>
                <c:pt idx="2">
                  <c:v>6597.35</c:v>
                </c:pt>
                <c:pt idx="3">
                  <c:v>6608.53</c:v>
                </c:pt>
                <c:pt idx="4">
                  <c:v>6617.06</c:v>
                </c:pt>
                <c:pt idx="5">
                  <c:v>6623.92</c:v>
                </c:pt>
                <c:pt idx="6">
                  <c:v>6631.01</c:v>
                </c:pt>
                <c:pt idx="7">
                  <c:v>6636.03</c:v>
                </c:pt>
                <c:pt idx="8">
                  <c:v>6640.59</c:v>
                </c:pt>
                <c:pt idx="9">
                  <c:v>6642.8</c:v>
                </c:pt>
                <c:pt idx="10">
                  <c:v>6646.97</c:v>
                </c:pt>
                <c:pt idx="11">
                  <c:v>6652.73</c:v>
                </c:pt>
                <c:pt idx="12">
                  <c:v>6657.02</c:v>
                </c:pt>
                <c:pt idx="13">
                  <c:v>6660.18</c:v>
                </c:pt>
                <c:pt idx="14">
                  <c:v>6659.05</c:v>
                </c:pt>
                <c:pt idx="15">
                  <c:v>6658</c:v>
                </c:pt>
                <c:pt idx="16">
                  <c:v>6657.61</c:v>
                </c:pt>
                <c:pt idx="17">
                  <c:v>6657.14</c:v>
                </c:pt>
                <c:pt idx="18">
                  <c:v>6658.7</c:v>
                </c:pt>
                <c:pt idx="19">
                  <c:v>6666.82</c:v>
                </c:pt>
                <c:pt idx="20">
                  <c:v>6683.68</c:v>
                </c:pt>
                <c:pt idx="21">
                  <c:v>6714.78</c:v>
                </c:pt>
                <c:pt idx="22">
                  <c:v>6779.36</c:v>
                </c:pt>
                <c:pt idx="23">
                  <c:v>6907.83</c:v>
                </c:pt>
                <c:pt idx="24">
                  <c:v>7144.93</c:v>
                </c:pt>
                <c:pt idx="25">
                  <c:v>7554.69</c:v>
                </c:pt>
                <c:pt idx="26">
                  <c:v>8228.4599999999991</c:v>
                </c:pt>
                <c:pt idx="27">
                  <c:v>9158.58</c:v>
                </c:pt>
                <c:pt idx="28">
                  <c:v>10282.85</c:v>
                </c:pt>
                <c:pt idx="29">
                  <c:v>11573.54</c:v>
                </c:pt>
                <c:pt idx="30">
                  <c:v>12917.32</c:v>
                </c:pt>
                <c:pt idx="31">
                  <c:v>14219.73</c:v>
                </c:pt>
                <c:pt idx="32">
                  <c:v>15412.88</c:v>
                </c:pt>
                <c:pt idx="33">
                  <c:v>16460.62</c:v>
                </c:pt>
                <c:pt idx="34">
                  <c:v>17333.21</c:v>
                </c:pt>
                <c:pt idx="35">
                  <c:v>18010.03</c:v>
                </c:pt>
                <c:pt idx="36">
                  <c:v>18405.61</c:v>
                </c:pt>
                <c:pt idx="37">
                  <c:v>18836.36</c:v>
                </c:pt>
                <c:pt idx="38">
                  <c:v>19087.650000000001</c:v>
                </c:pt>
                <c:pt idx="39">
                  <c:v>19346.259999999998</c:v>
                </c:pt>
                <c:pt idx="40">
                  <c:v>19495.27</c:v>
                </c:pt>
                <c:pt idx="41">
                  <c:v>19645.91</c:v>
                </c:pt>
                <c:pt idx="42">
                  <c:v>19709.59</c:v>
                </c:pt>
                <c:pt idx="43">
                  <c:v>19794.64</c:v>
                </c:pt>
                <c:pt idx="44">
                  <c:v>19841.86</c:v>
                </c:pt>
              </c:numCache>
            </c:numRef>
          </c:val>
          <c:smooth val="0"/>
          <c:extLst>
            <c:ext xmlns:c16="http://schemas.microsoft.com/office/drawing/2014/chart" uri="{C3380CC4-5D6E-409C-BE32-E72D297353CC}">
              <c16:uniqueId val="{0000001E-D41B-49A3-A743-35A0D5C18E08}"/>
            </c:ext>
          </c:extLst>
        </c:ser>
        <c:ser>
          <c:idx val="31"/>
          <c:order val="31"/>
          <c:tx>
            <c:strRef>
              <c:f>'50..800_F2amp'!$AG$3:$AG$4</c:f>
              <c:strCache>
                <c:ptCount val="1"/>
                <c:pt idx="0">
                  <c:v>F11</c:v>
                </c:pt>
              </c:strCache>
            </c:strRef>
          </c:tx>
          <c:spPr>
            <a:ln w="28575" cap="rnd">
              <a:solidFill>
                <a:schemeClr val="accent2">
                  <a:lumMod val="5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'50..800_F2amp'!$AG$5:$AG$50</c:f>
              <c:numCache>
                <c:formatCode>General</c:formatCode>
                <c:ptCount val="45"/>
                <c:pt idx="0">
                  <c:v>6842.7</c:v>
                </c:pt>
                <c:pt idx="1">
                  <c:v>6958.23</c:v>
                </c:pt>
                <c:pt idx="2">
                  <c:v>6962.17</c:v>
                </c:pt>
                <c:pt idx="3">
                  <c:v>6967.03</c:v>
                </c:pt>
                <c:pt idx="4">
                  <c:v>6972.04</c:v>
                </c:pt>
                <c:pt idx="5">
                  <c:v>6978.2</c:v>
                </c:pt>
                <c:pt idx="6">
                  <c:v>6983.26</c:v>
                </c:pt>
                <c:pt idx="7">
                  <c:v>6987.3</c:v>
                </c:pt>
                <c:pt idx="8">
                  <c:v>6989.47</c:v>
                </c:pt>
                <c:pt idx="9">
                  <c:v>6992.49</c:v>
                </c:pt>
                <c:pt idx="10">
                  <c:v>6996.24</c:v>
                </c:pt>
                <c:pt idx="11">
                  <c:v>6996.52</c:v>
                </c:pt>
                <c:pt idx="12">
                  <c:v>6996.43</c:v>
                </c:pt>
                <c:pt idx="13">
                  <c:v>6996.65</c:v>
                </c:pt>
                <c:pt idx="14">
                  <c:v>6997.19</c:v>
                </c:pt>
                <c:pt idx="15">
                  <c:v>6997.59</c:v>
                </c:pt>
                <c:pt idx="16">
                  <c:v>6997.58</c:v>
                </c:pt>
                <c:pt idx="17">
                  <c:v>6997.1</c:v>
                </c:pt>
                <c:pt idx="18">
                  <c:v>6999.29</c:v>
                </c:pt>
                <c:pt idx="19">
                  <c:v>7005.9</c:v>
                </c:pt>
                <c:pt idx="20">
                  <c:v>7019.28</c:v>
                </c:pt>
                <c:pt idx="21">
                  <c:v>7052.12</c:v>
                </c:pt>
                <c:pt idx="22">
                  <c:v>7118.43</c:v>
                </c:pt>
                <c:pt idx="23">
                  <c:v>7241.78</c:v>
                </c:pt>
                <c:pt idx="24">
                  <c:v>7471.65</c:v>
                </c:pt>
                <c:pt idx="25">
                  <c:v>7879.34</c:v>
                </c:pt>
                <c:pt idx="26">
                  <c:v>8548.66</c:v>
                </c:pt>
                <c:pt idx="27">
                  <c:v>9479.3799999999992</c:v>
                </c:pt>
                <c:pt idx="28">
                  <c:v>10618.5</c:v>
                </c:pt>
                <c:pt idx="29">
                  <c:v>11957.61</c:v>
                </c:pt>
                <c:pt idx="30">
                  <c:v>13335.76</c:v>
                </c:pt>
                <c:pt idx="31">
                  <c:v>14667.78</c:v>
                </c:pt>
                <c:pt idx="32">
                  <c:v>15891.84</c:v>
                </c:pt>
                <c:pt idx="33">
                  <c:v>16961.18</c:v>
                </c:pt>
                <c:pt idx="34">
                  <c:v>17854.05</c:v>
                </c:pt>
                <c:pt idx="35">
                  <c:v>18568.96</c:v>
                </c:pt>
                <c:pt idx="36">
                  <c:v>18971.150000000001</c:v>
                </c:pt>
                <c:pt idx="37">
                  <c:v>19408.830000000002</c:v>
                </c:pt>
                <c:pt idx="38">
                  <c:v>19663.080000000002</c:v>
                </c:pt>
                <c:pt idx="39">
                  <c:v>19935.740000000002</c:v>
                </c:pt>
                <c:pt idx="40">
                  <c:v>20093.080000000002</c:v>
                </c:pt>
                <c:pt idx="41">
                  <c:v>20206.09</c:v>
                </c:pt>
                <c:pt idx="42">
                  <c:v>20265.7</c:v>
                </c:pt>
                <c:pt idx="43">
                  <c:v>20350.009999999998</c:v>
                </c:pt>
                <c:pt idx="44">
                  <c:v>20397.54</c:v>
                </c:pt>
              </c:numCache>
            </c:numRef>
          </c:val>
          <c:smooth val="0"/>
          <c:extLst>
            <c:ext xmlns:c16="http://schemas.microsoft.com/office/drawing/2014/chart" uri="{C3380CC4-5D6E-409C-BE32-E72D297353CC}">
              <c16:uniqueId val="{0000001F-D41B-49A3-A743-35A0D5C18E08}"/>
            </c:ext>
          </c:extLst>
        </c:ser>
        <c:ser>
          <c:idx val="32"/>
          <c:order val="32"/>
          <c:tx>
            <c:strRef>
              <c:f>'50..800_F2amp'!$AH$3:$AH$4</c:f>
              <c:strCache>
                <c:ptCount val="1"/>
                <c:pt idx="0">
                  <c:v>F12</c:v>
                </c:pt>
              </c:strCache>
            </c:strRef>
          </c:tx>
          <c:spPr>
            <a:ln w="28575" cap="rnd">
              <a:solidFill>
                <a:schemeClr val="accent3">
                  <a:lumMod val="50000"/>
                </a:schemeClr>
              </a:solidFill>
              <a:round/>
            </a:ln>
            <a:effectLst/>
          </c:spPr>
          <c:marker>
            <c:symbol val="none"/>
          </c:marker>
          <c:cat>
            <c:strRef>
              <c:f>'50..800_F2amp'!$A$5:$A$50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'50..800_F2amp'!$AH$5:$AH$50</c:f>
              <c:numCache>
                <c:formatCode>General</c:formatCode>
                <c:ptCount val="45"/>
                <c:pt idx="0">
                  <c:v>6674.8</c:v>
                </c:pt>
                <c:pt idx="1">
                  <c:v>6788.72</c:v>
                </c:pt>
                <c:pt idx="2">
                  <c:v>6786.19</c:v>
                </c:pt>
                <c:pt idx="3">
                  <c:v>6784.26</c:v>
                </c:pt>
                <c:pt idx="4">
                  <c:v>6786.49</c:v>
                </c:pt>
                <c:pt idx="5">
                  <c:v>6796.77</c:v>
                </c:pt>
                <c:pt idx="6">
                  <c:v>6805.88</c:v>
                </c:pt>
                <c:pt idx="7">
                  <c:v>6816.97</c:v>
                </c:pt>
                <c:pt idx="8">
                  <c:v>6828.07</c:v>
                </c:pt>
                <c:pt idx="9">
                  <c:v>6835</c:v>
                </c:pt>
                <c:pt idx="10">
                  <c:v>6844.09</c:v>
                </c:pt>
                <c:pt idx="11">
                  <c:v>6853.35</c:v>
                </c:pt>
                <c:pt idx="12">
                  <c:v>6862.26</c:v>
                </c:pt>
                <c:pt idx="13">
                  <c:v>6867.32</c:v>
                </c:pt>
                <c:pt idx="14">
                  <c:v>6872.63</c:v>
                </c:pt>
                <c:pt idx="15">
                  <c:v>6876.7</c:v>
                </c:pt>
                <c:pt idx="16">
                  <c:v>6879.34</c:v>
                </c:pt>
                <c:pt idx="17">
                  <c:v>6879.03</c:v>
                </c:pt>
                <c:pt idx="18">
                  <c:v>6877.64</c:v>
                </c:pt>
                <c:pt idx="19">
                  <c:v>6882.69</c:v>
                </c:pt>
                <c:pt idx="20">
                  <c:v>6896.81</c:v>
                </c:pt>
                <c:pt idx="21">
                  <c:v>6925.39</c:v>
                </c:pt>
                <c:pt idx="22">
                  <c:v>6986.75</c:v>
                </c:pt>
                <c:pt idx="23">
                  <c:v>7112.86</c:v>
                </c:pt>
                <c:pt idx="24">
                  <c:v>7355.56</c:v>
                </c:pt>
                <c:pt idx="25">
                  <c:v>7796.32</c:v>
                </c:pt>
                <c:pt idx="26">
                  <c:v>8470.9</c:v>
                </c:pt>
                <c:pt idx="27">
                  <c:v>9406.16</c:v>
                </c:pt>
                <c:pt idx="28">
                  <c:v>10566.27</c:v>
                </c:pt>
                <c:pt idx="29">
                  <c:v>11874.24</c:v>
                </c:pt>
                <c:pt idx="30">
                  <c:v>13224.67</c:v>
                </c:pt>
                <c:pt idx="31">
                  <c:v>14529.32</c:v>
                </c:pt>
                <c:pt idx="32">
                  <c:v>15727.22</c:v>
                </c:pt>
                <c:pt idx="33">
                  <c:v>16769.93</c:v>
                </c:pt>
                <c:pt idx="34">
                  <c:v>17632.009999999998</c:v>
                </c:pt>
                <c:pt idx="35">
                  <c:v>18321.25</c:v>
                </c:pt>
                <c:pt idx="36">
                  <c:v>18711.990000000002</c:v>
                </c:pt>
                <c:pt idx="37">
                  <c:v>19137.86</c:v>
                </c:pt>
                <c:pt idx="38">
                  <c:v>19385.86</c:v>
                </c:pt>
                <c:pt idx="39">
                  <c:v>19570.23</c:v>
                </c:pt>
                <c:pt idx="40">
                  <c:v>19778.48</c:v>
                </c:pt>
                <c:pt idx="41">
                  <c:v>19950.72</c:v>
                </c:pt>
                <c:pt idx="42">
                  <c:v>20022.72</c:v>
                </c:pt>
                <c:pt idx="43">
                  <c:v>20118.77</c:v>
                </c:pt>
                <c:pt idx="44">
                  <c:v>20172.099999999999</c:v>
                </c:pt>
              </c:numCache>
            </c:numRef>
          </c:val>
          <c:smooth val="0"/>
          <c:extLst>
            <c:ext xmlns:c16="http://schemas.microsoft.com/office/drawing/2014/chart" uri="{C3380CC4-5D6E-409C-BE32-E72D297353CC}">
              <c16:uniqueId val="{00000021-D41B-49A3-A743-35A0D5C18E08}"/>
            </c:ext>
          </c:extLst>
        </c:ser>
        <c:dLbls>
          <c:showLegendKey val="0"/>
          <c:showVal val="0"/>
          <c:showCatName val="0"/>
          <c:showSerName val="0"/>
          <c:showPercent val="0"/>
          <c:showBubbleSize val="0"/>
        </c:dLbls>
        <c:smooth val="0"/>
        <c:axId val="1111497807"/>
        <c:axId val="1111497391"/>
      </c:lineChart>
      <c:catAx>
        <c:axId val="1111497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497391"/>
        <c:crosses val="autoZero"/>
        <c:auto val="1"/>
        <c:lblAlgn val="ctr"/>
        <c:lblOffset val="100"/>
        <c:noMultiLvlLbl val="0"/>
      </c:catAx>
      <c:valAx>
        <c:axId val="1111497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RFU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497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Periodicity in Increasing [Fwd] </a:t>
            </a:r>
          </a:p>
          <a:p>
            <a:pPr>
              <a:defRPr/>
            </a:pPr>
            <a:r>
              <a:rPr lang="en-US" sz="1800" b="0" i="0" baseline="0">
                <a:effectLst/>
              </a:rPr>
              <a:t>([Rev] Held Constant)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F2_matrix!$Q$1</c:f>
              <c:strCache>
                <c:ptCount val="1"/>
                <c:pt idx="0">
                  <c:v>Ct_mean</c:v>
                </c:pt>
              </c:strCache>
            </c:strRef>
          </c:tx>
          <c:spPr>
            <a:solidFill>
              <a:schemeClr val="accent1"/>
            </a:solidFill>
            <a:ln>
              <a:noFill/>
            </a:ln>
            <a:effectLst/>
          </c:spPr>
          <c:invertIfNegative val="0"/>
          <c:cat>
            <c:strRef>
              <c:f>F2_matrix!$P$2:$P$37</c:f>
              <c:strCache>
                <c:ptCount val="36"/>
                <c:pt idx="0">
                  <c:v>50_50</c:v>
                </c:pt>
                <c:pt idx="1">
                  <c:v>100_50</c:v>
                </c:pt>
                <c:pt idx="2">
                  <c:v>200_50</c:v>
                </c:pt>
                <c:pt idx="3">
                  <c:v>400_50</c:v>
                </c:pt>
                <c:pt idx="4">
                  <c:v>600_50</c:v>
                </c:pt>
                <c:pt idx="5">
                  <c:v>800_50</c:v>
                </c:pt>
                <c:pt idx="6">
                  <c:v>50_100</c:v>
                </c:pt>
                <c:pt idx="7">
                  <c:v>100_100</c:v>
                </c:pt>
                <c:pt idx="8">
                  <c:v>200_100</c:v>
                </c:pt>
                <c:pt idx="9">
                  <c:v>400_100</c:v>
                </c:pt>
                <c:pt idx="10">
                  <c:v>600_100</c:v>
                </c:pt>
                <c:pt idx="11">
                  <c:v>800_100</c:v>
                </c:pt>
                <c:pt idx="12">
                  <c:v>50_200</c:v>
                </c:pt>
                <c:pt idx="13">
                  <c:v>100_200</c:v>
                </c:pt>
                <c:pt idx="14">
                  <c:v>200_200</c:v>
                </c:pt>
                <c:pt idx="15">
                  <c:v>400_200</c:v>
                </c:pt>
                <c:pt idx="16">
                  <c:v>600_200</c:v>
                </c:pt>
                <c:pt idx="17">
                  <c:v>800_200</c:v>
                </c:pt>
                <c:pt idx="18">
                  <c:v>50_400</c:v>
                </c:pt>
                <c:pt idx="19">
                  <c:v>100_400</c:v>
                </c:pt>
                <c:pt idx="20">
                  <c:v>200_400</c:v>
                </c:pt>
                <c:pt idx="21">
                  <c:v>400_400</c:v>
                </c:pt>
                <c:pt idx="22">
                  <c:v>600_400</c:v>
                </c:pt>
                <c:pt idx="23">
                  <c:v>800_400</c:v>
                </c:pt>
                <c:pt idx="24">
                  <c:v>50_600</c:v>
                </c:pt>
                <c:pt idx="25">
                  <c:v>100_600</c:v>
                </c:pt>
                <c:pt idx="26">
                  <c:v>200_600</c:v>
                </c:pt>
                <c:pt idx="27">
                  <c:v>400_600</c:v>
                </c:pt>
                <c:pt idx="28">
                  <c:v>600_600</c:v>
                </c:pt>
                <c:pt idx="29">
                  <c:v>800_600</c:v>
                </c:pt>
                <c:pt idx="30">
                  <c:v>50_800</c:v>
                </c:pt>
                <c:pt idx="31">
                  <c:v>100_800</c:v>
                </c:pt>
                <c:pt idx="32">
                  <c:v>200_800</c:v>
                </c:pt>
                <c:pt idx="33">
                  <c:v>400_800</c:v>
                </c:pt>
                <c:pt idx="34">
                  <c:v>600_800</c:v>
                </c:pt>
                <c:pt idx="35">
                  <c:v>800_800</c:v>
                </c:pt>
              </c:strCache>
            </c:strRef>
          </c:cat>
          <c:val>
            <c:numRef>
              <c:f>F2_matrix!$Q$2:$Q$37</c:f>
              <c:numCache>
                <c:formatCode>General</c:formatCode>
                <c:ptCount val="36"/>
                <c:pt idx="0">
                  <c:v>39.799999999999997</c:v>
                </c:pt>
                <c:pt idx="1">
                  <c:v>36.75</c:v>
                </c:pt>
                <c:pt idx="2">
                  <c:v>38.069999999999993</c:v>
                </c:pt>
                <c:pt idx="3">
                  <c:v>37.840000000000003</c:v>
                </c:pt>
                <c:pt idx="4">
                  <c:v>37.019999999999996</c:v>
                </c:pt>
                <c:pt idx="5">
                  <c:v>36.765000000000001</c:v>
                </c:pt>
                <c:pt idx="6">
                  <c:v>0</c:v>
                </c:pt>
                <c:pt idx="7">
                  <c:v>38.909999999999997</c:v>
                </c:pt>
                <c:pt idx="8">
                  <c:v>35.36</c:v>
                </c:pt>
                <c:pt idx="9">
                  <c:v>34.245000000000005</c:v>
                </c:pt>
                <c:pt idx="10">
                  <c:v>33.92</c:v>
                </c:pt>
                <c:pt idx="11">
                  <c:v>33.81</c:v>
                </c:pt>
                <c:pt idx="12">
                  <c:v>42.09</c:v>
                </c:pt>
                <c:pt idx="13">
                  <c:v>37.125</c:v>
                </c:pt>
                <c:pt idx="14">
                  <c:v>33.32</c:v>
                </c:pt>
                <c:pt idx="15">
                  <c:v>32.230000000000004</c:v>
                </c:pt>
                <c:pt idx="16">
                  <c:v>32.35</c:v>
                </c:pt>
                <c:pt idx="17">
                  <c:v>32.15</c:v>
                </c:pt>
                <c:pt idx="18">
                  <c:v>36.81</c:v>
                </c:pt>
                <c:pt idx="19">
                  <c:v>35.840000000000003</c:v>
                </c:pt>
                <c:pt idx="20">
                  <c:v>32.695</c:v>
                </c:pt>
                <c:pt idx="21">
                  <c:v>31.795000000000002</c:v>
                </c:pt>
                <c:pt idx="22">
                  <c:v>31.75</c:v>
                </c:pt>
                <c:pt idx="23">
                  <c:v>31.515000000000001</c:v>
                </c:pt>
                <c:pt idx="24">
                  <c:v>42.07</c:v>
                </c:pt>
                <c:pt idx="25">
                  <c:v>35.58</c:v>
                </c:pt>
                <c:pt idx="26">
                  <c:v>32.11</c:v>
                </c:pt>
                <c:pt idx="27">
                  <c:v>31.484999999999999</c:v>
                </c:pt>
                <c:pt idx="28">
                  <c:v>30.725000000000001</c:v>
                </c:pt>
                <c:pt idx="29">
                  <c:v>30.58</c:v>
                </c:pt>
                <c:pt idx="30">
                  <c:v>42.24</c:v>
                </c:pt>
                <c:pt idx="31">
                  <c:v>35.194999999999993</c:v>
                </c:pt>
                <c:pt idx="32">
                  <c:v>31.35</c:v>
                </c:pt>
                <c:pt idx="33">
                  <c:v>30.695</c:v>
                </c:pt>
                <c:pt idx="34">
                  <c:v>30.229999999999997</c:v>
                </c:pt>
                <c:pt idx="35">
                  <c:v>30.215</c:v>
                </c:pt>
              </c:numCache>
            </c:numRef>
          </c:val>
          <c:extLst>
            <c:ext xmlns:c16="http://schemas.microsoft.com/office/drawing/2014/chart" uri="{C3380CC4-5D6E-409C-BE32-E72D297353CC}">
              <c16:uniqueId val="{00000000-D878-4350-82E9-D77F5B49583B}"/>
            </c:ext>
          </c:extLst>
        </c:ser>
        <c:dLbls>
          <c:showLegendKey val="0"/>
          <c:showVal val="0"/>
          <c:showCatName val="0"/>
          <c:showSerName val="0"/>
          <c:showPercent val="0"/>
          <c:showBubbleSize val="0"/>
        </c:dLbls>
        <c:gapWidth val="219"/>
        <c:overlap val="-27"/>
        <c:axId val="1135481488"/>
        <c:axId val="1135491056"/>
      </c:barChart>
      <c:catAx>
        <c:axId val="113548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491056"/>
        <c:crosses val="autoZero"/>
        <c:auto val="1"/>
        <c:lblAlgn val="ctr"/>
        <c:lblOffset val="100"/>
        <c:noMultiLvlLbl val="0"/>
      </c:catAx>
      <c:valAx>
        <c:axId val="1135491056"/>
        <c:scaling>
          <c:orientation val="minMax"/>
          <c:min val="2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481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Periodicity in Increasing [Rev] </a:t>
            </a:r>
            <a:endParaRPr lang="en-US">
              <a:effectLst/>
            </a:endParaRPr>
          </a:p>
          <a:p>
            <a:pPr>
              <a:defRPr/>
            </a:pPr>
            <a:r>
              <a:rPr lang="en-US" sz="1800" b="0" i="0" baseline="0">
                <a:effectLst/>
              </a:rPr>
              <a:t>([Fwd] Held Constant)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F2_matrix!$X$1</c:f>
              <c:strCache>
                <c:ptCount val="1"/>
                <c:pt idx="0">
                  <c:v>Ct_mean</c:v>
                </c:pt>
              </c:strCache>
            </c:strRef>
          </c:tx>
          <c:spPr>
            <a:solidFill>
              <a:schemeClr val="accent1"/>
            </a:solidFill>
            <a:ln>
              <a:noFill/>
            </a:ln>
            <a:effectLst/>
          </c:spPr>
          <c:invertIfNegative val="0"/>
          <c:cat>
            <c:strRef>
              <c:f>F2_matrix!$W$2:$W$37</c:f>
              <c:strCache>
                <c:ptCount val="36"/>
                <c:pt idx="0">
                  <c:v>50_50</c:v>
                </c:pt>
                <c:pt idx="1">
                  <c:v>50_100</c:v>
                </c:pt>
                <c:pt idx="2">
                  <c:v>50_200</c:v>
                </c:pt>
                <c:pt idx="3">
                  <c:v>50_400</c:v>
                </c:pt>
                <c:pt idx="4">
                  <c:v>50_600</c:v>
                </c:pt>
                <c:pt idx="5">
                  <c:v>50_800</c:v>
                </c:pt>
                <c:pt idx="6">
                  <c:v>100_50</c:v>
                </c:pt>
                <c:pt idx="7">
                  <c:v>100_100</c:v>
                </c:pt>
                <c:pt idx="8">
                  <c:v>100_200</c:v>
                </c:pt>
                <c:pt idx="9">
                  <c:v>100_400</c:v>
                </c:pt>
                <c:pt idx="10">
                  <c:v>100_600</c:v>
                </c:pt>
                <c:pt idx="11">
                  <c:v>100_800</c:v>
                </c:pt>
                <c:pt idx="12">
                  <c:v>200_50</c:v>
                </c:pt>
                <c:pt idx="13">
                  <c:v>200_100</c:v>
                </c:pt>
                <c:pt idx="14">
                  <c:v>200_200</c:v>
                </c:pt>
                <c:pt idx="15">
                  <c:v>200_400</c:v>
                </c:pt>
                <c:pt idx="16">
                  <c:v>200_600</c:v>
                </c:pt>
                <c:pt idx="17">
                  <c:v>200_800</c:v>
                </c:pt>
                <c:pt idx="18">
                  <c:v>400_50</c:v>
                </c:pt>
                <c:pt idx="19">
                  <c:v>400_100</c:v>
                </c:pt>
                <c:pt idx="20">
                  <c:v>400_200</c:v>
                </c:pt>
                <c:pt idx="21">
                  <c:v>400_400</c:v>
                </c:pt>
                <c:pt idx="22">
                  <c:v>400_600</c:v>
                </c:pt>
                <c:pt idx="23">
                  <c:v>400_800</c:v>
                </c:pt>
                <c:pt idx="24">
                  <c:v>600_50</c:v>
                </c:pt>
                <c:pt idx="25">
                  <c:v>600_100</c:v>
                </c:pt>
                <c:pt idx="26">
                  <c:v>600_200</c:v>
                </c:pt>
                <c:pt idx="27">
                  <c:v>600_400</c:v>
                </c:pt>
                <c:pt idx="28">
                  <c:v>600_600</c:v>
                </c:pt>
                <c:pt idx="29">
                  <c:v>600_800</c:v>
                </c:pt>
                <c:pt idx="30">
                  <c:v>800_50</c:v>
                </c:pt>
                <c:pt idx="31">
                  <c:v>800_100</c:v>
                </c:pt>
                <c:pt idx="32">
                  <c:v>800_200</c:v>
                </c:pt>
                <c:pt idx="33">
                  <c:v>800_400</c:v>
                </c:pt>
                <c:pt idx="34">
                  <c:v>800_600</c:v>
                </c:pt>
                <c:pt idx="35">
                  <c:v>800_800</c:v>
                </c:pt>
              </c:strCache>
            </c:strRef>
          </c:cat>
          <c:val>
            <c:numRef>
              <c:f>F2_matrix!$X$2:$X$37</c:f>
              <c:numCache>
                <c:formatCode>General</c:formatCode>
                <c:ptCount val="36"/>
                <c:pt idx="0">
                  <c:v>39.799999999999997</c:v>
                </c:pt>
                <c:pt idx="1">
                  <c:v>0</c:v>
                </c:pt>
                <c:pt idx="2">
                  <c:v>42.09</c:v>
                </c:pt>
                <c:pt idx="3">
                  <c:v>36.81</c:v>
                </c:pt>
                <c:pt idx="4">
                  <c:v>42.07</c:v>
                </c:pt>
                <c:pt idx="5">
                  <c:v>42.24</c:v>
                </c:pt>
                <c:pt idx="6">
                  <c:v>36.75</c:v>
                </c:pt>
                <c:pt idx="7">
                  <c:v>38.909999999999997</c:v>
                </c:pt>
                <c:pt idx="8">
                  <c:v>37.125</c:v>
                </c:pt>
                <c:pt idx="9">
                  <c:v>35.840000000000003</c:v>
                </c:pt>
                <c:pt idx="10">
                  <c:v>35.58</c:v>
                </c:pt>
                <c:pt idx="11">
                  <c:v>35.194999999999993</c:v>
                </c:pt>
                <c:pt idx="12">
                  <c:v>38.069999999999993</c:v>
                </c:pt>
                <c:pt idx="13">
                  <c:v>35.36</c:v>
                </c:pt>
                <c:pt idx="14">
                  <c:v>33.32</c:v>
                </c:pt>
                <c:pt idx="15">
                  <c:v>32.695</c:v>
                </c:pt>
                <c:pt idx="16">
                  <c:v>32.11</c:v>
                </c:pt>
                <c:pt idx="17">
                  <c:v>31.35</c:v>
                </c:pt>
                <c:pt idx="18">
                  <c:v>37.840000000000003</c:v>
                </c:pt>
                <c:pt idx="19">
                  <c:v>34.245000000000005</c:v>
                </c:pt>
                <c:pt idx="20">
                  <c:v>32.230000000000004</c:v>
                </c:pt>
                <c:pt idx="21">
                  <c:v>31.795000000000002</c:v>
                </c:pt>
                <c:pt idx="22">
                  <c:v>31.484999999999999</c:v>
                </c:pt>
                <c:pt idx="23">
                  <c:v>30.695</c:v>
                </c:pt>
                <c:pt idx="24">
                  <c:v>37.019999999999996</c:v>
                </c:pt>
                <c:pt idx="25">
                  <c:v>33.92</c:v>
                </c:pt>
                <c:pt idx="26">
                  <c:v>32.35</c:v>
                </c:pt>
                <c:pt idx="27">
                  <c:v>31.75</c:v>
                </c:pt>
                <c:pt idx="28">
                  <c:v>30.725000000000001</c:v>
                </c:pt>
                <c:pt idx="29">
                  <c:v>30.229999999999997</c:v>
                </c:pt>
                <c:pt idx="30">
                  <c:v>36.765000000000001</c:v>
                </c:pt>
                <c:pt idx="31">
                  <c:v>33.81</c:v>
                </c:pt>
                <c:pt idx="32">
                  <c:v>32.15</c:v>
                </c:pt>
                <c:pt idx="33">
                  <c:v>31.515000000000001</c:v>
                </c:pt>
                <c:pt idx="34">
                  <c:v>30.58</c:v>
                </c:pt>
                <c:pt idx="35">
                  <c:v>30.215</c:v>
                </c:pt>
              </c:numCache>
            </c:numRef>
          </c:val>
          <c:extLst>
            <c:ext xmlns:c16="http://schemas.microsoft.com/office/drawing/2014/chart" uri="{C3380CC4-5D6E-409C-BE32-E72D297353CC}">
              <c16:uniqueId val="{00000000-234D-40D6-AC56-82D2A8FF539A}"/>
            </c:ext>
          </c:extLst>
        </c:ser>
        <c:dLbls>
          <c:showLegendKey val="0"/>
          <c:showVal val="0"/>
          <c:showCatName val="0"/>
          <c:showSerName val="0"/>
          <c:showPercent val="0"/>
          <c:showBubbleSize val="0"/>
        </c:dLbls>
        <c:gapWidth val="219"/>
        <c:overlap val="-27"/>
        <c:axId val="1222818416"/>
        <c:axId val="1222824656"/>
      </c:barChart>
      <c:catAx>
        <c:axId val="122281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824656"/>
        <c:crosses val="autoZero"/>
        <c:auto val="1"/>
        <c:lblAlgn val="ctr"/>
        <c:lblOffset val="100"/>
        <c:noMultiLvlLbl val="0"/>
      </c:catAx>
      <c:valAx>
        <c:axId val="1222824656"/>
        <c:scaling>
          <c:orientation val="minMax"/>
          <c:min val="2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818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IAC</a:t>
            </a:r>
            <a:r>
              <a:rPr lang="en-US" baseline="0"/>
              <a:t> Standard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F2_matrix!$U$60</c:f>
              <c:strCache>
                <c:ptCount val="1"/>
                <c:pt idx="0">
                  <c:v>Cq_mean</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1443202505490417"/>
                  <c:y val="-6.063061348100717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F2_matrix!$T$62:$T$68</c:f>
              <c:numCache>
                <c:formatCode>General</c:formatCode>
                <c:ptCount val="7"/>
                <c:pt idx="0">
                  <c:v>10.080770746840722</c:v>
                </c:pt>
                <c:pt idx="1">
                  <c:v>9.0807707468407219</c:v>
                </c:pt>
                <c:pt idx="2">
                  <c:v>8.0807707468407219</c:v>
                </c:pt>
                <c:pt idx="3">
                  <c:v>7.0807707468407219</c:v>
                </c:pt>
                <c:pt idx="4">
                  <c:v>6.0807707468407219</c:v>
                </c:pt>
                <c:pt idx="5">
                  <c:v>5.0807707468407219</c:v>
                </c:pt>
                <c:pt idx="6">
                  <c:v>4.0807707468407219</c:v>
                </c:pt>
              </c:numCache>
            </c:numRef>
          </c:xVal>
          <c:yVal>
            <c:numRef>
              <c:f>F2_matrix!$U$62:$U$68</c:f>
              <c:numCache>
                <c:formatCode>General</c:formatCode>
                <c:ptCount val="7"/>
                <c:pt idx="0">
                  <c:v>11.383333333333333</c:v>
                </c:pt>
                <c:pt idx="1">
                  <c:v>15.413333333333334</c:v>
                </c:pt>
                <c:pt idx="2">
                  <c:v>19.503333333333334</c:v>
                </c:pt>
                <c:pt idx="3">
                  <c:v>22.659999999999997</c:v>
                </c:pt>
                <c:pt idx="4">
                  <c:v>24.17</c:v>
                </c:pt>
                <c:pt idx="5">
                  <c:v>27.703333333333333</c:v>
                </c:pt>
                <c:pt idx="6">
                  <c:v>31.39</c:v>
                </c:pt>
              </c:numCache>
            </c:numRef>
          </c:yVal>
          <c:smooth val="0"/>
          <c:extLst>
            <c:ext xmlns:c16="http://schemas.microsoft.com/office/drawing/2014/chart" uri="{C3380CC4-5D6E-409C-BE32-E72D297353CC}">
              <c16:uniqueId val="{00000001-02CF-4E61-8024-683DAA4C35FA}"/>
            </c:ext>
          </c:extLst>
        </c:ser>
        <c:dLbls>
          <c:showLegendKey val="0"/>
          <c:showVal val="0"/>
          <c:showCatName val="0"/>
          <c:showSerName val="0"/>
          <c:showPercent val="0"/>
          <c:showBubbleSize val="0"/>
        </c:dLbls>
        <c:axId val="657442480"/>
        <c:axId val="657441648"/>
      </c:scatterChart>
      <c:valAx>
        <c:axId val="657442480"/>
        <c:scaling>
          <c:orientation val="minMax"/>
          <c:max val="11"/>
          <c:min val="4"/>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 (Copy#)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441648"/>
        <c:crosses val="autoZero"/>
        <c:crossBetween val="midCat"/>
      </c:valAx>
      <c:valAx>
        <c:axId val="65744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442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Avg Cqs from Six Runs when F, R Held Constant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F2_matrix!$AD$1</c:f>
              <c:strCache>
                <c:ptCount val="1"/>
                <c:pt idx="0">
                  <c:v>Constant [R]</c:v>
                </c:pt>
              </c:strCache>
            </c:strRef>
          </c:tx>
          <c:spPr>
            <a:ln w="19050" cap="rnd">
              <a:noFill/>
              <a:round/>
            </a:ln>
            <a:effectLst/>
          </c:spPr>
          <c:marker>
            <c:symbol val="circle"/>
            <c:size val="5"/>
            <c:spPr>
              <a:solidFill>
                <a:schemeClr val="accent1"/>
              </a:solidFill>
              <a:ln w="9525">
                <a:solidFill>
                  <a:schemeClr val="accent1"/>
                </a:solidFill>
              </a:ln>
              <a:effectLst/>
            </c:spPr>
          </c:marker>
          <c:xVal>
            <c:numRef>
              <c:f>F2_matrix!$AC$2:$AC$7</c:f>
              <c:numCache>
                <c:formatCode>General</c:formatCode>
                <c:ptCount val="6"/>
                <c:pt idx="0">
                  <c:v>50</c:v>
                </c:pt>
                <c:pt idx="1">
                  <c:v>100</c:v>
                </c:pt>
                <c:pt idx="2">
                  <c:v>200</c:v>
                </c:pt>
                <c:pt idx="3">
                  <c:v>400</c:v>
                </c:pt>
                <c:pt idx="4">
                  <c:v>600</c:v>
                </c:pt>
                <c:pt idx="5">
                  <c:v>800</c:v>
                </c:pt>
              </c:numCache>
            </c:numRef>
          </c:xVal>
          <c:yVal>
            <c:numRef>
              <c:f>F2_matrix!$AD$2:$AD$7</c:f>
              <c:numCache>
                <c:formatCode>0.00</c:formatCode>
                <c:ptCount val="6"/>
                <c:pt idx="0">
                  <c:v>37.707499999999989</c:v>
                </c:pt>
                <c:pt idx="1">
                  <c:v>35.249000000000002</c:v>
                </c:pt>
                <c:pt idx="2">
                  <c:v>34.877499999999998</c:v>
                </c:pt>
                <c:pt idx="3">
                  <c:v>33.400833333333331</c:v>
                </c:pt>
                <c:pt idx="4">
                  <c:v>33.758333333333333</c:v>
                </c:pt>
                <c:pt idx="5">
                  <c:v>33.320833333333333</c:v>
                </c:pt>
              </c:numCache>
            </c:numRef>
          </c:yVal>
          <c:smooth val="0"/>
          <c:extLst>
            <c:ext xmlns:c16="http://schemas.microsoft.com/office/drawing/2014/chart" uri="{C3380CC4-5D6E-409C-BE32-E72D297353CC}">
              <c16:uniqueId val="{00000000-FD18-484E-B026-4043B38ABF52}"/>
            </c:ext>
          </c:extLst>
        </c:ser>
        <c:ser>
          <c:idx val="1"/>
          <c:order val="1"/>
          <c:tx>
            <c:strRef>
              <c:f>F2_matrix!$AE$1</c:f>
              <c:strCache>
                <c:ptCount val="1"/>
                <c:pt idx="0">
                  <c:v>Constant [F]</c:v>
                </c:pt>
              </c:strCache>
            </c:strRef>
          </c:tx>
          <c:spPr>
            <a:ln w="19050" cap="rnd">
              <a:noFill/>
              <a:round/>
            </a:ln>
            <a:effectLst/>
          </c:spPr>
          <c:marker>
            <c:symbol val="circle"/>
            <c:size val="5"/>
            <c:spPr>
              <a:solidFill>
                <a:schemeClr val="accent2"/>
              </a:solidFill>
              <a:ln w="9525">
                <a:solidFill>
                  <a:schemeClr val="accent2"/>
                </a:solidFill>
              </a:ln>
              <a:effectLst/>
            </c:spPr>
          </c:marker>
          <c:xVal>
            <c:numRef>
              <c:f>F2_matrix!$AC$2:$AC$7</c:f>
              <c:numCache>
                <c:formatCode>General</c:formatCode>
                <c:ptCount val="6"/>
                <c:pt idx="0">
                  <c:v>50</c:v>
                </c:pt>
                <c:pt idx="1">
                  <c:v>100</c:v>
                </c:pt>
                <c:pt idx="2">
                  <c:v>200</c:v>
                </c:pt>
                <c:pt idx="3">
                  <c:v>400</c:v>
                </c:pt>
                <c:pt idx="4">
                  <c:v>600</c:v>
                </c:pt>
                <c:pt idx="5">
                  <c:v>800</c:v>
                </c:pt>
              </c:numCache>
            </c:numRef>
          </c:xVal>
          <c:yVal>
            <c:numRef>
              <c:f>F2_matrix!$AE$2:$AE$7</c:f>
              <c:numCache>
                <c:formatCode>0.00</c:formatCode>
                <c:ptCount val="6"/>
                <c:pt idx="0">
                  <c:v>40.602000000000004</c:v>
                </c:pt>
                <c:pt idx="1">
                  <c:v>36.566666666666663</c:v>
                </c:pt>
                <c:pt idx="2">
                  <c:v>33.817500000000003</c:v>
                </c:pt>
                <c:pt idx="3">
                  <c:v>33.048333333333339</c:v>
                </c:pt>
                <c:pt idx="4">
                  <c:v>32.665833333333332</c:v>
                </c:pt>
                <c:pt idx="5">
                  <c:v>32.505833333333335</c:v>
                </c:pt>
              </c:numCache>
            </c:numRef>
          </c:yVal>
          <c:smooth val="0"/>
          <c:extLst>
            <c:ext xmlns:c16="http://schemas.microsoft.com/office/drawing/2014/chart" uri="{C3380CC4-5D6E-409C-BE32-E72D297353CC}">
              <c16:uniqueId val="{00000001-FD18-484E-B026-4043B38ABF52}"/>
            </c:ext>
          </c:extLst>
        </c:ser>
        <c:dLbls>
          <c:showLegendKey val="0"/>
          <c:showVal val="0"/>
          <c:showCatName val="0"/>
          <c:showSerName val="0"/>
          <c:showPercent val="0"/>
          <c:showBubbleSize val="0"/>
        </c:dLbls>
        <c:axId val="246306864"/>
        <c:axId val="246306448"/>
      </c:scatterChart>
      <c:valAx>
        <c:axId val="246306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306448"/>
        <c:crosses val="autoZero"/>
        <c:crossBetween val="midCat"/>
      </c:valAx>
      <c:valAx>
        <c:axId val="246306448"/>
        <c:scaling>
          <c:orientation val="minMax"/>
          <c:min val="3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3068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Leg pneumo Fluorescence</a:t>
            </a:r>
            <a:r>
              <a:rPr lang="en-US" baseline="0"/>
              <a:t> (FAM)</a:t>
            </a:r>
            <a:r>
              <a:rPr lang="en-US"/>
              <a:t> Variation in Presence of IAC F2, R Titration</a:t>
            </a:r>
            <a:r>
              <a:rPr lang="en-US" baseline="0"/>
              <a:t> (50..800nM)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F2_matrix!$S$101</c:f>
              <c:strCache>
                <c:ptCount val="1"/>
                <c:pt idx="0">
                  <c:v>Ct_mean</c:v>
                </c:pt>
              </c:strCache>
            </c:strRef>
          </c:tx>
          <c:spPr>
            <a:solidFill>
              <a:schemeClr val="accent1"/>
            </a:solidFill>
            <a:ln>
              <a:noFill/>
            </a:ln>
            <a:effectLst/>
          </c:spPr>
          <c:invertIfNegative val="0"/>
          <c:cat>
            <c:strRef>
              <c:f>F2_matrix!$R$102:$R$137</c:f>
              <c:strCache>
                <c:ptCount val="36"/>
                <c:pt idx="0">
                  <c:v>50_50</c:v>
                </c:pt>
                <c:pt idx="1">
                  <c:v>100_50</c:v>
                </c:pt>
                <c:pt idx="2">
                  <c:v>200_50</c:v>
                </c:pt>
                <c:pt idx="3">
                  <c:v>400_50</c:v>
                </c:pt>
                <c:pt idx="4">
                  <c:v>600_50</c:v>
                </c:pt>
                <c:pt idx="5">
                  <c:v>800_50</c:v>
                </c:pt>
                <c:pt idx="6">
                  <c:v>50_100</c:v>
                </c:pt>
                <c:pt idx="7">
                  <c:v>100_100</c:v>
                </c:pt>
                <c:pt idx="8">
                  <c:v>200_100</c:v>
                </c:pt>
                <c:pt idx="9">
                  <c:v>400_100</c:v>
                </c:pt>
                <c:pt idx="10">
                  <c:v>600_100</c:v>
                </c:pt>
                <c:pt idx="11">
                  <c:v>800_100</c:v>
                </c:pt>
                <c:pt idx="12">
                  <c:v>50_200</c:v>
                </c:pt>
                <c:pt idx="13">
                  <c:v>100_200</c:v>
                </c:pt>
                <c:pt idx="14">
                  <c:v>200_200</c:v>
                </c:pt>
                <c:pt idx="15">
                  <c:v>400_200</c:v>
                </c:pt>
                <c:pt idx="16">
                  <c:v>600_200</c:v>
                </c:pt>
                <c:pt idx="17">
                  <c:v>800_200</c:v>
                </c:pt>
                <c:pt idx="18">
                  <c:v>50_400</c:v>
                </c:pt>
                <c:pt idx="19">
                  <c:v>100_400</c:v>
                </c:pt>
                <c:pt idx="20">
                  <c:v>200_400</c:v>
                </c:pt>
                <c:pt idx="21">
                  <c:v>400_400</c:v>
                </c:pt>
                <c:pt idx="22">
                  <c:v>600_400</c:v>
                </c:pt>
                <c:pt idx="23">
                  <c:v>800_400</c:v>
                </c:pt>
                <c:pt idx="24">
                  <c:v>50_600</c:v>
                </c:pt>
                <c:pt idx="25">
                  <c:v>100_600</c:v>
                </c:pt>
                <c:pt idx="26">
                  <c:v>200_600</c:v>
                </c:pt>
                <c:pt idx="27">
                  <c:v>400_600</c:v>
                </c:pt>
                <c:pt idx="28">
                  <c:v>600_600</c:v>
                </c:pt>
                <c:pt idx="29">
                  <c:v>800_600</c:v>
                </c:pt>
                <c:pt idx="30">
                  <c:v>50_800</c:v>
                </c:pt>
                <c:pt idx="31">
                  <c:v>100_800</c:v>
                </c:pt>
                <c:pt idx="32">
                  <c:v>200_800</c:v>
                </c:pt>
                <c:pt idx="33">
                  <c:v>400_800</c:v>
                </c:pt>
                <c:pt idx="34">
                  <c:v>600_800</c:v>
                </c:pt>
                <c:pt idx="35">
                  <c:v>800_800</c:v>
                </c:pt>
              </c:strCache>
            </c:strRef>
          </c:cat>
          <c:val>
            <c:numRef>
              <c:f>F2_matrix!$S$102:$S$137</c:f>
              <c:numCache>
                <c:formatCode>General</c:formatCode>
                <c:ptCount val="36"/>
                <c:pt idx="0">
                  <c:v>30.065000000000001</c:v>
                </c:pt>
                <c:pt idx="1">
                  <c:v>30.754999999999999</c:v>
                </c:pt>
                <c:pt idx="2">
                  <c:v>31.155000000000001</c:v>
                </c:pt>
                <c:pt idx="3">
                  <c:v>31.21</c:v>
                </c:pt>
                <c:pt idx="4">
                  <c:v>31.424999999999997</c:v>
                </c:pt>
                <c:pt idx="5">
                  <c:v>31.28</c:v>
                </c:pt>
                <c:pt idx="6">
                  <c:v>31.295000000000002</c:v>
                </c:pt>
                <c:pt idx="7">
                  <c:v>31.005000000000003</c:v>
                </c:pt>
                <c:pt idx="8">
                  <c:v>31.234999999999999</c:v>
                </c:pt>
                <c:pt idx="9">
                  <c:v>31.189999999999998</c:v>
                </c:pt>
                <c:pt idx="10">
                  <c:v>31.125</c:v>
                </c:pt>
                <c:pt idx="11">
                  <c:v>31.234999999999999</c:v>
                </c:pt>
                <c:pt idx="12">
                  <c:v>30.78</c:v>
                </c:pt>
                <c:pt idx="13">
                  <c:v>31.115000000000002</c:v>
                </c:pt>
                <c:pt idx="14">
                  <c:v>31.425000000000001</c:v>
                </c:pt>
                <c:pt idx="15">
                  <c:v>31.05</c:v>
                </c:pt>
                <c:pt idx="16">
                  <c:v>31.145</c:v>
                </c:pt>
                <c:pt idx="17">
                  <c:v>30.91</c:v>
                </c:pt>
                <c:pt idx="18">
                  <c:v>31.299999999999997</c:v>
                </c:pt>
                <c:pt idx="19">
                  <c:v>31.305</c:v>
                </c:pt>
                <c:pt idx="20">
                  <c:v>31.05</c:v>
                </c:pt>
                <c:pt idx="21">
                  <c:v>31.225000000000001</c:v>
                </c:pt>
                <c:pt idx="22">
                  <c:v>30.75</c:v>
                </c:pt>
                <c:pt idx="23">
                  <c:v>31.08</c:v>
                </c:pt>
                <c:pt idx="24">
                  <c:v>31.204999999999998</c:v>
                </c:pt>
                <c:pt idx="25">
                  <c:v>31.119999999999997</c:v>
                </c:pt>
                <c:pt idx="26">
                  <c:v>31.310000000000002</c:v>
                </c:pt>
                <c:pt idx="27">
                  <c:v>31.505000000000003</c:v>
                </c:pt>
                <c:pt idx="28">
                  <c:v>30.88</c:v>
                </c:pt>
                <c:pt idx="29">
                  <c:v>30.88</c:v>
                </c:pt>
                <c:pt idx="30">
                  <c:v>31.189999999999998</c:v>
                </c:pt>
                <c:pt idx="31">
                  <c:v>31.465000000000003</c:v>
                </c:pt>
                <c:pt idx="32">
                  <c:v>31.355</c:v>
                </c:pt>
                <c:pt idx="33">
                  <c:v>31.204999999999998</c:v>
                </c:pt>
                <c:pt idx="34">
                  <c:v>31.605</c:v>
                </c:pt>
                <c:pt idx="35">
                  <c:v>31.02</c:v>
                </c:pt>
              </c:numCache>
            </c:numRef>
          </c:val>
          <c:extLst>
            <c:ext xmlns:c16="http://schemas.microsoft.com/office/drawing/2014/chart" uri="{C3380CC4-5D6E-409C-BE32-E72D297353CC}">
              <c16:uniqueId val="{00000000-CCB9-47DE-A887-A9E384D77745}"/>
            </c:ext>
          </c:extLst>
        </c:ser>
        <c:dLbls>
          <c:showLegendKey val="0"/>
          <c:showVal val="0"/>
          <c:showCatName val="0"/>
          <c:showSerName val="0"/>
          <c:showPercent val="0"/>
          <c:showBubbleSize val="0"/>
        </c:dLbls>
        <c:gapWidth val="219"/>
        <c:overlap val="-27"/>
        <c:axId val="1696081535"/>
        <c:axId val="1696079871"/>
      </c:barChart>
      <c:catAx>
        <c:axId val="1696081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079871"/>
        <c:crosses val="autoZero"/>
        <c:auto val="1"/>
        <c:lblAlgn val="ctr"/>
        <c:lblOffset val="100"/>
        <c:noMultiLvlLbl val="0"/>
      </c:catAx>
      <c:valAx>
        <c:axId val="1696079871"/>
        <c:scaling>
          <c:orientation val="minMax"/>
          <c:max val="4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081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Probe Held Constant, F-R Varied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F2_probe_data!$S$1</c:f>
              <c:strCache>
                <c:ptCount val="1"/>
                <c:pt idx="0">
                  <c:v>Ct_mean</c:v>
                </c:pt>
              </c:strCache>
            </c:strRef>
          </c:tx>
          <c:spPr>
            <a:solidFill>
              <a:schemeClr val="accent1"/>
            </a:solidFill>
            <a:ln>
              <a:noFill/>
            </a:ln>
            <a:effectLst/>
          </c:spPr>
          <c:invertIfNegative val="0"/>
          <c:errBars>
            <c:errBarType val="both"/>
            <c:errValType val="cust"/>
            <c:noEndCap val="0"/>
            <c:plus>
              <c:numRef>
                <c:f>F2_probe_data!$U$2:$U$19</c:f>
                <c:numCache>
                  <c:formatCode>General</c:formatCode>
                  <c:ptCount val="18"/>
                  <c:pt idx="0">
                    <c:v>1.2779149684805551</c:v>
                  </c:pt>
                  <c:pt idx="1">
                    <c:v>1.5493116751211382</c:v>
                  </c:pt>
                  <c:pt idx="2">
                    <c:v>0.94120490153136371</c:v>
                  </c:pt>
                  <c:pt idx="3">
                    <c:v>0.92613893846081752</c:v>
                  </c:pt>
                  <c:pt idx="4">
                    <c:v>1.5524067336451071</c:v>
                  </c:pt>
                  <c:pt idx="5">
                    <c:v>1.0559671712068819</c:v>
                  </c:pt>
                  <c:pt idx="6">
                    <c:v>1.3767594803256913</c:v>
                  </c:pt>
                  <c:pt idx="7">
                    <c:v>0.82548975362104571</c:v>
                  </c:pt>
                  <c:pt idx="8">
                    <c:v>0.93614457572891829</c:v>
                  </c:pt>
                  <c:pt idx="9">
                    <c:v>0.44970360609331472</c:v>
                  </c:pt>
                  <c:pt idx="10">
                    <c:v>1.4679237037394002</c:v>
                  </c:pt>
                  <c:pt idx="11">
                    <c:v>0.84063468086123638</c:v>
                  </c:pt>
                  <c:pt idx="12">
                    <c:v>0.9797108416942879</c:v>
                  </c:pt>
                  <c:pt idx="13">
                    <c:v>1.2069797015691701</c:v>
                  </c:pt>
                  <c:pt idx="14">
                    <c:v>0.57049685947134454</c:v>
                  </c:pt>
                  <c:pt idx="15">
                    <c:v>0.87443314972234132</c:v>
                  </c:pt>
                  <c:pt idx="16">
                    <c:v>0.61522353661087714</c:v>
                  </c:pt>
                  <c:pt idx="17">
                    <c:v>0.63927041748126301</c:v>
                  </c:pt>
                </c:numCache>
              </c:numRef>
            </c:plus>
            <c:minus>
              <c:numRef>
                <c:f>F2_probe_data!$U$2:$U$19</c:f>
                <c:numCache>
                  <c:formatCode>General</c:formatCode>
                  <c:ptCount val="18"/>
                  <c:pt idx="0">
                    <c:v>1.2779149684805551</c:v>
                  </c:pt>
                  <c:pt idx="1">
                    <c:v>1.5493116751211382</c:v>
                  </c:pt>
                  <c:pt idx="2">
                    <c:v>0.94120490153136371</c:v>
                  </c:pt>
                  <c:pt idx="3">
                    <c:v>0.92613893846081752</c:v>
                  </c:pt>
                  <c:pt idx="4">
                    <c:v>1.5524067336451071</c:v>
                  </c:pt>
                  <c:pt idx="5">
                    <c:v>1.0559671712068819</c:v>
                  </c:pt>
                  <c:pt idx="6">
                    <c:v>1.3767594803256913</c:v>
                  </c:pt>
                  <c:pt idx="7">
                    <c:v>0.82548975362104571</c:v>
                  </c:pt>
                  <c:pt idx="8">
                    <c:v>0.93614457572891829</c:v>
                  </c:pt>
                  <c:pt idx="9">
                    <c:v>0.44970360609331472</c:v>
                  </c:pt>
                  <c:pt idx="10">
                    <c:v>1.4679237037394002</c:v>
                  </c:pt>
                  <c:pt idx="11">
                    <c:v>0.84063468086123638</c:v>
                  </c:pt>
                  <c:pt idx="12">
                    <c:v>0.9797108416942879</c:v>
                  </c:pt>
                  <c:pt idx="13">
                    <c:v>1.2069797015691701</c:v>
                  </c:pt>
                  <c:pt idx="14">
                    <c:v>0.57049685947134454</c:v>
                  </c:pt>
                  <c:pt idx="15">
                    <c:v>0.87443314972234132</c:v>
                  </c:pt>
                  <c:pt idx="16">
                    <c:v>0.61522353661087714</c:v>
                  </c:pt>
                  <c:pt idx="17">
                    <c:v>0.63927041748126301</c:v>
                  </c:pt>
                </c:numCache>
              </c:numRef>
            </c:minus>
            <c:spPr>
              <a:noFill/>
              <a:ln w="9525" cap="flat" cmpd="sng" algn="ctr">
                <a:solidFill>
                  <a:schemeClr val="tx1">
                    <a:lumMod val="65000"/>
                    <a:lumOff val="35000"/>
                  </a:schemeClr>
                </a:solidFill>
                <a:round/>
              </a:ln>
              <a:effectLst/>
            </c:spPr>
          </c:errBars>
          <c:cat>
            <c:strRef>
              <c:f>F2_probe_data!$R$2:$R$19</c:f>
              <c:strCache>
                <c:ptCount val="18"/>
                <c:pt idx="0">
                  <c:v>500_500_50</c:v>
                </c:pt>
                <c:pt idx="1">
                  <c:v>400_400_50</c:v>
                </c:pt>
                <c:pt idx="2">
                  <c:v>300_300_50</c:v>
                </c:pt>
                <c:pt idx="3">
                  <c:v>500_500_100</c:v>
                </c:pt>
                <c:pt idx="4">
                  <c:v>400_400_100</c:v>
                </c:pt>
                <c:pt idx="5">
                  <c:v>300_300_100</c:v>
                </c:pt>
                <c:pt idx="6">
                  <c:v>500_500_200</c:v>
                </c:pt>
                <c:pt idx="7">
                  <c:v>400_400_200</c:v>
                </c:pt>
                <c:pt idx="8">
                  <c:v>300_300_200</c:v>
                </c:pt>
                <c:pt idx="9">
                  <c:v>500_500_400</c:v>
                </c:pt>
                <c:pt idx="10">
                  <c:v>400_400_400</c:v>
                </c:pt>
                <c:pt idx="11">
                  <c:v>300_300_400</c:v>
                </c:pt>
                <c:pt idx="12">
                  <c:v>500_500_600</c:v>
                </c:pt>
                <c:pt idx="13">
                  <c:v>400_400_600</c:v>
                </c:pt>
                <c:pt idx="14">
                  <c:v>300_300_600</c:v>
                </c:pt>
                <c:pt idx="15">
                  <c:v>500_500_800</c:v>
                </c:pt>
                <c:pt idx="16">
                  <c:v>400_400_800</c:v>
                </c:pt>
                <c:pt idx="17">
                  <c:v>300_300_800</c:v>
                </c:pt>
              </c:strCache>
            </c:strRef>
          </c:cat>
          <c:val>
            <c:numRef>
              <c:f>F2_probe_data!$S$2:$S$19</c:f>
              <c:numCache>
                <c:formatCode>General</c:formatCode>
                <c:ptCount val="18"/>
                <c:pt idx="0">
                  <c:v>36.07</c:v>
                </c:pt>
                <c:pt idx="1">
                  <c:v>37.492500000000007</c:v>
                </c:pt>
                <c:pt idx="2">
                  <c:v>35.099999999999994</c:v>
                </c:pt>
                <c:pt idx="3">
                  <c:v>34.414999999999999</c:v>
                </c:pt>
                <c:pt idx="4">
                  <c:v>35.782499999999999</c:v>
                </c:pt>
                <c:pt idx="5">
                  <c:v>33.835000000000001</c:v>
                </c:pt>
                <c:pt idx="6">
                  <c:v>34.11</c:v>
                </c:pt>
                <c:pt idx="7">
                  <c:v>35.052499999999995</c:v>
                </c:pt>
                <c:pt idx="8">
                  <c:v>33.337499999999999</c:v>
                </c:pt>
                <c:pt idx="9">
                  <c:v>33.982500000000002</c:v>
                </c:pt>
                <c:pt idx="10">
                  <c:v>35.005000000000003</c:v>
                </c:pt>
                <c:pt idx="11">
                  <c:v>33.22</c:v>
                </c:pt>
                <c:pt idx="12">
                  <c:v>33.907499999999999</c:v>
                </c:pt>
                <c:pt idx="13">
                  <c:v>33.9</c:v>
                </c:pt>
                <c:pt idx="14">
                  <c:v>32.835000000000001</c:v>
                </c:pt>
                <c:pt idx="15">
                  <c:v>33.9925</c:v>
                </c:pt>
                <c:pt idx="16">
                  <c:v>34.307500000000005</c:v>
                </c:pt>
                <c:pt idx="17">
                  <c:v>32.244999999999997</c:v>
                </c:pt>
              </c:numCache>
            </c:numRef>
          </c:val>
          <c:extLst>
            <c:ext xmlns:c16="http://schemas.microsoft.com/office/drawing/2014/chart" uri="{C3380CC4-5D6E-409C-BE32-E72D297353CC}">
              <c16:uniqueId val="{00000000-1CFF-4E08-BB34-2F1D952A0AC9}"/>
            </c:ext>
          </c:extLst>
        </c:ser>
        <c:dLbls>
          <c:showLegendKey val="0"/>
          <c:showVal val="0"/>
          <c:showCatName val="0"/>
          <c:showSerName val="0"/>
          <c:showPercent val="0"/>
          <c:showBubbleSize val="0"/>
        </c:dLbls>
        <c:gapWidth val="219"/>
        <c:overlap val="-27"/>
        <c:axId val="1842993792"/>
        <c:axId val="1842972160"/>
      </c:barChart>
      <c:catAx>
        <c:axId val="1842993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F_R_P (in 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972160"/>
        <c:crosses val="autoZero"/>
        <c:auto val="1"/>
        <c:lblAlgn val="ctr"/>
        <c:lblOffset val="100"/>
        <c:noMultiLvlLbl val="0"/>
      </c:catAx>
      <c:valAx>
        <c:axId val="1842972160"/>
        <c:scaling>
          <c:orientation val="minMax"/>
          <c:max val="45"/>
          <c:min val="2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 (avg)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99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F-R Held Constant, Probe Varied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F2_probe_data!$AB$1</c:f>
              <c:strCache>
                <c:ptCount val="1"/>
                <c:pt idx="0">
                  <c:v>Ct_mean</c:v>
                </c:pt>
              </c:strCache>
            </c:strRef>
          </c:tx>
          <c:spPr>
            <a:solidFill>
              <a:schemeClr val="accent1"/>
            </a:solidFill>
            <a:ln>
              <a:noFill/>
            </a:ln>
            <a:effectLst/>
          </c:spPr>
          <c:invertIfNegative val="0"/>
          <c:errBars>
            <c:errBarType val="both"/>
            <c:errValType val="cust"/>
            <c:noEndCap val="0"/>
            <c:plus>
              <c:numRef>
                <c:f>F2_probe_data!$AD$2:$AD$19</c:f>
                <c:numCache>
                  <c:formatCode>General</c:formatCode>
                  <c:ptCount val="18"/>
                  <c:pt idx="0">
                    <c:v>1.2779149684805551</c:v>
                  </c:pt>
                  <c:pt idx="1">
                    <c:v>0.92613893846081752</c:v>
                  </c:pt>
                  <c:pt idx="2">
                    <c:v>1.3767594803256913</c:v>
                  </c:pt>
                  <c:pt idx="3">
                    <c:v>0.44970360609331472</c:v>
                  </c:pt>
                  <c:pt idx="4">
                    <c:v>0.9797108416942879</c:v>
                  </c:pt>
                  <c:pt idx="5">
                    <c:v>0.87443314972234132</c:v>
                  </c:pt>
                  <c:pt idx="6">
                    <c:v>1.5493116751211382</c:v>
                  </c:pt>
                  <c:pt idx="7">
                    <c:v>1.5524067336451071</c:v>
                  </c:pt>
                  <c:pt idx="8">
                    <c:v>0.82548975362104571</c:v>
                  </c:pt>
                  <c:pt idx="9">
                    <c:v>1.4679237037394002</c:v>
                  </c:pt>
                  <c:pt idx="10">
                    <c:v>1.2069797015691701</c:v>
                  </c:pt>
                  <c:pt idx="11">
                    <c:v>0.61522353661087714</c:v>
                  </c:pt>
                  <c:pt idx="12">
                    <c:v>0.94120490153136371</c:v>
                  </c:pt>
                  <c:pt idx="13">
                    <c:v>1.0559671712068819</c:v>
                  </c:pt>
                  <c:pt idx="14">
                    <c:v>0.93614457572891829</c:v>
                  </c:pt>
                  <c:pt idx="15">
                    <c:v>0.84063468086123638</c:v>
                  </c:pt>
                  <c:pt idx="16">
                    <c:v>0.57049685947134454</c:v>
                  </c:pt>
                  <c:pt idx="17">
                    <c:v>0.63927041748126301</c:v>
                  </c:pt>
                </c:numCache>
              </c:numRef>
            </c:plus>
            <c:minus>
              <c:numRef>
                <c:f>F2_probe_data!$AD$2:$AD$19</c:f>
                <c:numCache>
                  <c:formatCode>General</c:formatCode>
                  <c:ptCount val="18"/>
                  <c:pt idx="0">
                    <c:v>1.2779149684805551</c:v>
                  </c:pt>
                  <c:pt idx="1">
                    <c:v>0.92613893846081752</c:v>
                  </c:pt>
                  <c:pt idx="2">
                    <c:v>1.3767594803256913</c:v>
                  </c:pt>
                  <c:pt idx="3">
                    <c:v>0.44970360609331472</c:v>
                  </c:pt>
                  <c:pt idx="4">
                    <c:v>0.9797108416942879</c:v>
                  </c:pt>
                  <c:pt idx="5">
                    <c:v>0.87443314972234132</c:v>
                  </c:pt>
                  <c:pt idx="6">
                    <c:v>1.5493116751211382</c:v>
                  </c:pt>
                  <c:pt idx="7">
                    <c:v>1.5524067336451071</c:v>
                  </c:pt>
                  <c:pt idx="8">
                    <c:v>0.82548975362104571</c:v>
                  </c:pt>
                  <c:pt idx="9">
                    <c:v>1.4679237037394002</c:v>
                  </c:pt>
                  <c:pt idx="10">
                    <c:v>1.2069797015691701</c:v>
                  </c:pt>
                  <c:pt idx="11">
                    <c:v>0.61522353661087714</c:v>
                  </c:pt>
                  <c:pt idx="12">
                    <c:v>0.94120490153136371</c:v>
                  </c:pt>
                  <c:pt idx="13">
                    <c:v>1.0559671712068819</c:v>
                  </c:pt>
                  <c:pt idx="14">
                    <c:v>0.93614457572891829</c:v>
                  </c:pt>
                  <c:pt idx="15">
                    <c:v>0.84063468086123638</c:v>
                  </c:pt>
                  <c:pt idx="16">
                    <c:v>0.57049685947134454</c:v>
                  </c:pt>
                  <c:pt idx="17">
                    <c:v>0.63927041748126301</c:v>
                  </c:pt>
                </c:numCache>
              </c:numRef>
            </c:minus>
            <c:spPr>
              <a:noFill/>
              <a:ln w="9525" cap="flat" cmpd="sng" algn="ctr">
                <a:solidFill>
                  <a:schemeClr val="tx1">
                    <a:lumMod val="65000"/>
                    <a:lumOff val="35000"/>
                  </a:schemeClr>
                </a:solidFill>
                <a:round/>
              </a:ln>
              <a:effectLst/>
            </c:spPr>
          </c:errBars>
          <c:cat>
            <c:strRef>
              <c:f>F2_probe_data!$AA$2:$AA$19</c:f>
              <c:strCache>
                <c:ptCount val="18"/>
                <c:pt idx="0">
                  <c:v>500_500_50</c:v>
                </c:pt>
                <c:pt idx="1">
                  <c:v>500_500_100</c:v>
                </c:pt>
                <c:pt idx="2">
                  <c:v>500_500_200</c:v>
                </c:pt>
                <c:pt idx="3">
                  <c:v>500_500_400</c:v>
                </c:pt>
                <c:pt idx="4">
                  <c:v>500_500_600</c:v>
                </c:pt>
                <c:pt idx="5">
                  <c:v>500_500_800</c:v>
                </c:pt>
                <c:pt idx="6">
                  <c:v>400_400_50</c:v>
                </c:pt>
                <c:pt idx="7">
                  <c:v>400_400_100</c:v>
                </c:pt>
                <c:pt idx="8">
                  <c:v>400_400_200</c:v>
                </c:pt>
                <c:pt idx="9">
                  <c:v>400_400_400</c:v>
                </c:pt>
                <c:pt idx="10">
                  <c:v>400_400_600</c:v>
                </c:pt>
                <c:pt idx="11">
                  <c:v>400_400_800</c:v>
                </c:pt>
                <c:pt idx="12">
                  <c:v>300_300_50</c:v>
                </c:pt>
                <c:pt idx="13">
                  <c:v>300_300_100</c:v>
                </c:pt>
                <c:pt idx="14">
                  <c:v>300_300_200</c:v>
                </c:pt>
                <c:pt idx="15">
                  <c:v>300_300_400</c:v>
                </c:pt>
                <c:pt idx="16">
                  <c:v>300_300_600</c:v>
                </c:pt>
                <c:pt idx="17">
                  <c:v>300_300_800</c:v>
                </c:pt>
              </c:strCache>
            </c:strRef>
          </c:cat>
          <c:val>
            <c:numRef>
              <c:f>F2_probe_data!$AB$2:$AB$19</c:f>
              <c:numCache>
                <c:formatCode>General</c:formatCode>
                <c:ptCount val="18"/>
                <c:pt idx="0">
                  <c:v>36.07</c:v>
                </c:pt>
                <c:pt idx="1">
                  <c:v>34.414999999999999</c:v>
                </c:pt>
                <c:pt idx="2">
                  <c:v>34.11</c:v>
                </c:pt>
                <c:pt idx="3">
                  <c:v>33.982500000000002</c:v>
                </c:pt>
                <c:pt idx="4">
                  <c:v>33.907499999999999</c:v>
                </c:pt>
                <c:pt idx="5">
                  <c:v>33.9925</c:v>
                </c:pt>
                <c:pt idx="6">
                  <c:v>37.492500000000007</c:v>
                </c:pt>
                <c:pt idx="7">
                  <c:v>35.782499999999999</c:v>
                </c:pt>
                <c:pt idx="8">
                  <c:v>35.052499999999995</c:v>
                </c:pt>
                <c:pt idx="9">
                  <c:v>35.005000000000003</c:v>
                </c:pt>
                <c:pt idx="10">
                  <c:v>33.9</c:v>
                </c:pt>
                <c:pt idx="11">
                  <c:v>34.307500000000005</c:v>
                </c:pt>
                <c:pt idx="12">
                  <c:v>35.099999999999994</c:v>
                </c:pt>
                <c:pt idx="13">
                  <c:v>33.835000000000001</c:v>
                </c:pt>
                <c:pt idx="14">
                  <c:v>33.337499999999999</c:v>
                </c:pt>
                <c:pt idx="15">
                  <c:v>33.22</c:v>
                </c:pt>
                <c:pt idx="16">
                  <c:v>32.835000000000001</c:v>
                </c:pt>
                <c:pt idx="17">
                  <c:v>32.244999999999997</c:v>
                </c:pt>
              </c:numCache>
            </c:numRef>
          </c:val>
          <c:extLst>
            <c:ext xmlns:c16="http://schemas.microsoft.com/office/drawing/2014/chart" uri="{C3380CC4-5D6E-409C-BE32-E72D297353CC}">
              <c16:uniqueId val="{00000000-2B5C-4523-9F30-90C085BA6938}"/>
            </c:ext>
          </c:extLst>
        </c:ser>
        <c:dLbls>
          <c:showLegendKey val="0"/>
          <c:showVal val="0"/>
          <c:showCatName val="0"/>
          <c:showSerName val="0"/>
          <c:showPercent val="0"/>
          <c:showBubbleSize val="0"/>
        </c:dLbls>
        <c:gapWidth val="219"/>
        <c:overlap val="-27"/>
        <c:axId val="1842984224"/>
        <c:axId val="1842983392"/>
      </c:barChart>
      <c:catAx>
        <c:axId val="1842984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F_R_P (i</a:t>
                </a:r>
                <a:r>
                  <a:rPr lang="en-US" baseline="0"/>
                  <a:t>n nM)</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983392"/>
        <c:crosses val="autoZero"/>
        <c:auto val="1"/>
        <c:lblAlgn val="ctr"/>
        <c:lblOffset val="100"/>
        <c:noMultiLvlLbl val="0"/>
      </c:catAx>
      <c:valAx>
        <c:axId val="1842983392"/>
        <c:scaling>
          <c:orientation val="minMax"/>
          <c:max val="45"/>
          <c:min val="25"/>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98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IAC</a:t>
            </a:r>
            <a:r>
              <a:rPr lang="en-US" baseline="0"/>
              <a:t> Standard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IAC Std Curve with stds2..8</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4443179519829305"/>
                  <c:y val="6.7165267707873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F2_probe_data!$U$76:$U$82</c:f>
              <c:numCache>
                <c:formatCode>General</c:formatCode>
                <c:ptCount val="7"/>
                <c:pt idx="0">
                  <c:v>10.080770746840722</c:v>
                </c:pt>
                <c:pt idx="1">
                  <c:v>9.0807707468407219</c:v>
                </c:pt>
                <c:pt idx="2">
                  <c:v>8.0807707468407219</c:v>
                </c:pt>
                <c:pt idx="3">
                  <c:v>7.0807707468407219</c:v>
                </c:pt>
                <c:pt idx="4">
                  <c:v>6.0807707468407219</c:v>
                </c:pt>
                <c:pt idx="5">
                  <c:v>5.0807707468407219</c:v>
                </c:pt>
                <c:pt idx="6">
                  <c:v>4.0807707468407219</c:v>
                </c:pt>
              </c:numCache>
            </c:numRef>
          </c:xVal>
          <c:yVal>
            <c:numRef>
              <c:f>F2_probe_data!$V$76:$V$82</c:f>
              <c:numCache>
                <c:formatCode>General</c:formatCode>
                <c:ptCount val="7"/>
                <c:pt idx="0">
                  <c:v>11.956666666666669</c:v>
                </c:pt>
                <c:pt idx="1">
                  <c:v>15.706666666666669</c:v>
                </c:pt>
                <c:pt idx="2">
                  <c:v>20.23</c:v>
                </c:pt>
                <c:pt idx="3">
                  <c:v>23.49</c:v>
                </c:pt>
                <c:pt idx="4">
                  <c:v>24.66333333333333</c:v>
                </c:pt>
                <c:pt idx="5">
                  <c:v>28.376666666666665</c:v>
                </c:pt>
                <c:pt idx="6">
                  <c:v>31.086666666666662</c:v>
                </c:pt>
              </c:numCache>
            </c:numRef>
          </c:yVal>
          <c:smooth val="0"/>
          <c:extLst>
            <c:ext xmlns:c16="http://schemas.microsoft.com/office/drawing/2014/chart" uri="{C3380CC4-5D6E-409C-BE32-E72D297353CC}">
              <c16:uniqueId val="{00000001-0274-4FCC-A31F-F346CE67188C}"/>
            </c:ext>
          </c:extLst>
        </c:ser>
        <c:dLbls>
          <c:showLegendKey val="0"/>
          <c:showVal val="0"/>
          <c:showCatName val="0"/>
          <c:showSerName val="0"/>
          <c:showPercent val="0"/>
          <c:showBubbleSize val="0"/>
        </c:dLbls>
        <c:axId val="657442480"/>
        <c:axId val="657441648"/>
      </c:scatterChart>
      <c:valAx>
        <c:axId val="65744248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 (Copy#)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441648"/>
        <c:crosses val="autoZero"/>
        <c:crossBetween val="midCat"/>
      </c:valAx>
      <c:valAx>
        <c:axId val="65744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442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Grouping Constant [P]Mean_const[P]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F2_probe_data!$AJ$1</c:f>
              <c:strCache>
                <c:ptCount val="1"/>
                <c:pt idx="0">
                  <c:v>GroupMean_const[P]</c:v>
                </c:pt>
              </c:strCache>
            </c:strRef>
          </c:tx>
          <c:spPr>
            <a:ln w="19050" cap="rnd">
              <a:no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F2_probe_data!$AL$2:$AL$7</c:f>
                <c:numCache>
                  <c:formatCode>General</c:formatCode>
                  <c:ptCount val="6"/>
                  <c:pt idx="0">
                    <c:v>2.4067214906036369</c:v>
                  </c:pt>
                  <c:pt idx="1">
                    <c:v>1.999868745693075</c:v>
                  </c:pt>
                  <c:pt idx="2">
                    <c:v>1.717806256052562</c:v>
                  </c:pt>
                  <c:pt idx="3">
                    <c:v>1.791300737825267</c:v>
                  </c:pt>
                  <c:pt idx="4">
                    <c:v>1.2341089903245961</c:v>
                  </c:pt>
                  <c:pt idx="5">
                    <c:v>2.2221442347426565</c:v>
                  </c:pt>
                </c:numCache>
              </c:numRef>
            </c:plus>
            <c:minus>
              <c:numRef>
                <c:f>F2_probe_data!$AL$2:$AL$7</c:f>
                <c:numCache>
                  <c:formatCode>General</c:formatCode>
                  <c:ptCount val="6"/>
                  <c:pt idx="0">
                    <c:v>2.4067214906036369</c:v>
                  </c:pt>
                  <c:pt idx="1">
                    <c:v>1.999868745693075</c:v>
                  </c:pt>
                  <c:pt idx="2">
                    <c:v>1.717806256052562</c:v>
                  </c:pt>
                  <c:pt idx="3">
                    <c:v>1.791300737825267</c:v>
                  </c:pt>
                  <c:pt idx="4">
                    <c:v>1.2341089903245961</c:v>
                  </c:pt>
                  <c:pt idx="5">
                    <c:v>2.2221442347426565</c:v>
                  </c:pt>
                </c:numCache>
              </c:numRef>
            </c:minus>
            <c:spPr>
              <a:noFill/>
              <a:ln w="9525" cap="flat" cmpd="sng" algn="ctr">
                <a:solidFill>
                  <a:schemeClr val="tx1">
                    <a:lumMod val="65000"/>
                    <a:lumOff val="35000"/>
                  </a:schemeClr>
                </a:solidFill>
                <a:round/>
              </a:ln>
              <a:effectLst/>
            </c:spPr>
          </c:errBars>
          <c:xVal>
            <c:strRef>
              <c:f>F2_probe_data!$AI$2:$AI$7</c:f>
              <c:strCache>
                <c:ptCount val="6"/>
                <c:pt idx="0">
                  <c:v>500_500_50</c:v>
                </c:pt>
                <c:pt idx="1">
                  <c:v>500_500_100</c:v>
                </c:pt>
                <c:pt idx="2">
                  <c:v>500_500_200</c:v>
                </c:pt>
                <c:pt idx="3">
                  <c:v>500_500_400</c:v>
                </c:pt>
                <c:pt idx="4">
                  <c:v>500_500_600</c:v>
                </c:pt>
                <c:pt idx="5">
                  <c:v>500_500_800</c:v>
                </c:pt>
              </c:strCache>
            </c:strRef>
          </c:xVal>
          <c:yVal>
            <c:numRef>
              <c:f>F2_probe_data!$AJ$2:$AJ$7</c:f>
              <c:numCache>
                <c:formatCode>General</c:formatCode>
                <c:ptCount val="6"/>
                <c:pt idx="0">
                  <c:v>36.220833333333331</c:v>
                </c:pt>
                <c:pt idx="1">
                  <c:v>34.677500000000002</c:v>
                </c:pt>
                <c:pt idx="2">
                  <c:v>34.166666666666664</c:v>
                </c:pt>
                <c:pt idx="3">
                  <c:v>34.069166666666668</c:v>
                </c:pt>
                <c:pt idx="4">
                  <c:v>33.547500000000007</c:v>
                </c:pt>
                <c:pt idx="5">
                  <c:v>33.515000000000008</c:v>
                </c:pt>
              </c:numCache>
            </c:numRef>
          </c:yVal>
          <c:smooth val="0"/>
          <c:extLst>
            <c:ext xmlns:c16="http://schemas.microsoft.com/office/drawing/2014/chart" uri="{C3380CC4-5D6E-409C-BE32-E72D297353CC}">
              <c16:uniqueId val="{00000000-F85B-4DCA-AF81-1D763130B297}"/>
            </c:ext>
          </c:extLst>
        </c:ser>
        <c:dLbls>
          <c:showLegendKey val="0"/>
          <c:showVal val="0"/>
          <c:showCatName val="0"/>
          <c:showSerName val="0"/>
          <c:showPercent val="0"/>
          <c:showBubbleSize val="0"/>
        </c:dLbls>
        <c:axId val="1984153104"/>
        <c:axId val="1984167248"/>
      </c:scatterChart>
      <c:valAx>
        <c:axId val="198415310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167248"/>
        <c:crosses val="autoZero"/>
        <c:crossBetween val="midCat"/>
      </c:valAx>
      <c:valAx>
        <c:axId val="1984167248"/>
        <c:scaling>
          <c:orientation val="minMax"/>
          <c:max val="45"/>
          <c:min val="2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1531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F2_probe_data!$AO$1</c:f>
              <c:strCache>
                <c:ptCount val="1"/>
                <c:pt idx="0">
                  <c:v>GroupMean_cons[F,R]</c:v>
                </c:pt>
              </c:strCache>
            </c:strRef>
          </c:tx>
          <c:spPr>
            <a:ln w="19050" cap="rnd">
              <a:no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F2_probe_data!$AQ$2:$AQ$4</c:f>
                <c:numCache>
                  <c:formatCode>General</c:formatCode>
                  <c:ptCount val="3"/>
                  <c:pt idx="0">
                    <c:v>1.6625625301523752</c:v>
                  </c:pt>
                  <c:pt idx="1">
                    <c:v>2.5490285731365758</c:v>
                  </c:pt>
                  <c:pt idx="2">
                    <c:v>1.952192997631123</c:v>
                  </c:pt>
                </c:numCache>
              </c:numRef>
            </c:plus>
            <c:minus>
              <c:numRef>
                <c:f>F2_probe_data!$AQ$2:$AQ$4</c:f>
                <c:numCache>
                  <c:formatCode>General</c:formatCode>
                  <c:ptCount val="3"/>
                  <c:pt idx="0">
                    <c:v>1.6625625301523752</c:v>
                  </c:pt>
                  <c:pt idx="1">
                    <c:v>2.5490285731365758</c:v>
                  </c:pt>
                  <c:pt idx="2">
                    <c:v>1.952192997631123</c:v>
                  </c:pt>
                </c:numCache>
              </c:numRef>
            </c:minus>
            <c:spPr>
              <a:noFill/>
              <a:ln w="9525" cap="flat" cmpd="sng" algn="ctr">
                <a:solidFill>
                  <a:schemeClr val="tx1">
                    <a:lumMod val="65000"/>
                    <a:lumOff val="35000"/>
                  </a:schemeClr>
                </a:solidFill>
                <a:round/>
              </a:ln>
              <a:effectLst/>
            </c:spPr>
          </c:errBars>
          <c:xVal>
            <c:strRef>
              <c:f>F2_probe_data!$AN$2:$AN$4</c:f>
              <c:strCache>
                <c:ptCount val="3"/>
                <c:pt idx="0">
                  <c:v>500_500_50</c:v>
                </c:pt>
                <c:pt idx="1">
                  <c:v>400_400_50</c:v>
                </c:pt>
                <c:pt idx="2">
                  <c:v>300_300_50</c:v>
                </c:pt>
              </c:strCache>
            </c:strRef>
          </c:xVal>
          <c:yVal>
            <c:numRef>
              <c:f>F2_probe_data!$AO$2:$AO$4</c:f>
              <c:numCache>
                <c:formatCode>General</c:formatCode>
                <c:ptCount val="3"/>
                <c:pt idx="0">
                  <c:v>34.412916666666668</c:v>
                </c:pt>
                <c:pt idx="1">
                  <c:v>35.256666666666668</c:v>
                </c:pt>
                <c:pt idx="2">
                  <c:v>33.428750000000001</c:v>
                </c:pt>
              </c:numCache>
            </c:numRef>
          </c:yVal>
          <c:smooth val="0"/>
          <c:extLst>
            <c:ext xmlns:c16="http://schemas.microsoft.com/office/drawing/2014/chart" uri="{C3380CC4-5D6E-409C-BE32-E72D297353CC}">
              <c16:uniqueId val="{00000000-6320-467A-A14C-53E9FAE77568}"/>
            </c:ext>
          </c:extLst>
        </c:ser>
        <c:dLbls>
          <c:showLegendKey val="0"/>
          <c:showVal val="0"/>
          <c:showCatName val="0"/>
          <c:showSerName val="0"/>
          <c:showPercent val="0"/>
          <c:showBubbleSize val="0"/>
        </c:dLbls>
        <c:axId val="498059808"/>
        <c:axId val="498064800"/>
      </c:scatterChart>
      <c:valAx>
        <c:axId val="49805980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064800"/>
        <c:crosses val="autoZero"/>
        <c:crossBetween val="midCat"/>
      </c:valAx>
      <c:valAx>
        <c:axId val="498064800"/>
        <c:scaling>
          <c:orientation val="minMax"/>
          <c:max val="45"/>
          <c:min val="2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0598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Leg pneumo</a:t>
            </a:r>
            <a:r>
              <a:rPr lang="en-US" baseline="0"/>
              <a:t> Amplification in Presence of Varying IAC Primers(300,400,500nM) and Probe (50..800nM)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F2_probe_data!$T$104</c:f>
              <c:strCache>
                <c:ptCount val="1"/>
                <c:pt idx="0">
                  <c:v>Ct_mean</c:v>
                </c:pt>
              </c:strCache>
            </c:strRef>
          </c:tx>
          <c:spPr>
            <a:solidFill>
              <a:schemeClr val="accent1"/>
            </a:solidFill>
            <a:ln>
              <a:noFill/>
            </a:ln>
            <a:effectLst/>
          </c:spPr>
          <c:invertIfNegative val="0"/>
          <c:errBars>
            <c:errBarType val="both"/>
            <c:errValType val="cust"/>
            <c:noEndCap val="0"/>
            <c:plus>
              <c:numRef>
                <c:f>F2_probe_data!$V$105:$V$122</c:f>
                <c:numCache>
                  <c:formatCode>General</c:formatCode>
                  <c:ptCount val="18"/>
                  <c:pt idx="0">
                    <c:v>1.0671301076563577</c:v>
                  </c:pt>
                  <c:pt idx="1">
                    <c:v>0.7093659140387284</c:v>
                  </c:pt>
                  <c:pt idx="2">
                    <c:v>0.99483667001171694</c:v>
                  </c:pt>
                  <c:pt idx="3">
                    <c:v>0.71262425817069519</c:v>
                  </c:pt>
                  <c:pt idx="4">
                    <c:v>0.39778553685790613</c:v>
                  </c:pt>
                  <c:pt idx="5">
                    <c:v>1.236055554307061</c:v>
                  </c:pt>
                  <c:pt idx="6">
                    <c:v>0.85578424072114423</c:v>
                  </c:pt>
                  <c:pt idx="7">
                    <c:v>0.63055531081737815</c:v>
                  </c:pt>
                  <c:pt idx="8">
                    <c:v>0.68721660825875441</c:v>
                  </c:pt>
                  <c:pt idx="9">
                    <c:v>0.7845168364456353</c:v>
                  </c:pt>
                  <c:pt idx="10">
                    <c:v>1.3396890186407706</c:v>
                  </c:pt>
                  <c:pt idx="11">
                    <c:v>1.0296115772464882</c:v>
                  </c:pt>
                  <c:pt idx="12">
                    <c:v>0.96698845218888851</c:v>
                  </c:pt>
                  <c:pt idx="13">
                    <c:v>1.0480458005259141</c:v>
                  </c:pt>
                  <c:pt idx="14">
                    <c:v>0.40841155713324073</c:v>
                  </c:pt>
                  <c:pt idx="15">
                    <c:v>1.1952545056737212</c:v>
                  </c:pt>
                  <c:pt idx="16">
                    <c:v>0.62254852555175622</c:v>
                  </c:pt>
                  <c:pt idx="17">
                    <c:v>0.96919210342085049</c:v>
                  </c:pt>
                </c:numCache>
              </c:numRef>
            </c:plus>
            <c:minus>
              <c:numRef>
                <c:f>F2_probe_data!$V$105:$V$122</c:f>
                <c:numCache>
                  <c:formatCode>General</c:formatCode>
                  <c:ptCount val="18"/>
                  <c:pt idx="0">
                    <c:v>1.0671301076563577</c:v>
                  </c:pt>
                  <c:pt idx="1">
                    <c:v>0.7093659140387284</c:v>
                  </c:pt>
                  <c:pt idx="2">
                    <c:v>0.99483667001171694</c:v>
                  </c:pt>
                  <c:pt idx="3">
                    <c:v>0.71262425817069519</c:v>
                  </c:pt>
                  <c:pt idx="4">
                    <c:v>0.39778553685790613</c:v>
                  </c:pt>
                  <c:pt idx="5">
                    <c:v>1.236055554307061</c:v>
                  </c:pt>
                  <c:pt idx="6">
                    <c:v>0.85578424072114423</c:v>
                  </c:pt>
                  <c:pt idx="7">
                    <c:v>0.63055531081737815</c:v>
                  </c:pt>
                  <c:pt idx="8">
                    <c:v>0.68721660825875441</c:v>
                  </c:pt>
                  <c:pt idx="9">
                    <c:v>0.7845168364456353</c:v>
                  </c:pt>
                  <c:pt idx="10">
                    <c:v>1.3396890186407706</c:v>
                  </c:pt>
                  <c:pt idx="11">
                    <c:v>1.0296115772464882</c:v>
                  </c:pt>
                  <c:pt idx="12">
                    <c:v>0.96698845218888851</c:v>
                  </c:pt>
                  <c:pt idx="13">
                    <c:v>1.0480458005259141</c:v>
                  </c:pt>
                  <c:pt idx="14">
                    <c:v>0.40841155713324073</c:v>
                  </c:pt>
                  <c:pt idx="15">
                    <c:v>1.1952545056737212</c:v>
                  </c:pt>
                  <c:pt idx="16">
                    <c:v>0.62254852555175622</c:v>
                  </c:pt>
                  <c:pt idx="17">
                    <c:v>0.96919210342085049</c:v>
                  </c:pt>
                </c:numCache>
              </c:numRef>
            </c:minus>
            <c:spPr>
              <a:noFill/>
              <a:ln w="9525" cap="flat" cmpd="sng" algn="ctr">
                <a:solidFill>
                  <a:schemeClr val="tx1">
                    <a:lumMod val="65000"/>
                    <a:lumOff val="35000"/>
                  </a:schemeClr>
                </a:solidFill>
                <a:round/>
              </a:ln>
              <a:effectLst/>
            </c:spPr>
          </c:errBars>
          <c:cat>
            <c:strRef>
              <c:f>F2_probe_data!$S$105:$S$122</c:f>
              <c:strCache>
                <c:ptCount val="18"/>
                <c:pt idx="0">
                  <c:v>500_500_50</c:v>
                </c:pt>
                <c:pt idx="1">
                  <c:v>400_400_50</c:v>
                </c:pt>
                <c:pt idx="2">
                  <c:v>300_300_50</c:v>
                </c:pt>
                <c:pt idx="3">
                  <c:v>500_500_100</c:v>
                </c:pt>
                <c:pt idx="4">
                  <c:v>400_400_100</c:v>
                </c:pt>
                <c:pt idx="5">
                  <c:v>300_300_100</c:v>
                </c:pt>
                <c:pt idx="6">
                  <c:v>500_500_200</c:v>
                </c:pt>
                <c:pt idx="7">
                  <c:v>400_400_200</c:v>
                </c:pt>
                <c:pt idx="8">
                  <c:v>300_300_200</c:v>
                </c:pt>
                <c:pt idx="9">
                  <c:v>500_500_400</c:v>
                </c:pt>
                <c:pt idx="10">
                  <c:v>400_400_400</c:v>
                </c:pt>
                <c:pt idx="11">
                  <c:v>300_300_400</c:v>
                </c:pt>
                <c:pt idx="12">
                  <c:v>500_500_600</c:v>
                </c:pt>
                <c:pt idx="13">
                  <c:v>400_400_600</c:v>
                </c:pt>
                <c:pt idx="14">
                  <c:v>300_300_600</c:v>
                </c:pt>
                <c:pt idx="15">
                  <c:v>500_500_800</c:v>
                </c:pt>
                <c:pt idx="16">
                  <c:v>400_400_800</c:v>
                </c:pt>
                <c:pt idx="17">
                  <c:v>300_300_800</c:v>
                </c:pt>
              </c:strCache>
            </c:strRef>
          </c:cat>
          <c:val>
            <c:numRef>
              <c:f>F2_probe_data!$T$105:$T$122</c:f>
              <c:numCache>
                <c:formatCode>General</c:formatCode>
                <c:ptCount val="18"/>
                <c:pt idx="0">
                  <c:v>23.5425</c:v>
                </c:pt>
                <c:pt idx="1">
                  <c:v>23.52</c:v>
                </c:pt>
                <c:pt idx="2">
                  <c:v>23.327499999999997</c:v>
                </c:pt>
                <c:pt idx="3">
                  <c:v>23.227499999999999</c:v>
                </c:pt>
                <c:pt idx="4">
                  <c:v>23.392500000000002</c:v>
                </c:pt>
                <c:pt idx="5">
                  <c:v>23.1525</c:v>
                </c:pt>
                <c:pt idx="6">
                  <c:v>23.127500000000001</c:v>
                </c:pt>
                <c:pt idx="7">
                  <c:v>23.209999999999997</c:v>
                </c:pt>
                <c:pt idx="8">
                  <c:v>23.169999999999998</c:v>
                </c:pt>
                <c:pt idx="9">
                  <c:v>23.29</c:v>
                </c:pt>
                <c:pt idx="10">
                  <c:v>22.6675</c:v>
                </c:pt>
                <c:pt idx="11">
                  <c:v>22.842500000000001</c:v>
                </c:pt>
                <c:pt idx="12">
                  <c:v>22.864999999999998</c:v>
                </c:pt>
                <c:pt idx="13">
                  <c:v>23.18</c:v>
                </c:pt>
                <c:pt idx="14">
                  <c:v>23.025000000000002</c:v>
                </c:pt>
                <c:pt idx="15">
                  <c:v>23.5975</c:v>
                </c:pt>
                <c:pt idx="16">
                  <c:v>23.9575</c:v>
                </c:pt>
                <c:pt idx="17">
                  <c:v>23.414999999999999</c:v>
                </c:pt>
              </c:numCache>
            </c:numRef>
          </c:val>
          <c:extLst>
            <c:ext xmlns:c16="http://schemas.microsoft.com/office/drawing/2014/chart" uri="{C3380CC4-5D6E-409C-BE32-E72D297353CC}">
              <c16:uniqueId val="{00000000-FB34-4F25-AE3A-CEC00AAAD011}"/>
            </c:ext>
          </c:extLst>
        </c:ser>
        <c:dLbls>
          <c:showLegendKey val="0"/>
          <c:showVal val="0"/>
          <c:showCatName val="0"/>
          <c:showSerName val="0"/>
          <c:showPercent val="0"/>
          <c:showBubbleSize val="0"/>
        </c:dLbls>
        <c:gapWidth val="219"/>
        <c:overlap val="-27"/>
        <c:axId val="511957200"/>
        <c:axId val="511958032"/>
      </c:barChart>
      <c:catAx>
        <c:axId val="51195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958032"/>
        <c:crosses val="autoZero"/>
        <c:auto val="1"/>
        <c:lblAlgn val="ctr"/>
        <c:lblOffset val="100"/>
        <c:noMultiLvlLbl val="0"/>
      </c:catAx>
      <c:valAx>
        <c:axId val="511958032"/>
        <c:scaling>
          <c:orientation val="minMax"/>
          <c:max val="25"/>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95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Lyophilized Leg pneumo</a:t>
            </a:r>
            <a:r>
              <a:rPr lang="en-US" baseline="0"/>
              <a:t> LOQ</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lyophilized!$S$201</c:f>
              <c:strCache>
                <c:ptCount val="1"/>
                <c:pt idx="0">
                  <c:v>miniS</c:v>
                </c:pt>
              </c:strCache>
            </c:strRef>
          </c:tx>
          <c:spPr>
            <a:ln w="19050" cap="rnd">
              <a:noFill/>
              <a:round/>
            </a:ln>
            <a:effectLst/>
          </c:spPr>
          <c:marker>
            <c:symbol val="circle"/>
            <c:size val="5"/>
            <c:spPr>
              <a:solidFill>
                <a:schemeClr val="accent1"/>
              </a:solidFill>
              <a:ln w="9525">
                <a:solidFill>
                  <a:schemeClr val="accent1"/>
                </a:solidFill>
              </a:ln>
              <a:effectLst/>
            </c:spPr>
          </c:marker>
          <c:xVal>
            <c:numRef>
              <c:f>lyophilized!$R$202:$R$208</c:f>
              <c:numCache>
                <c:formatCode>General</c:formatCode>
                <c:ptCount val="7"/>
                <c:pt idx="0">
                  <c:v>9.0807707468407219</c:v>
                </c:pt>
                <c:pt idx="1">
                  <c:v>8.0807707468407219</c:v>
                </c:pt>
                <c:pt idx="2">
                  <c:v>7.0807707468407219</c:v>
                </c:pt>
                <c:pt idx="3">
                  <c:v>6.0807707468407219</c:v>
                </c:pt>
                <c:pt idx="4">
                  <c:v>5.0807707468407219</c:v>
                </c:pt>
                <c:pt idx="5">
                  <c:v>4.0807707468407219</c:v>
                </c:pt>
                <c:pt idx="6">
                  <c:v>3.0807707468407219</c:v>
                </c:pt>
              </c:numCache>
            </c:numRef>
          </c:xVal>
          <c:yVal>
            <c:numRef>
              <c:f>lyophilized!$S$202:$S$208</c:f>
              <c:numCache>
                <c:formatCode>General</c:formatCode>
                <c:ptCount val="7"/>
                <c:pt idx="0">
                  <c:v>11.280000000000001</c:v>
                </c:pt>
                <c:pt idx="1">
                  <c:v>22.934999999999999</c:v>
                </c:pt>
                <c:pt idx="2">
                  <c:v>22.074999999999999</c:v>
                </c:pt>
                <c:pt idx="3">
                  <c:v>29.174999999999997</c:v>
                </c:pt>
                <c:pt idx="4">
                  <c:v>28.685000000000002</c:v>
                </c:pt>
                <c:pt idx="5">
                  <c:v>29.564999999999998</c:v>
                </c:pt>
                <c:pt idx="6">
                  <c:v>30.5</c:v>
                </c:pt>
              </c:numCache>
            </c:numRef>
          </c:yVal>
          <c:smooth val="0"/>
          <c:extLst>
            <c:ext xmlns:c16="http://schemas.microsoft.com/office/drawing/2014/chart" uri="{C3380CC4-5D6E-409C-BE32-E72D297353CC}">
              <c16:uniqueId val="{00000000-277B-4BBD-8FC1-156FA780A647}"/>
            </c:ext>
          </c:extLst>
        </c:ser>
        <c:ser>
          <c:idx val="1"/>
          <c:order val="1"/>
          <c:tx>
            <c:strRef>
              <c:f>lyophilized!$T$201</c:f>
              <c:strCache>
                <c:ptCount val="1"/>
                <c:pt idx="0">
                  <c:v>Q16</c:v>
                </c:pt>
              </c:strCache>
            </c:strRef>
          </c:tx>
          <c:spPr>
            <a:ln w="19050" cap="rnd">
              <a:noFill/>
              <a:round/>
            </a:ln>
            <a:effectLst/>
          </c:spPr>
          <c:marker>
            <c:symbol val="circle"/>
            <c:size val="5"/>
            <c:spPr>
              <a:solidFill>
                <a:schemeClr val="accent2"/>
              </a:solidFill>
              <a:ln w="9525">
                <a:solidFill>
                  <a:schemeClr val="accent2"/>
                </a:solidFill>
              </a:ln>
              <a:effectLst/>
            </c:spPr>
          </c:marker>
          <c:xVal>
            <c:numRef>
              <c:f>lyophilized!$R$202:$R$208</c:f>
              <c:numCache>
                <c:formatCode>General</c:formatCode>
                <c:ptCount val="7"/>
                <c:pt idx="0">
                  <c:v>9.0807707468407219</c:v>
                </c:pt>
                <c:pt idx="1">
                  <c:v>8.0807707468407219</c:v>
                </c:pt>
                <c:pt idx="2">
                  <c:v>7.0807707468407219</c:v>
                </c:pt>
                <c:pt idx="3">
                  <c:v>6.0807707468407219</c:v>
                </c:pt>
                <c:pt idx="4">
                  <c:v>5.0807707468407219</c:v>
                </c:pt>
                <c:pt idx="5">
                  <c:v>4.0807707468407219</c:v>
                </c:pt>
                <c:pt idx="6">
                  <c:v>3.0807707468407219</c:v>
                </c:pt>
              </c:numCache>
            </c:numRef>
          </c:xVal>
          <c:yVal>
            <c:numRef>
              <c:f>lyophilized!$T$202:$T$208</c:f>
              <c:numCache>
                <c:formatCode>General</c:formatCode>
                <c:ptCount val="7"/>
                <c:pt idx="0">
                  <c:v>11.815</c:v>
                </c:pt>
                <c:pt idx="1">
                  <c:v>23.880000000000003</c:v>
                </c:pt>
                <c:pt idx="2">
                  <c:v>22.45</c:v>
                </c:pt>
                <c:pt idx="3">
                  <c:v>28.515000000000001</c:v>
                </c:pt>
                <c:pt idx="4">
                  <c:v>29.060000000000002</c:v>
                </c:pt>
                <c:pt idx="5">
                  <c:v>30.375</c:v>
                </c:pt>
                <c:pt idx="6">
                  <c:v>31.970000000000002</c:v>
                </c:pt>
              </c:numCache>
            </c:numRef>
          </c:yVal>
          <c:smooth val="0"/>
          <c:extLst>
            <c:ext xmlns:c16="http://schemas.microsoft.com/office/drawing/2014/chart" uri="{C3380CC4-5D6E-409C-BE32-E72D297353CC}">
              <c16:uniqueId val="{00000001-277B-4BBD-8FC1-156FA780A647}"/>
            </c:ext>
          </c:extLst>
        </c:ser>
        <c:ser>
          <c:idx val="2"/>
          <c:order val="2"/>
          <c:tx>
            <c:strRef>
              <c:f>lyophilized!$U$201</c:f>
              <c:strCache>
                <c:ptCount val="1"/>
                <c:pt idx="0">
                  <c:v>Q96</c:v>
                </c:pt>
              </c:strCache>
            </c:strRef>
          </c:tx>
          <c:spPr>
            <a:ln w="1905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0.50952467205549923"/>
                  <c:y val="6.19863662875473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lyophilized!$R$202:$R$208</c:f>
              <c:numCache>
                <c:formatCode>General</c:formatCode>
                <c:ptCount val="7"/>
                <c:pt idx="0">
                  <c:v>9.0807707468407219</c:v>
                </c:pt>
                <c:pt idx="1">
                  <c:v>8.0807707468407219</c:v>
                </c:pt>
                <c:pt idx="2">
                  <c:v>7.0807707468407219</c:v>
                </c:pt>
                <c:pt idx="3">
                  <c:v>6.0807707468407219</c:v>
                </c:pt>
                <c:pt idx="4">
                  <c:v>5.0807707468407219</c:v>
                </c:pt>
                <c:pt idx="5">
                  <c:v>4.0807707468407219</c:v>
                </c:pt>
                <c:pt idx="6">
                  <c:v>3.0807707468407219</c:v>
                </c:pt>
              </c:numCache>
            </c:numRef>
          </c:xVal>
          <c:yVal>
            <c:numRef>
              <c:f>lyophilized!$U$202:$U$208</c:f>
              <c:numCache>
                <c:formatCode>General</c:formatCode>
                <c:ptCount val="7"/>
                <c:pt idx="0">
                  <c:v>12.484999999999999</c:v>
                </c:pt>
                <c:pt idx="1">
                  <c:v>22.574999999999999</c:v>
                </c:pt>
                <c:pt idx="2">
                  <c:v>21.54</c:v>
                </c:pt>
                <c:pt idx="3">
                  <c:v>28.82</c:v>
                </c:pt>
                <c:pt idx="4">
                  <c:v>28.225000000000001</c:v>
                </c:pt>
                <c:pt idx="5">
                  <c:v>29.17</c:v>
                </c:pt>
                <c:pt idx="6">
                  <c:v>32.340000000000003</c:v>
                </c:pt>
              </c:numCache>
            </c:numRef>
          </c:yVal>
          <c:smooth val="0"/>
          <c:extLst>
            <c:ext xmlns:c16="http://schemas.microsoft.com/office/drawing/2014/chart" uri="{C3380CC4-5D6E-409C-BE32-E72D297353CC}">
              <c16:uniqueId val="{00000002-277B-4BBD-8FC1-156FA780A647}"/>
            </c:ext>
          </c:extLst>
        </c:ser>
        <c:dLbls>
          <c:showLegendKey val="0"/>
          <c:showVal val="0"/>
          <c:showCatName val="0"/>
          <c:showSerName val="0"/>
          <c:showPercent val="0"/>
          <c:showBubbleSize val="0"/>
        </c:dLbls>
        <c:axId val="1089006288"/>
        <c:axId val="1089017104"/>
      </c:scatterChart>
      <c:valAx>
        <c:axId val="1089006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17104"/>
        <c:crosses val="autoZero"/>
        <c:crossBetween val="midCat"/>
      </c:valAx>
      <c:valAx>
        <c:axId val="108901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062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lyophilized!$R$203:$R$208</c:f>
              <c:numCache>
                <c:formatCode>General</c:formatCode>
                <c:ptCount val="6"/>
                <c:pt idx="0">
                  <c:v>8.0807707468407219</c:v>
                </c:pt>
                <c:pt idx="1">
                  <c:v>7.0807707468407219</c:v>
                </c:pt>
                <c:pt idx="2">
                  <c:v>6.0807707468407219</c:v>
                </c:pt>
                <c:pt idx="3">
                  <c:v>5.0807707468407219</c:v>
                </c:pt>
                <c:pt idx="4">
                  <c:v>4.0807707468407219</c:v>
                </c:pt>
                <c:pt idx="5">
                  <c:v>3.0807707468407219</c:v>
                </c:pt>
              </c:numCache>
            </c:numRef>
          </c:xVal>
          <c:yVal>
            <c:numRef>
              <c:f>lyophilized!$S$203:$S$208</c:f>
              <c:numCache>
                <c:formatCode>General</c:formatCode>
                <c:ptCount val="6"/>
                <c:pt idx="0">
                  <c:v>22.934999999999999</c:v>
                </c:pt>
                <c:pt idx="1">
                  <c:v>22.074999999999999</c:v>
                </c:pt>
                <c:pt idx="2">
                  <c:v>29.174999999999997</c:v>
                </c:pt>
                <c:pt idx="3">
                  <c:v>28.685000000000002</c:v>
                </c:pt>
                <c:pt idx="4">
                  <c:v>29.564999999999998</c:v>
                </c:pt>
                <c:pt idx="5">
                  <c:v>30.5</c:v>
                </c:pt>
              </c:numCache>
            </c:numRef>
          </c:yVal>
          <c:smooth val="0"/>
          <c:extLst>
            <c:ext xmlns:c16="http://schemas.microsoft.com/office/drawing/2014/chart" uri="{C3380CC4-5D6E-409C-BE32-E72D297353CC}">
              <c16:uniqueId val="{00000000-262E-464B-A95B-A6A0115B3D8B}"/>
            </c:ext>
          </c:extLst>
        </c:ser>
        <c:ser>
          <c:idx val="1"/>
          <c:order val="1"/>
          <c:spPr>
            <a:ln w="19050" cap="rnd">
              <a:noFill/>
              <a:round/>
            </a:ln>
            <a:effectLst/>
          </c:spPr>
          <c:marker>
            <c:symbol val="circle"/>
            <c:size val="5"/>
            <c:spPr>
              <a:solidFill>
                <a:schemeClr val="accent2"/>
              </a:solidFill>
              <a:ln w="9525">
                <a:solidFill>
                  <a:schemeClr val="accent2"/>
                </a:solidFill>
              </a:ln>
              <a:effectLst/>
            </c:spPr>
          </c:marker>
          <c:xVal>
            <c:numRef>
              <c:f>lyophilized!$R$203:$R$208</c:f>
              <c:numCache>
                <c:formatCode>General</c:formatCode>
                <c:ptCount val="6"/>
                <c:pt idx="0">
                  <c:v>8.0807707468407219</c:v>
                </c:pt>
                <c:pt idx="1">
                  <c:v>7.0807707468407219</c:v>
                </c:pt>
                <c:pt idx="2">
                  <c:v>6.0807707468407219</c:v>
                </c:pt>
                <c:pt idx="3">
                  <c:v>5.0807707468407219</c:v>
                </c:pt>
                <c:pt idx="4">
                  <c:v>4.0807707468407219</c:v>
                </c:pt>
                <c:pt idx="5">
                  <c:v>3.0807707468407219</c:v>
                </c:pt>
              </c:numCache>
            </c:numRef>
          </c:xVal>
          <c:yVal>
            <c:numRef>
              <c:f>lyophilized!$T$203:$T$208</c:f>
              <c:numCache>
                <c:formatCode>General</c:formatCode>
                <c:ptCount val="6"/>
                <c:pt idx="0">
                  <c:v>23.880000000000003</c:v>
                </c:pt>
                <c:pt idx="1">
                  <c:v>22.45</c:v>
                </c:pt>
                <c:pt idx="2">
                  <c:v>28.515000000000001</c:v>
                </c:pt>
                <c:pt idx="3">
                  <c:v>29.060000000000002</c:v>
                </c:pt>
                <c:pt idx="4">
                  <c:v>30.375</c:v>
                </c:pt>
                <c:pt idx="5">
                  <c:v>31.970000000000002</c:v>
                </c:pt>
              </c:numCache>
            </c:numRef>
          </c:yVal>
          <c:smooth val="0"/>
          <c:extLst>
            <c:ext xmlns:c16="http://schemas.microsoft.com/office/drawing/2014/chart" uri="{C3380CC4-5D6E-409C-BE32-E72D297353CC}">
              <c16:uniqueId val="{00000001-262E-464B-A95B-A6A0115B3D8B}"/>
            </c:ext>
          </c:extLst>
        </c:ser>
        <c:ser>
          <c:idx val="2"/>
          <c:order val="2"/>
          <c:spPr>
            <a:ln w="1905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0.3882721422259372"/>
                  <c:y val="4.496281714785652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lyophilized!$R$203:$R$208</c:f>
              <c:numCache>
                <c:formatCode>General</c:formatCode>
                <c:ptCount val="6"/>
                <c:pt idx="0">
                  <c:v>8.0807707468407219</c:v>
                </c:pt>
                <c:pt idx="1">
                  <c:v>7.0807707468407219</c:v>
                </c:pt>
                <c:pt idx="2">
                  <c:v>6.0807707468407219</c:v>
                </c:pt>
                <c:pt idx="3">
                  <c:v>5.0807707468407219</c:v>
                </c:pt>
                <c:pt idx="4">
                  <c:v>4.0807707468407219</c:v>
                </c:pt>
                <c:pt idx="5">
                  <c:v>3.0807707468407219</c:v>
                </c:pt>
              </c:numCache>
            </c:numRef>
          </c:xVal>
          <c:yVal>
            <c:numRef>
              <c:f>lyophilized!$U$203:$U$208</c:f>
              <c:numCache>
                <c:formatCode>General</c:formatCode>
                <c:ptCount val="6"/>
                <c:pt idx="0">
                  <c:v>22.574999999999999</c:v>
                </c:pt>
                <c:pt idx="1">
                  <c:v>21.54</c:v>
                </c:pt>
                <c:pt idx="2">
                  <c:v>28.82</c:v>
                </c:pt>
                <c:pt idx="3">
                  <c:v>28.225000000000001</c:v>
                </c:pt>
                <c:pt idx="4">
                  <c:v>29.17</c:v>
                </c:pt>
                <c:pt idx="5">
                  <c:v>32.340000000000003</c:v>
                </c:pt>
              </c:numCache>
            </c:numRef>
          </c:yVal>
          <c:smooth val="0"/>
          <c:extLst>
            <c:ext xmlns:c16="http://schemas.microsoft.com/office/drawing/2014/chart" uri="{C3380CC4-5D6E-409C-BE32-E72D297353CC}">
              <c16:uniqueId val="{00000002-262E-464B-A95B-A6A0115B3D8B}"/>
            </c:ext>
          </c:extLst>
        </c:ser>
        <c:dLbls>
          <c:showLegendKey val="0"/>
          <c:showVal val="0"/>
          <c:showCatName val="0"/>
          <c:showSerName val="0"/>
          <c:showPercent val="0"/>
          <c:showBubbleSize val="0"/>
        </c:dLbls>
        <c:axId val="960000672"/>
        <c:axId val="960001504"/>
      </c:scatterChart>
      <c:valAx>
        <c:axId val="960000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001504"/>
        <c:crosses val="autoZero"/>
        <c:crossBetween val="midCat"/>
      </c:valAx>
      <c:valAx>
        <c:axId val="960001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00067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[Exp800.10 Optimal Conc of IAC in Leg pneumo assay.xlsx]pivot!PivotTable4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Comparing Cqs</a:t>
            </a:r>
            <a:r>
              <a:rPr lang="en-US" baseline="0"/>
              <a:t> for </a:t>
            </a:r>
            <a:r>
              <a:rPr lang="en-US"/>
              <a:t>Leg pneumo and IAC in Reconstituted, Lyophilized Reactions</a:t>
            </a:r>
            <a:r>
              <a:rPr lang="en-US" baseline="0"/>
              <a:t> </a:t>
            </a:r>
            <a:r>
              <a:rPr lang="en-US"/>
              <a:t>Among 3 ThermalCyclers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pivot!$B$3:$B$4</c:f>
              <c:strCache>
                <c:ptCount val="1"/>
                <c:pt idx="0">
                  <c:v>1</c:v>
                </c:pt>
              </c:strCache>
            </c:strRef>
          </c:tx>
          <c:spPr>
            <a:solidFill>
              <a:schemeClr val="accent1"/>
            </a:solidFill>
            <a:ln>
              <a:noFill/>
            </a:ln>
            <a:effectLst/>
          </c:spPr>
          <c:invertIfNegative val="0"/>
          <c:cat>
            <c:multiLvlStrRef>
              <c:f>pivot!$A$5:$A$13</c:f>
              <c:multiLvlStrCache>
                <c:ptCount val="6"/>
                <c:lvl>
                  <c:pt idx="0">
                    <c:v>miniS</c:v>
                  </c:pt>
                  <c:pt idx="1">
                    <c:v>Q16</c:v>
                  </c:pt>
                  <c:pt idx="2">
                    <c:v>Q96</c:v>
                  </c:pt>
                  <c:pt idx="3">
                    <c:v>miniS</c:v>
                  </c:pt>
                  <c:pt idx="4">
                    <c:v>Q16</c:v>
                  </c:pt>
                  <c:pt idx="5">
                    <c:v>Q96</c:v>
                  </c:pt>
                </c:lvl>
                <c:lvl>
                  <c:pt idx="0">
                    <c:v>FAM</c:v>
                  </c:pt>
                  <c:pt idx="3">
                    <c:v>CY5</c:v>
                  </c:pt>
                </c:lvl>
              </c:multiLvlStrCache>
            </c:multiLvlStrRef>
          </c:cat>
          <c:val>
            <c:numRef>
              <c:f>pivot!$B$5:$B$13</c:f>
              <c:numCache>
                <c:formatCode>General</c:formatCode>
                <c:ptCount val="6"/>
                <c:pt idx="0">
                  <c:v>11.280000000000001</c:v>
                </c:pt>
                <c:pt idx="1">
                  <c:v>11.815</c:v>
                </c:pt>
                <c:pt idx="2">
                  <c:v>12.484999999999999</c:v>
                </c:pt>
                <c:pt idx="3">
                  <c:v>38.93</c:v>
                </c:pt>
                <c:pt idx="4">
                  <c:v>35.49</c:v>
                </c:pt>
                <c:pt idx="5">
                  <c:v>40.81</c:v>
                </c:pt>
              </c:numCache>
            </c:numRef>
          </c:val>
          <c:extLst>
            <c:ext xmlns:c16="http://schemas.microsoft.com/office/drawing/2014/chart" uri="{C3380CC4-5D6E-409C-BE32-E72D297353CC}">
              <c16:uniqueId val="{00000001-98CA-499B-99EF-9A408E6EBA7C}"/>
            </c:ext>
          </c:extLst>
        </c:ser>
        <c:ser>
          <c:idx val="1"/>
          <c:order val="1"/>
          <c:tx>
            <c:strRef>
              <c:f>pivot!$C$3:$C$4</c:f>
              <c:strCache>
                <c:ptCount val="1"/>
                <c:pt idx="0">
                  <c:v>2</c:v>
                </c:pt>
              </c:strCache>
            </c:strRef>
          </c:tx>
          <c:spPr>
            <a:solidFill>
              <a:schemeClr val="accent2"/>
            </a:solidFill>
            <a:ln>
              <a:noFill/>
            </a:ln>
            <a:effectLst/>
          </c:spPr>
          <c:invertIfNegative val="0"/>
          <c:cat>
            <c:multiLvlStrRef>
              <c:f>pivot!$A$5:$A$13</c:f>
              <c:multiLvlStrCache>
                <c:ptCount val="6"/>
                <c:lvl>
                  <c:pt idx="0">
                    <c:v>miniS</c:v>
                  </c:pt>
                  <c:pt idx="1">
                    <c:v>Q16</c:v>
                  </c:pt>
                  <c:pt idx="2">
                    <c:v>Q96</c:v>
                  </c:pt>
                  <c:pt idx="3">
                    <c:v>miniS</c:v>
                  </c:pt>
                  <c:pt idx="4">
                    <c:v>Q16</c:v>
                  </c:pt>
                  <c:pt idx="5">
                    <c:v>Q96</c:v>
                  </c:pt>
                </c:lvl>
                <c:lvl>
                  <c:pt idx="0">
                    <c:v>FAM</c:v>
                  </c:pt>
                  <c:pt idx="3">
                    <c:v>CY5</c:v>
                  </c:pt>
                </c:lvl>
              </c:multiLvlStrCache>
            </c:multiLvlStrRef>
          </c:cat>
          <c:val>
            <c:numRef>
              <c:f>pivot!$C$5:$C$13</c:f>
              <c:numCache>
                <c:formatCode>General</c:formatCode>
                <c:ptCount val="6"/>
                <c:pt idx="0">
                  <c:v>22.934999999999999</c:v>
                </c:pt>
                <c:pt idx="1">
                  <c:v>23.880000000000003</c:v>
                </c:pt>
                <c:pt idx="2">
                  <c:v>22.574999999999999</c:v>
                </c:pt>
                <c:pt idx="3">
                  <c:v>39.155000000000001</c:v>
                </c:pt>
                <c:pt idx="4">
                  <c:v>36.19</c:v>
                </c:pt>
                <c:pt idx="5">
                  <c:v>38.094999999999999</c:v>
                </c:pt>
              </c:numCache>
            </c:numRef>
          </c:val>
          <c:extLst>
            <c:ext xmlns:c16="http://schemas.microsoft.com/office/drawing/2014/chart" uri="{C3380CC4-5D6E-409C-BE32-E72D297353CC}">
              <c16:uniqueId val="{00000002-98CA-499B-99EF-9A408E6EBA7C}"/>
            </c:ext>
          </c:extLst>
        </c:ser>
        <c:ser>
          <c:idx val="2"/>
          <c:order val="2"/>
          <c:tx>
            <c:strRef>
              <c:f>pivot!$D$3:$D$4</c:f>
              <c:strCache>
                <c:ptCount val="1"/>
                <c:pt idx="0">
                  <c:v>3</c:v>
                </c:pt>
              </c:strCache>
            </c:strRef>
          </c:tx>
          <c:spPr>
            <a:solidFill>
              <a:schemeClr val="accent3"/>
            </a:solidFill>
            <a:ln>
              <a:noFill/>
            </a:ln>
            <a:effectLst/>
          </c:spPr>
          <c:invertIfNegative val="0"/>
          <c:cat>
            <c:multiLvlStrRef>
              <c:f>pivot!$A$5:$A$13</c:f>
              <c:multiLvlStrCache>
                <c:ptCount val="6"/>
                <c:lvl>
                  <c:pt idx="0">
                    <c:v>miniS</c:v>
                  </c:pt>
                  <c:pt idx="1">
                    <c:v>Q16</c:v>
                  </c:pt>
                  <c:pt idx="2">
                    <c:v>Q96</c:v>
                  </c:pt>
                  <c:pt idx="3">
                    <c:v>miniS</c:v>
                  </c:pt>
                  <c:pt idx="4">
                    <c:v>Q16</c:v>
                  </c:pt>
                  <c:pt idx="5">
                    <c:v>Q96</c:v>
                  </c:pt>
                </c:lvl>
                <c:lvl>
                  <c:pt idx="0">
                    <c:v>FAM</c:v>
                  </c:pt>
                  <c:pt idx="3">
                    <c:v>CY5</c:v>
                  </c:pt>
                </c:lvl>
              </c:multiLvlStrCache>
            </c:multiLvlStrRef>
          </c:cat>
          <c:val>
            <c:numRef>
              <c:f>pivot!$D$5:$D$13</c:f>
              <c:numCache>
                <c:formatCode>General</c:formatCode>
                <c:ptCount val="6"/>
                <c:pt idx="0">
                  <c:v>22.074999999999999</c:v>
                </c:pt>
                <c:pt idx="1">
                  <c:v>22.45</c:v>
                </c:pt>
                <c:pt idx="2">
                  <c:v>21.54</c:v>
                </c:pt>
                <c:pt idx="3">
                  <c:v>39.120000000000005</c:v>
                </c:pt>
                <c:pt idx="4">
                  <c:v>36</c:v>
                </c:pt>
                <c:pt idx="5">
                  <c:v>41.459999999999994</c:v>
                </c:pt>
              </c:numCache>
            </c:numRef>
          </c:val>
          <c:extLst>
            <c:ext xmlns:c16="http://schemas.microsoft.com/office/drawing/2014/chart" uri="{C3380CC4-5D6E-409C-BE32-E72D297353CC}">
              <c16:uniqueId val="{00000003-98CA-499B-99EF-9A408E6EBA7C}"/>
            </c:ext>
          </c:extLst>
        </c:ser>
        <c:ser>
          <c:idx val="3"/>
          <c:order val="3"/>
          <c:tx>
            <c:strRef>
              <c:f>pivot!$E$3:$E$4</c:f>
              <c:strCache>
                <c:ptCount val="1"/>
                <c:pt idx="0">
                  <c:v>4</c:v>
                </c:pt>
              </c:strCache>
            </c:strRef>
          </c:tx>
          <c:spPr>
            <a:solidFill>
              <a:schemeClr val="accent4"/>
            </a:solidFill>
            <a:ln>
              <a:noFill/>
            </a:ln>
            <a:effectLst/>
          </c:spPr>
          <c:invertIfNegative val="0"/>
          <c:cat>
            <c:multiLvlStrRef>
              <c:f>pivot!$A$5:$A$13</c:f>
              <c:multiLvlStrCache>
                <c:ptCount val="6"/>
                <c:lvl>
                  <c:pt idx="0">
                    <c:v>miniS</c:v>
                  </c:pt>
                  <c:pt idx="1">
                    <c:v>Q16</c:v>
                  </c:pt>
                  <c:pt idx="2">
                    <c:v>Q96</c:v>
                  </c:pt>
                  <c:pt idx="3">
                    <c:v>miniS</c:v>
                  </c:pt>
                  <c:pt idx="4">
                    <c:v>Q16</c:v>
                  </c:pt>
                  <c:pt idx="5">
                    <c:v>Q96</c:v>
                  </c:pt>
                </c:lvl>
                <c:lvl>
                  <c:pt idx="0">
                    <c:v>FAM</c:v>
                  </c:pt>
                  <c:pt idx="3">
                    <c:v>CY5</c:v>
                  </c:pt>
                </c:lvl>
              </c:multiLvlStrCache>
            </c:multiLvlStrRef>
          </c:cat>
          <c:val>
            <c:numRef>
              <c:f>pivot!$E$5:$E$13</c:f>
              <c:numCache>
                <c:formatCode>General</c:formatCode>
                <c:ptCount val="6"/>
                <c:pt idx="0">
                  <c:v>29.174999999999997</c:v>
                </c:pt>
                <c:pt idx="1">
                  <c:v>28.515000000000001</c:v>
                </c:pt>
                <c:pt idx="2">
                  <c:v>28.82</c:v>
                </c:pt>
                <c:pt idx="3">
                  <c:v>36.745000000000005</c:v>
                </c:pt>
                <c:pt idx="4">
                  <c:v>33.295000000000002</c:v>
                </c:pt>
                <c:pt idx="5">
                  <c:v>38.74</c:v>
                </c:pt>
              </c:numCache>
            </c:numRef>
          </c:val>
          <c:extLst>
            <c:ext xmlns:c16="http://schemas.microsoft.com/office/drawing/2014/chart" uri="{C3380CC4-5D6E-409C-BE32-E72D297353CC}">
              <c16:uniqueId val="{00000004-98CA-499B-99EF-9A408E6EBA7C}"/>
            </c:ext>
          </c:extLst>
        </c:ser>
        <c:ser>
          <c:idx val="4"/>
          <c:order val="4"/>
          <c:tx>
            <c:strRef>
              <c:f>pivot!$F$3:$F$4</c:f>
              <c:strCache>
                <c:ptCount val="1"/>
                <c:pt idx="0">
                  <c:v>5</c:v>
                </c:pt>
              </c:strCache>
            </c:strRef>
          </c:tx>
          <c:spPr>
            <a:solidFill>
              <a:schemeClr val="accent5"/>
            </a:solidFill>
            <a:ln>
              <a:noFill/>
            </a:ln>
            <a:effectLst/>
          </c:spPr>
          <c:invertIfNegative val="0"/>
          <c:cat>
            <c:multiLvlStrRef>
              <c:f>pivot!$A$5:$A$13</c:f>
              <c:multiLvlStrCache>
                <c:ptCount val="6"/>
                <c:lvl>
                  <c:pt idx="0">
                    <c:v>miniS</c:v>
                  </c:pt>
                  <c:pt idx="1">
                    <c:v>Q16</c:v>
                  </c:pt>
                  <c:pt idx="2">
                    <c:v>Q96</c:v>
                  </c:pt>
                  <c:pt idx="3">
                    <c:v>miniS</c:v>
                  </c:pt>
                  <c:pt idx="4">
                    <c:v>Q16</c:v>
                  </c:pt>
                  <c:pt idx="5">
                    <c:v>Q96</c:v>
                  </c:pt>
                </c:lvl>
                <c:lvl>
                  <c:pt idx="0">
                    <c:v>FAM</c:v>
                  </c:pt>
                  <c:pt idx="3">
                    <c:v>CY5</c:v>
                  </c:pt>
                </c:lvl>
              </c:multiLvlStrCache>
            </c:multiLvlStrRef>
          </c:cat>
          <c:val>
            <c:numRef>
              <c:f>pivot!$F$5:$F$13</c:f>
              <c:numCache>
                <c:formatCode>General</c:formatCode>
                <c:ptCount val="6"/>
                <c:pt idx="0">
                  <c:v>28.685000000000002</c:v>
                </c:pt>
                <c:pt idx="1">
                  <c:v>29.060000000000002</c:v>
                </c:pt>
                <c:pt idx="2">
                  <c:v>28.225000000000001</c:v>
                </c:pt>
                <c:pt idx="3">
                  <c:v>37.894999999999996</c:v>
                </c:pt>
                <c:pt idx="4">
                  <c:v>33.65</c:v>
                </c:pt>
                <c:pt idx="5">
                  <c:v>35.92</c:v>
                </c:pt>
              </c:numCache>
            </c:numRef>
          </c:val>
          <c:extLst>
            <c:ext xmlns:c16="http://schemas.microsoft.com/office/drawing/2014/chart" uri="{C3380CC4-5D6E-409C-BE32-E72D297353CC}">
              <c16:uniqueId val="{00000005-98CA-499B-99EF-9A408E6EBA7C}"/>
            </c:ext>
          </c:extLst>
        </c:ser>
        <c:ser>
          <c:idx val="5"/>
          <c:order val="5"/>
          <c:tx>
            <c:strRef>
              <c:f>pivot!$G$3:$G$4</c:f>
              <c:strCache>
                <c:ptCount val="1"/>
                <c:pt idx="0">
                  <c:v>6</c:v>
                </c:pt>
              </c:strCache>
            </c:strRef>
          </c:tx>
          <c:spPr>
            <a:solidFill>
              <a:schemeClr val="accent6"/>
            </a:solidFill>
            <a:ln>
              <a:noFill/>
            </a:ln>
            <a:effectLst/>
          </c:spPr>
          <c:invertIfNegative val="0"/>
          <c:cat>
            <c:multiLvlStrRef>
              <c:f>pivot!$A$5:$A$13</c:f>
              <c:multiLvlStrCache>
                <c:ptCount val="6"/>
                <c:lvl>
                  <c:pt idx="0">
                    <c:v>miniS</c:v>
                  </c:pt>
                  <c:pt idx="1">
                    <c:v>Q16</c:v>
                  </c:pt>
                  <c:pt idx="2">
                    <c:v>Q96</c:v>
                  </c:pt>
                  <c:pt idx="3">
                    <c:v>miniS</c:v>
                  </c:pt>
                  <c:pt idx="4">
                    <c:v>Q16</c:v>
                  </c:pt>
                  <c:pt idx="5">
                    <c:v>Q96</c:v>
                  </c:pt>
                </c:lvl>
                <c:lvl>
                  <c:pt idx="0">
                    <c:v>FAM</c:v>
                  </c:pt>
                  <c:pt idx="3">
                    <c:v>CY5</c:v>
                  </c:pt>
                </c:lvl>
              </c:multiLvlStrCache>
            </c:multiLvlStrRef>
          </c:cat>
          <c:val>
            <c:numRef>
              <c:f>pivot!$G$5:$G$13</c:f>
              <c:numCache>
                <c:formatCode>General</c:formatCode>
                <c:ptCount val="6"/>
                <c:pt idx="0">
                  <c:v>29.564999999999998</c:v>
                </c:pt>
                <c:pt idx="1">
                  <c:v>30.375</c:v>
                </c:pt>
                <c:pt idx="2">
                  <c:v>29.17</c:v>
                </c:pt>
                <c:pt idx="3">
                  <c:v>38.120000000000005</c:v>
                </c:pt>
                <c:pt idx="4">
                  <c:v>33.51</c:v>
                </c:pt>
                <c:pt idx="5">
                  <c:v>36.685000000000002</c:v>
                </c:pt>
              </c:numCache>
            </c:numRef>
          </c:val>
          <c:extLst>
            <c:ext xmlns:c16="http://schemas.microsoft.com/office/drawing/2014/chart" uri="{C3380CC4-5D6E-409C-BE32-E72D297353CC}">
              <c16:uniqueId val="{00000006-98CA-499B-99EF-9A408E6EBA7C}"/>
            </c:ext>
          </c:extLst>
        </c:ser>
        <c:ser>
          <c:idx val="6"/>
          <c:order val="6"/>
          <c:tx>
            <c:strRef>
              <c:f>pivot!$H$3:$H$4</c:f>
              <c:strCache>
                <c:ptCount val="1"/>
                <c:pt idx="0">
                  <c:v>7</c:v>
                </c:pt>
              </c:strCache>
            </c:strRef>
          </c:tx>
          <c:spPr>
            <a:solidFill>
              <a:schemeClr val="accent1">
                <a:lumMod val="60000"/>
              </a:schemeClr>
            </a:solidFill>
            <a:ln>
              <a:noFill/>
            </a:ln>
            <a:effectLst/>
          </c:spPr>
          <c:invertIfNegative val="0"/>
          <c:cat>
            <c:multiLvlStrRef>
              <c:f>pivot!$A$5:$A$13</c:f>
              <c:multiLvlStrCache>
                <c:ptCount val="6"/>
                <c:lvl>
                  <c:pt idx="0">
                    <c:v>miniS</c:v>
                  </c:pt>
                  <c:pt idx="1">
                    <c:v>Q16</c:v>
                  </c:pt>
                  <c:pt idx="2">
                    <c:v>Q96</c:v>
                  </c:pt>
                  <c:pt idx="3">
                    <c:v>miniS</c:v>
                  </c:pt>
                  <c:pt idx="4">
                    <c:v>Q16</c:v>
                  </c:pt>
                  <c:pt idx="5">
                    <c:v>Q96</c:v>
                  </c:pt>
                </c:lvl>
                <c:lvl>
                  <c:pt idx="0">
                    <c:v>FAM</c:v>
                  </c:pt>
                  <c:pt idx="3">
                    <c:v>CY5</c:v>
                  </c:pt>
                </c:lvl>
              </c:multiLvlStrCache>
            </c:multiLvlStrRef>
          </c:cat>
          <c:val>
            <c:numRef>
              <c:f>pivot!$H$5:$H$13</c:f>
              <c:numCache>
                <c:formatCode>General</c:formatCode>
                <c:ptCount val="6"/>
                <c:pt idx="0">
                  <c:v>30.5</c:v>
                </c:pt>
                <c:pt idx="1">
                  <c:v>31.970000000000002</c:v>
                </c:pt>
                <c:pt idx="2">
                  <c:v>32.340000000000003</c:v>
                </c:pt>
                <c:pt idx="3">
                  <c:v>35.314999999999998</c:v>
                </c:pt>
                <c:pt idx="4">
                  <c:v>34.57</c:v>
                </c:pt>
                <c:pt idx="5">
                  <c:v>36.879999999999995</c:v>
                </c:pt>
              </c:numCache>
            </c:numRef>
          </c:val>
          <c:extLst>
            <c:ext xmlns:c16="http://schemas.microsoft.com/office/drawing/2014/chart" uri="{C3380CC4-5D6E-409C-BE32-E72D297353CC}">
              <c16:uniqueId val="{00000007-98CA-499B-99EF-9A408E6EBA7C}"/>
            </c:ext>
          </c:extLst>
        </c:ser>
        <c:ser>
          <c:idx val="7"/>
          <c:order val="7"/>
          <c:tx>
            <c:strRef>
              <c:f>pivot!$I$3:$I$4</c:f>
              <c:strCache>
                <c:ptCount val="1"/>
                <c:pt idx="0">
                  <c:v>8</c:v>
                </c:pt>
              </c:strCache>
            </c:strRef>
          </c:tx>
          <c:spPr>
            <a:solidFill>
              <a:schemeClr val="accent2">
                <a:lumMod val="60000"/>
              </a:schemeClr>
            </a:solidFill>
            <a:ln>
              <a:noFill/>
            </a:ln>
            <a:effectLst/>
          </c:spPr>
          <c:invertIfNegative val="0"/>
          <c:cat>
            <c:multiLvlStrRef>
              <c:f>pivot!$A$5:$A$13</c:f>
              <c:multiLvlStrCache>
                <c:ptCount val="6"/>
                <c:lvl>
                  <c:pt idx="0">
                    <c:v>miniS</c:v>
                  </c:pt>
                  <c:pt idx="1">
                    <c:v>Q16</c:v>
                  </c:pt>
                  <c:pt idx="2">
                    <c:v>Q96</c:v>
                  </c:pt>
                  <c:pt idx="3">
                    <c:v>miniS</c:v>
                  </c:pt>
                  <c:pt idx="4">
                    <c:v>Q16</c:v>
                  </c:pt>
                  <c:pt idx="5">
                    <c:v>Q96</c:v>
                  </c:pt>
                </c:lvl>
                <c:lvl>
                  <c:pt idx="0">
                    <c:v>FAM</c:v>
                  </c:pt>
                  <c:pt idx="3">
                    <c:v>CY5</c:v>
                  </c:pt>
                </c:lvl>
              </c:multiLvlStrCache>
            </c:multiLvlStrRef>
          </c:cat>
          <c:val>
            <c:numRef>
              <c:f>pivot!$I$5:$I$13</c:f>
              <c:numCache>
                <c:formatCode>General</c:formatCode>
                <c:ptCount val="6"/>
                <c:pt idx="0">
                  <c:v>18.37</c:v>
                </c:pt>
                <c:pt idx="1">
                  <c:v>0</c:v>
                </c:pt>
                <c:pt idx="2">
                  <c:v>37.96</c:v>
                </c:pt>
                <c:pt idx="3">
                  <c:v>34.799999999999997</c:v>
                </c:pt>
                <c:pt idx="4">
                  <c:v>33.984999999999999</c:v>
                </c:pt>
                <c:pt idx="5">
                  <c:v>0</c:v>
                </c:pt>
              </c:numCache>
            </c:numRef>
          </c:val>
          <c:extLst>
            <c:ext xmlns:c16="http://schemas.microsoft.com/office/drawing/2014/chart" uri="{C3380CC4-5D6E-409C-BE32-E72D297353CC}">
              <c16:uniqueId val="{00000008-98CA-499B-99EF-9A408E6EBA7C}"/>
            </c:ext>
          </c:extLst>
        </c:ser>
        <c:dLbls>
          <c:showLegendKey val="0"/>
          <c:showVal val="0"/>
          <c:showCatName val="0"/>
          <c:showSerName val="0"/>
          <c:showPercent val="0"/>
          <c:showBubbleSize val="0"/>
        </c:dLbls>
        <c:gapWidth val="219"/>
        <c:overlap val="-27"/>
        <c:axId val="1870369471"/>
        <c:axId val="1870370719"/>
      </c:barChart>
      <c:catAx>
        <c:axId val="187036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370719"/>
        <c:crosses val="autoZero"/>
        <c:auto val="1"/>
        <c:lblAlgn val="ctr"/>
        <c:lblOffset val="100"/>
        <c:noMultiLvlLbl val="0"/>
      </c:catAx>
      <c:valAx>
        <c:axId val="1870370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369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Std Curve for Leg</a:t>
            </a:r>
            <a:r>
              <a:rPr lang="en-US" baseline="0"/>
              <a:t> pne Std Curve with New Tips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923977530191992"/>
          <c:y val="0.10226851851851852"/>
          <c:w val="0.82294486060892991"/>
          <c:h val="0.70696741032370958"/>
        </c:manualLayout>
      </c:layout>
      <c:scatterChart>
        <c:scatterStyle val="lineMarker"/>
        <c:varyColors val="0"/>
        <c:ser>
          <c:idx val="0"/>
          <c:order val="0"/>
          <c:tx>
            <c:strRef>
              <c:f>'New.Leg.pne_std_curve'!$O$2</c:f>
              <c:strCache>
                <c:ptCount val="1"/>
                <c:pt idx="0">
                  <c:v>CT_MEAN</c:v>
                </c:pt>
              </c:strCache>
            </c:strRef>
          </c:tx>
          <c:spPr>
            <a:ln w="19050" cap="rnd">
              <a:noFill/>
              <a:round/>
            </a:ln>
            <a:effectLst/>
          </c:spPr>
          <c:marker>
            <c:symbol val="circle"/>
            <c:size val="5"/>
            <c:spPr>
              <a:solidFill>
                <a:schemeClr val="bg1">
                  <a:lumMod val="50000"/>
                </a:schemeClr>
              </a:solidFill>
              <a:ln w="9525">
                <a:noFill/>
              </a:ln>
              <a:effectLst/>
            </c:spPr>
          </c:marker>
          <c:errBars>
            <c:errDir val="y"/>
            <c:errBarType val="both"/>
            <c:errValType val="cust"/>
            <c:noEndCap val="0"/>
            <c:plus>
              <c:numRef>
                <c:f>'New.Leg.pne_std_curve'!$Q$5:$Q$18</c:f>
                <c:numCache>
                  <c:formatCode>General</c:formatCode>
                  <c:ptCount val="14"/>
                  <c:pt idx="0">
                    <c:v>0</c:v>
                  </c:pt>
                  <c:pt idx="1">
                    <c:v>0</c:v>
                  </c:pt>
                  <c:pt idx="2">
                    <c:v>0.2343786110832923</c:v>
                  </c:pt>
                  <c:pt idx="3">
                    <c:v>1.8647877448474752</c:v>
                  </c:pt>
                  <c:pt idx="4">
                    <c:v>1.3111191148531613</c:v>
                  </c:pt>
                  <c:pt idx="5">
                    <c:v>1.8421997720117111</c:v>
                  </c:pt>
                  <c:pt idx="6">
                    <c:v>1.4108626202906287</c:v>
                  </c:pt>
                  <c:pt idx="7">
                    <c:v>2.0162341133906065</c:v>
                  </c:pt>
                  <c:pt idx="8">
                    <c:v>1.8225988770617281</c:v>
                  </c:pt>
                  <c:pt idx="9">
                    <c:v>2.3399999999999985</c:v>
                  </c:pt>
                  <c:pt idx="10">
                    <c:v>0</c:v>
                  </c:pt>
                  <c:pt idx="11">
                    <c:v>0</c:v>
                  </c:pt>
                  <c:pt idx="12">
                    <c:v>0</c:v>
                  </c:pt>
                  <c:pt idx="13">
                    <c:v>0</c:v>
                  </c:pt>
                </c:numCache>
              </c:numRef>
            </c:plus>
            <c:minus>
              <c:numRef>
                <c:f>'New.Leg.pne_std_curve'!$Q$5:$Q$18</c:f>
                <c:numCache>
                  <c:formatCode>General</c:formatCode>
                  <c:ptCount val="14"/>
                  <c:pt idx="0">
                    <c:v>0</c:v>
                  </c:pt>
                  <c:pt idx="1">
                    <c:v>0</c:v>
                  </c:pt>
                  <c:pt idx="2">
                    <c:v>0.2343786110832923</c:v>
                  </c:pt>
                  <c:pt idx="3">
                    <c:v>1.8647877448474752</c:v>
                  </c:pt>
                  <c:pt idx="4">
                    <c:v>1.3111191148531613</c:v>
                  </c:pt>
                  <c:pt idx="5">
                    <c:v>1.8421997720117111</c:v>
                  </c:pt>
                  <c:pt idx="6">
                    <c:v>1.4108626202906287</c:v>
                  </c:pt>
                  <c:pt idx="7">
                    <c:v>2.0162341133906065</c:v>
                  </c:pt>
                  <c:pt idx="8">
                    <c:v>1.8225988770617281</c:v>
                  </c:pt>
                  <c:pt idx="9">
                    <c:v>2.3399999999999985</c:v>
                  </c:pt>
                  <c:pt idx="10">
                    <c:v>0</c:v>
                  </c:pt>
                  <c:pt idx="11">
                    <c:v>0</c:v>
                  </c:pt>
                  <c:pt idx="12">
                    <c:v>0</c:v>
                  </c:pt>
                  <c:pt idx="13">
                    <c:v>0</c:v>
                  </c:pt>
                </c:numCache>
              </c:numRef>
            </c:minus>
            <c:spPr>
              <a:noFill/>
              <a:ln w="9525" cap="flat" cmpd="sng" algn="ctr">
                <a:solidFill>
                  <a:schemeClr val="tx1">
                    <a:lumMod val="65000"/>
                    <a:lumOff val="35000"/>
                  </a:schemeClr>
                </a:solidFill>
                <a:round/>
              </a:ln>
              <a:effectLst/>
            </c:spPr>
          </c:errBars>
          <c:xVal>
            <c:numRef>
              <c:f>'New.Leg.pne_std_curve'!$N$5:$N$19</c:f>
              <c:numCache>
                <c:formatCode>General</c:formatCode>
                <c:ptCount val="15"/>
                <c:pt idx="0">
                  <c:v>10.080770746840722</c:v>
                </c:pt>
                <c:pt idx="1">
                  <c:v>9.0807707468407219</c:v>
                </c:pt>
                <c:pt idx="2">
                  <c:v>8.0807707468407219</c:v>
                </c:pt>
                <c:pt idx="3">
                  <c:v>7.0807707468407219</c:v>
                </c:pt>
                <c:pt idx="4">
                  <c:v>6.0807707468407219</c:v>
                </c:pt>
                <c:pt idx="5">
                  <c:v>5.0807707468407219</c:v>
                </c:pt>
                <c:pt idx="6">
                  <c:v>4.0807707468407219</c:v>
                </c:pt>
                <c:pt idx="7">
                  <c:v>3.0807707468407219</c:v>
                </c:pt>
                <c:pt idx="8">
                  <c:v>2.0807707468407219</c:v>
                </c:pt>
                <c:pt idx="9">
                  <c:v>1.0807707468407219</c:v>
                </c:pt>
                <c:pt idx="10">
                  <c:v>8.077074684072183E-2</c:v>
                </c:pt>
                <c:pt idx="11">
                  <c:v>-0.91922925315927817</c:v>
                </c:pt>
                <c:pt idx="12">
                  <c:v>-1.9192292531592783</c:v>
                </c:pt>
                <c:pt idx="13">
                  <c:v>-2.9192292531592781</c:v>
                </c:pt>
                <c:pt idx="14">
                  <c:v>-3.9192292531592781</c:v>
                </c:pt>
              </c:numCache>
            </c:numRef>
          </c:xVal>
          <c:yVal>
            <c:numRef>
              <c:f>'New.Leg.pne_std_curve'!$O$5:$O$19</c:f>
              <c:numCache>
                <c:formatCode>General</c:formatCode>
                <c:ptCount val="15"/>
                <c:pt idx="0">
                  <c:v>0</c:v>
                </c:pt>
                <c:pt idx="1">
                  <c:v>0</c:v>
                </c:pt>
                <c:pt idx="2">
                  <c:v>7.7966666666666669</c:v>
                </c:pt>
                <c:pt idx="3">
                  <c:v>12.037500000000001</c:v>
                </c:pt>
                <c:pt idx="4">
                  <c:v>15.662500000000001</c:v>
                </c:pt>
                <c:pt idx="5">
                  <c:v>19.127500000000001</c:v>
                </c:pt>
                <c:pt idx="6">
                  <c:v>22.475000000000001</c:v>
                </c:pt>
                <c:pt idx="7">
                  <c:v>26.494999999999997</c:v>
                </c:pt>
                <c:pt idx="8">
                  <c:v>30.009999999999998</c:v>
                </c:pt>
                <c:pt idx="9">
                  <c:v>32.630000000000003</c:v>
                </c:pt>
                <c:pt idx="10">
                  <c:v>33.11</c:v>
                </c:pt>
                <c:pt idx="11">
                  <c:v>0</c:v>
                </c:pt>
                <c:pt idx="12">
                  <c:v>0</c:v>
                </c:pt>
                <c:pt idx="13">
                  <c:v>0</c:v>
                </c:pt>
                <c:pt idx="14">
                  <c:v>0</c:v>
                </c:pt>
              </c:numCache>
            </c:numRef>
          </c:yVal>
          <c:smooth val="0"/>
          <c:extLst>
            <c:ext xmlns:c16="http://schemas.microsoft.com/office/drawing/2014/chart" uri="{C3380CC4-5D6E-409C-BE32-E72D297353CC}">
              <c16:uniqueId val="{00000000-5C6E-43DC-879E-80B0F92EF3A6}"/>
            </c:ext>
          </c:extLst>
        </c:ser>
        <c:ser>
          <c:idx val="1"/>
          <c:order val="1"/>
          <c:tx>
            <c:v>std_3-std_8</c:v>
          </c:tx>
          <c:spPr>
            <a:ln w="25400" cap="rnd">
              <a:noFill/>
              <a:round/>
            </a:ln>
            <a:effectLst/>
          </c:spPr>
          <c:marker>
            <c:symbol val="circle"/>
            <c:size val="5"/>
            <c:spPr>
              <a:solidFill>
                <a:schemeClr val="accent2"/>
              </a:solidFill>
              <a:ln w="9525">
                <a:solidFill>
                  <a:schemeClr val="accent2"/>
                </a:solidFill>
              </a:ln>
              <a:effectLst/>
            </c:spPr>
          </c:marker>
          <c:dLbls>
            <c:dLbl>
              <c:idx val="0"/>
              <c:tx>
                <c:rich>
                  <a:bodyPr/>
                  <a:lstStyle/>
                  <a:p>
                    <a:fld id="{57906527-3D32-4B0D-8859-F36B5D12CCF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C6E-43DC-879E-80B0F92EF3A6}"/>
                </c:ext>
              </c:extLst>
            </c:dLbl>
            <c:dLbl>
              <c:idx val="1"/>
              <c:tx>
                <c:rich>
                  <a:bodyPr/>
                  <a:lstStyle/>
                  <a:p>
                    <a:fld id="{DC51EB0D-32C6-4D00-B6DD-DF13144EC5C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C6E-43DC-879E-80B0F92EF3A6}"/>
                </c:ext>
              </c:extLst>
            </c:dLbl>
            <c:dLbl>
              <c:idx val="2"/>
              <c:tx>
                <c:rich>
                  <a:bodyPr/>
                  <a:lstStyle/>
                  <a:p>
                    <a:fld id="{47AFA4AB-C178-4028-923A-9E8E90B6F1D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C6E-43DC-879E-80B0F92EF3A6}"/>
                </c:ext>
              </c:extLst>
            </c:dLbl>
            <c:dLbl>
              <c:idx val="3"/>
              <c:tx>
                <c:rich>
                  <a:bodyPr/>
                  <a:lstStyle/>
                  <a:p>
                    <a:fld id="{FEB5249A-353C-4355-B27B-75296DC6565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C6E-43DC-879E-80B0F92EF3A6}"/>
                </c:ext>
              </c:extLst>
            </c:dLbl>
            <c:dLbl>
              <c:idx val="4"/>
              <c:tx>
                <c:rich>
                  <a:bodyPr/>
                  <a:lstStyle/>
                  <a:p>
                    <a:fld id="{8ED59085-EFE8-49FD-92AC-7EC7F0FCA94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C6E-43DC-879E-80B0F92EF3A6}"/>
                </c:ext>
              </c:extLst>
            </c:dLbl>
            <c:dLbl>
              <c:idx val="5"/>
              <c:tx>
                <c:rich>
                  <a:bodyPr/>
                  <a:lstStyle/>
                  <a:p>
                    <a:fld id="{EECBD87D-72AC-40C1-9EFC-FFEFDE9F401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C6E-43DC-879E-80B0F92EF3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2"/>
                </a:solidFill>
                <a:prstDash val="sysDot"/>
              </a:ln>
              <a:effectLst/>
            </c:spPr>
            <c:trendlineType val="linear"/>
            <c:forward val="3"/>
            <c:backward val="3"/>
            <c:dispRSqr val="1"/>
            <c:dispEq val="1"/>
            <c:trendlineLbl>
              <c:layout>
                <c:manualLayout>
                  <c:x val="-0.18469036820638987"/>
                  <c:y val="-6.8634076990376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'New.Leg.pne_std_curve'!$N$7:$N$12</c:f>
              <c:numCache>
                <c:formatCode>General</c:formatCode>
                <c:ptCount val="6"/>
                <c:pt idx="0">
                  <c:v>8.0807707468407219</c:v>
                </c:pt>
                <c:pt idx="1">
                  <c:v>7.0807707468407219</c:v>
                </c:pt>
                <c:pt idx="2">
                  <c:v>6.0807707468407219</c:v>
                </c:pt>
                <c:pt idx="3">
                  <c:v>5.0807707468407219</c:v>
                </c:pt>
                <c:pt idx="4">
                  <c:v>4.0807707468407219</c:v>
                </c:pt>
                <c:pt idx="5">
                  <c:v>3.0807707468407219</c:v>
                </c:pt>
              </c:numCache>
            </c:numRef>
          </c:xVal>
          <c:yVal>
            <c:numRef>
              <c:f>'New.Leg.pne_std_curve'!$O$7:$O$12</c:f>
              <c:numCache>
                <c:formatCode>General</c:formatCode>
                <c:ptCount val="6"/>
                <c:pt idx="0">
                  <c:v>7.7966666666666669</c:v>
                </c:pt>
                <c:pt idx="1">
                  <c:v>12.037500000000001</c:v>
                </c:pt>
                <c:pt idx="2">
                  <c:v>15.662500000000001</c:v>
                </c:pt>
                <c:pt idx="3">
                  <c:v>19.127500000000001</c:v>
                </c:pt>
                <c:pt idx="4">
                  <c:v>22.475000000000001</c:v>
                </c:pt>
                <c:pt idx="5">
                  <c:v>26.494999999999997</c:v>
                </c:pt>
              </c:numCache>
            </c:numRef>
          </c:yVal>
          <c:smooth val="0"/>
          <c:extLst>
            <c:ext xmlns:c15="http://schemas.microsoft.com/office/drawing/2012/chart" uri="{02D57815-91ED-43cb-92C2-25804820EDAC}">
              <c15:datalabelsRange>
                <c15:f>'New.Leg.pne_std_curve'!$I$7:$I$12</c15:f>
                <c15:dlblRangeCache>
                  <c:ptCount val="6"/>
                  <c:pt idx="0">
                    <c:v>std_3</c:v>
                  </c:pt>
                  <c:pt idx="1">
                    <c:v>std_4</c:v>
                  </c:pt>
                  <c:pt idx="2">
                    <c:v>std_5</c:v>
                  </c:pt>
                  <c:pt idx="3">
                    <c:v>std_6</c:v>
                  </c:pt>
                  <c:pt idx="4">
                    <c:v>std_7</c:v>
                  </c:pt>
                  <c:pt idx="5">
                    <c:v>std_8</c:v>
                  </c:pt>
                </c15:dlblRangeCache>
              </c15:datalabelsRange>
            </c:ext>
            <c:ext xmlns:c16="http://schemas.microsoft.com/office/drawing/2014/chart" uri="{C3380CC4-5D6E-409C-BE32-E72D297353CC}">
              <c16:uniqueId val="{00000008-5C6E-43DC-879E-80B0F92EF3A6}"/>
            </c:ext>
          </c:extLst>
        </c:ser>
        <c:dLbls>
          <c:showLegendKey val="0"/>
          <c:showVal val="0"/>
          <c:showCatName val="0"/>
          <c:showSerName val="0"/>
          <c:showPercent val="0"/>
          <c:showBubbleSize val="0"/>
        </c:dLbls>
        <c:axId val="1325840959"/>
        <c:axId val="1325827647"/>
      </c:scatterChart>
      <c:valAx>
        <c:axId val="13258409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a:t>
                </a:r>
                <a:r>
                  <a:rPr lang="en-US" baseline="0"/>
                  <a:t> (Copy Number/Rxn)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827647"/>
        <c:crosses val="autoZero"/>
        <c:crossBetween val="midCat"/>
      </c:valAx>
      <c:valAx>
        <c:axId val="1325827647"/>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840959"/>
        <c:crossesAt val="-5"/>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new_Legpne_std_liquid_LOD!$Q$70</c:f>
              <c:strCache>
                <c:ptCount val="1"/>
                <c:pt idx="0">
                  <c:v>Fraction Positive</c:v>
                </c:pt>
              </c:strCache>
            </c:strRef>
          </c:tx>
          <c:spPr>
            <a:ln w="19050" cap="rnd">
              <a:noFill/>
              <a:round/>
            </a:ln>
            <a:effectLst/>
          </c:spPr>
          <c:marker>
            <c:symbol val="circle"/>
            <c:size val="5"/>
            <c:spPr>
              <a:solidFill>
                <a:schemeClr val="accent1"/>
              </a:solidFill>
              <a:ln w="9525">
                <a:solidFill>
                  <a:schemeClr val="accent1"/>
                </a:solidFill>
              </a:ln>
              <a:effectLst/>
            </c:spPr>
          </c:marker>
          <c:xVal>
            <c:numRef>
              <c:f>new_Legpne_std_liquid_LOD!$O$71:$O$78</c:f>
              <c:numCache>
                <c:formatCode>General</c:formatCode>
                <c:ptCount val="8"/>
                <c:pt idx="0">
                  <c:v>4.0807707468407219</c:v>
                </c:pt>
                <c:pt idx="1">
                  <c:v>3.0807707468407219</c:v>
                </c:pt>
                <c:pt idx="2">
                  <c:v>2.0807707468407219</c:v>
                </c:pt>
                <c:pt idx="3">
                  <c:v>1.0807707468407219</c:v>
                </c:pt>
                <c:pt idx="4">
                  <c:v>8.077074684072183E-2</c:v>
                </c:pt>
                <c:pt idx="5">
                  <c:v>-0.91922925315927817</c:v>
                </c:pt>
                <c:pt idx="6">
                  <c:v>-1.9192292531592783</c:v>
                </c:pt>
                <c:pt idx="7">
                  <c:v>-2.9192292531592781</c:v>
                </c:pt>
              </c:numCache>
            </c:numRef>
          </c:xVal>
          <c:yVal>
            <c:numRef>
              <c:f>new_Legpne_std_liquid_LOD!$Q$71:$Q$78</c:f>
              <c:numCache>
                <c:formatCode>0%</c:formatCode>
                <c:ptCount val="8"/>
                <c:pt idx="0">
                  <c:v>1</c:v>
                </c:pt>
                <c:pt idx="1">
                  <c:v>1</c:v>
                </c:pt>
                <c:pt idx="2">
                  <c:v>1</c:v>
                </c:pt>
                <c:pt idx="3">
                  <c:v>0.54545454545454541</c:v>
                </c:pt>
                <c:pt idx="4">
                  <c:v>0</c:v>
                </c:pt>
                <c:pt idx="5">
                  <c:v>0</c:v>
                </c:pt>
                <c:pt idx="6">
                  <c:v>0</c:v>
                </c:pt>
                <c:pt idx="7">
                  <c:v>0</c:v>
                </c:pt>
              </c:numCache>
            </c:numRef>
          </c:yVal>
          <c:smooth val="0"/>
          <c:extLst>
            <c:ext xmlns:c16="http://schemas.microsoft.com/office/drawing/2014/chart" uri="{C3380CC4-5D6E-409C-BE32-E72D297353CC}">
              <c16:uniqueId val="{00000000-39DD-4095-8AE0-4EB6215B0B79}"/>
            </c:ext>
          </c:extLst>
        </c:ser>
        <c:dLbls>
          <c:showLegendKey val="0"/>
          <c:showVal val="0"/>
          <c:showCatName val="0"/>
          <c:showSerName val="0"/>
          <c:showPercent val="0"/>
          <c:showBubbleSize val="0"/>
        </c:dLbls>
        <c:axId val="855069728"/>
        <c:axId val="855063904"/>
      </c:scatterChart>
      <c:valAx>
        <c:axId val="855069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063904"/>
        <c:crosses val="autoZero"/>
        <c:crossBetween val="midCat"/>
      </c:valAx>
      <c:valAx>
        <c:axId val="855063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069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new_Legpne_std_liquid_LOD!$N$70</c:f>
              <c:strCache>
                <c:ptCount val="1"/>
                <c:pt idx="0">
                  <c:v>Copy Number/rxn (2ul)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9472107624298524"/>
                  <c:y val="0.5029622338874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new_Legpne_std_liquid_LOD!$J$71:$J$78</c:f>
              <c:numCache>
                <c:formatCode>General</c:formatCode>
                <c:ptCount val="8"/>
                <c:pt idx="0">
                  <c:v>1.0000000000000002E-7</c:v>
                </c:pt>
                <c:pt idx="1">
                  <c:v>1.0000000000000002E-8</c:v>
                </c:pt>
                <c:pt idx="2">
                  <c:v>1.0000000000000003E-9</c:v>
                </c:pt>
                <c:pt idx="3">
                  <c:v>1.0000000000000003E-10</c:v>
                </c:pt>
                <c:pt idx="4">
                  <c:v>1.0000000000000003E-11</c:v>
                </c:pt>
                <c:pt idx="5">
                  <c:v>1.0000000000000002E-12</c:v>
                </c:pt>
                <c:pt idx="6">
                  <c:v>1.0000000000000002E-13</c:v>
                </c:pt>
                <c:pt idx="7">
                  <c:v>1.0000000000000002E-14</c:v>
                </c:pt>
              </c:numCache>
            </c:numRef>
          </c:xVal>
          <c:yVal>
            <c:numRef>
              <c:f>new_Legpne_std_liquid_LOD!$N$71:$N$78</c:f>
              <c:numCache>
                <c:formatCode>0.E+00</c:formatCode>
                <c:ptCount val="8"/>
                <c:pt idx="0">
                  <c:v>12044.000000000004</c:v>
                </c:pt>
                <c:pt idx="1">
                  <c:v>1204.4000000000005</c:v>
                </c:pt>
                <c:pt idx="2">
                  <c:v>120.44000000000004</c:v>
                </c:pt>
                <c:pt idx="3">
                  <c:v>12.044000000000004</c:v>
                </c:pt>
                <c:pt idx="4">
                  <c:v>1.2044000000000004</c:v>
                </c:pt>
                <c:pt idx="5">
                  <c:v>0.12044000000000002</c:v>
                </c:pt>
                <c:pt idx="6">
                  <c:v>1.2044000000000003E-2</c:v>
                </c:pt>
                <c:pt idx="7">
                  <c:v>1.2044000000000002E-3</c:v>
                </c:pt>
              </c:numCache>
            </c:numRef>
          </c:yVal>
          <c:smooth val="0"/>
          <c:extLst>
            <c:ext xmlns:c16="http://schemas.microsoft.com/office/drawing/2014/chart" uri="{C3380CC4-5D6E-409C-BE32-E72D297353CC}">
              <c16:uniqueId val="{00000000-E0B8-4F8F-BD77-D919DF2CBAC6}"/>
            </c:ext>
          </c:extLst>
        </c:ser>
        <c:dLbls>
          <c:showLegendKey val="0"/>
          <c:showVal val="0"/>
          <c:showCatName val="0"/>
          <c:showSerName val="0"/>
          <c:showPercent val="0"/>
          <c:showBubbleSize val="0"/>
        </c:dLbls>
        <c:axId val="1238166544"/>
        <c:axId val="1238173200"/>
      </c:scatterChart>
      <c:valAx>
        <c:axId val="1238166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173200"/>
        <c:crosses val="autoZero"/>
        <c:crossBetween val="midCat"/>
      </c:valAx>
      <c:valAx>
        <c:axId val="1238173200"/>
        <c:scaling>
          <c:orientation val="minMax"/>
        </c:scaling>
        <c:delete val="0"/>
        <c:axPos val="l"/>
        <c:majorGridlines>
          <c:spPr>
            <a:ln w="9525" cap="flat" cmpd="sng" algn="ctr">
              <a:solidFill>
                <a:schemeClr val="tx1">
                  <a:lumMod val="15000"/>
                  <a:lumOff val="85000"/>
                </a:schemeClr>
              </a:solidFill>
              <a:round/>
            </a:ln>
            <a:effectLst/>
          </c:spPr>
        </c:majorGridlines>
        <c:numFmt formatCode="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1665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new_Legpne_std_liquid_LOD!$L$170:$L$175</c:f>
              <c:numCache>
                <c:formatCode>General</c:formatCode>
                <c:ptCount val="6"/>
                <c:pt idx="0">
                  <c:v>9.2349999999999996E-11</c:v>
                </c:pt>
                <c:pt idx="1">
                  <c:v>9.2349999999999993E-12</c:v>
                </c:pt>
                <c:pt idx="2">
                  <c:v>9.2349999999999985E-13</c:v>
                </c:pt>
                <c:pt idx="3">
                  <c:v>9.234999999999998E-14</c:v>
                </c:pt>
                <c:pt idx="4">
                  <c:v>9.234999999999998E-15</c:v>
                </c:pt>
                <c:pt idx="5">
                  <c:v>9.2349999999999972E-16</c:v>
                </c:pt>
              </c:numCache>
            </c:numRef>
          </c:xVal>
          <c:yVal>
            <c:numRef>
              <c:f>new_Legpne_std_liquid_LOD!$P$170:$P$175</c:f>
              <c:numCache>
                <c:formatCode>0.E+00</c:formatCode>
                <c:ptCount val="6"/>
                <c:pt idx="0">
                  <c:v>111.22634000000004</c:v>
                </c:pt>
                <c:pt idx="1">
                  <c:v>11.122634000000003</c:v>
                </c:pt>
                <c:pt idx="2">
                  <c:v>1.1122634000000002</c:v>
                </c:pt>
                <c:pt idx="3">
                  <c:v>0.11122634000000002</c:v>
                </c:pt>
                <c:pt idx="4">
                  <c:v>1.1122634000000001E-2</c:v>
                </c:pt>
                <c:pt idx="5">
                  <c:v>1.1122634000000002E-3</c:v>
                </c:pt>
              </c:numCache>
            </c:numRef>
          </c:yVal>
          <c:smooth val="0"/>
          <c:extLst>
            <c:ext xmlns:c16="http://schemas.microsoft.com/office/drawing/2014/chart" uri="{C3380CC4-5D6E-409C-BE32-E72D297353CC}">
              <c16:uniqueId val="{00000000-4A52-4DA2-8E4D-1D1A780428E4}"/>
            </c:ext>
          </c:extLst>
        </c:ser>
        <c:dLbls>
          <c:showLegendKey val="0"/>
          <c:showVal val="0"/>
          <c:showCatName val="0"/>
          <c:showSerName val="0"/>
          <c:showPercent val="0"/>
          <c:showBubbleSize val="0"/>
        </c:dLbls>
        <c:axId val="1582713248"/>
        <c:axId val="1582707008"/>
      </c:scatterChart>
      <c:valAx>
        <c:axId val="158271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707008"/>
        <c:crosses val="autoZero"/>
        <c:crossBetween val="midCat"/>
      </c:valAx>
      <c:valAx>
        <c:axId val="1582707008"/>
        <c:scaling>
          <c:orientation val="minMax"/>
        </c:scaling>
        <c:delete val="0"/>
        <c:axPos val="l"/>
        <c:majorGridlines>
          <c:spPr>
            <a:ln w="9525" cap="flat" cmpd="sng" algn="ctr">
              <a:solidFill>
                <a:schemeClr val="tx1">
                  <a:lumMod val="15000"/>
                  <a:lumOff val="85000"/>
                </a:schemeClr>
              </a:solidFill>
              <a:round/>
            </a:ln>
            <a:effectLst/>
          </c:spPr>
        </c:majorGridlines>
        <c:numFmt formatCode="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71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lyoph_LOD!$AF$4</c:f>
              <c:strCache>
                <c:ptCount val="1"/>
                <c:pt idx="0">
                  <c:v>Copy Number/rxn (2ul)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5.8166447944007001E-2"/>
                  <c:y val="0.4341818049105391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lyoph_LOD!$AB$5:$AB$12</c:f>
              <c:numCache>
                <c:formatCode>General</c:formatCode>
                <c:ptCount val="8"/>
                <c:pt idx="0">
                  <c:v>1.0000000000000002E-7</c:v>
                </c:pt>
                <c:pt idx="1">
                  <c:v>1.0000000000000002E-8</c:v>
                </c:pt>
                <c:pt idx="2">
                  <c:v>1.0000000000000003E-9</c:v>
                </c:pt>
                <c:pt idx="3">
                  <c:v>1.0000000000000003E-10</c:v>
                </c:pt>
                <c:pt idx="4">
                  <c:v>1.0000000000000003E-11</c:v>
                </c:pt>
                <c:pt idx="5">
                  <c:v>1.0000000000000002E-12</c:v>
                </c:pt>
                <c:pt idx="6">
                  <c:v>1.0000000000000002E-13</c:v>
                </c:pt>
                <c:pt idx="7">
                  <c:v>1.0000000000000002E-14</c:v>
                </c:pt>
              </c:numCache>
            </c:numRef>
          </c:xVal>
          <c:yVal>
            <c:numRef>
              <c:f>lyoph_LOD!$AF$5:$AF$12</c:f>
              <c:numCache>
                <c:formatCode>0.E+00</c:formatCode>
                <c:ptCount val="8"/>
                <c:pt idx="0">
                  <c:v>12044.000000000004</c:v>
                </c:pt>
                <c:pt idx="1">
                  <c:v>1204.4000000000005</c:v>
                </c:pt>
                <c:pt idx="2">
                  <c:v>120.44000000000004</c:v>
                </c:pt>
                <c:pt idx="3">
                  <c:v>12.044000000000004</c:v>
                </c:pt>
                <c:pt idx="4">
                  <c:v>1.2044000000000004</c:v>
                </c:pt>
                <c:pt idx="5">
                  <c:v>0.12044000000000002</c:v>
                </c:pt>
                <c:pt idx="6">
                  <c:v>1.2044000000000003E-2</c:v>
                </c:pt>
                <c:pt idx="7">
                  <c:v>1.2044000000000002E-3</c:v>
                </c:pt>
              </c:numCache>
            </c:numRef>
          </c:yVal>
          <c:smooth val="0"/>
          <c:extLst>
            <c:ext xmlns:c16="http://schemas.microsoft.com/office/drawing/2014/chart" uri="{C3380CC4-5D6E-409C-BE32-E72D297353CC}">
              <c16:uniqueId val="{00000001-7EA1-4E85-B985-7AE81CEBC7DF}"/>
            </c:ext>
          </c:extLst>
        </c:ser>
        <c:dLbls>
          <c:showLegendKey val="0"/>
          <c:showVal val="0"/>
          <c:showCatName val="0"/>
          <c:showSerName val="0"/>
          <c:showPercent val="0"/>
          <c:showBubbleSize val="0"/>
        </c:dLbls>
        <c:axId val="846673760"/>
        <c:axId val="846676256"/>
      </c:scatterChart>
      <c:valAx>
        <c:axId val="846673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676256"/>
        <c:crosses val="autoZero"/>
        <c:crossBetween val="midCat"/>
      </c:valAx>
      <c:valAx>
        <c:axId val="846676256"/>
        <c:scaling>
          <c:orientation val="minMax"/>
        </c:scaling>
        <c:delete val="0"/>
        <c:axPos val="l"/>
        <c:majorGridlines>
          <c:spPr>
            <a:ln w="9525" cap="flat" cmpd="sng" algn="ctr">
              <a:solidFill>
                <a:schemeClr val="tx1">
                  <a:lumMod val="15000"/>
                  <a:lumOff val="85000"/>
                </a:schemeClr>
              </a:solidFill>
              <a:round/>
            </a:ln>
            <a:effectLst/>
          </c:spPr>
        </c:majorGridlines>
        <c:numFmt formatCode="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6737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[Exp800.10 Optimal Conc of IAC in Leg pneumo assay.xlsx]Pne_vs_Spp LOD!PivotTable5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Comparing LODs in Lyophilized "Leg</a:t>
            </a:r>
            <a:r>
              <a:rPr lang="en-US" baseline="0"/>
              <a:t> pneumophila" and "Leg spp" qPCR Assays Using a Genomic DNA Sample with Three Thermal Cyclers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'Pne_vs_Spp LOD'!$B$3:$B$4</c:f>
              <c:strCache>
                <c:ptCount val="1"/>
                <c:pt idx="0">
                  <c:v>gDNA (1e5)</c:v>
                </c:pt>
              </c:strCache>
            </c:strRef>
          </c:tx>
          <c:spPr>
            <a:solidFill>
              <a:schemeClr val="accent1"/>
            </a:solidFill>
            <a:ln>
              <a:noFill/>
            </a:ln>
            <a:effectLst/>
          </c:spPr>
          <c:invertIfNegative val="0"/>
          <c:cat>
            <c:multiLvlStrRef>
              <c:f>'Pne_vs_Spp LOD'!$A$5:$A$13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LOD'!$B$5:$B$13</c:f>
              <c:numCache>
                <c:formatCode>General</c:formatCode>
                <c:ptCount val="6"/>
                <c:pt idx="0">
                  <c:v>20.420000000000002</c:v>
                </c:pt>
                <c:pt idx="1">
                  <c:v>21.63</c:v>
                </c:pt>
                <c:pt idx="2">
                  <c:v>21.6325</c:v>
                </c:pt>
                <c:pt idx="3">
                  <c:v>23.02</c:v>
                </c:pt>
                <c:pt idx="4">
                  <c:v>24.45</c:v>
                </c:pt>
                <c:pt idx="5">
                  <c:v>23.6325</c:v>
                </c:pt>
              </c:numCache>
            </c:numRef>
          </c:val>
          <c:extLst>
            <c:ext xmlns:c16="http://schemas.microsoft.com/office/drawing/2014/chart" uri="{C3380CC4-5D6E-409C-BE32-E72D297353CC}">
              <c16:uniqueId val="{00000001-21D1-49B9-8308-8968D00203E3}"/>
            </c:ext>
          </c:extLst>
        </c:ser>
        <c:ser>
          <c:idx val="1"/>
          <c:order val="1"/>
          <c:tx>
            <c:strRef>
              <c:f>'Pne_vs_Spp LOD'!$C$3:$C$4</c:f>
              <c:strCache>
                <c:ptCount val="1"/>
                <c:pt idx="0">
                  <c:v>gDNA (1e4)</c:v>
                </c:pt>
              </c:strCache>
            </c:strRef>
          </c:tx>
          <c:spPr>
            <a:solidFill>
              <a:schemeClr val="accent2"/>
            </a:solidFill>
            <a:ln>
              <a:noFill/>
            </a:ln>
            <a:effectLst/>
          </c:spPr>
          <c:invertIfNegative val="0"/>
          <c:cat>
            <c:multiLvlStrRef>
              <c:f>'Pne_vs_Spp LOD'!$A$5:$A$13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LOD'!$C$5:$C$13</c:f>
              <c:numCache>
                <c:formatCode>General</c:formatCode>
                <c:ptCount val="6"/>
                <c:pt idx="0">
                  <c:v>24.93</c:v>
                </c:pt>
                <c:pt idx="1">
                  <c:v>26.11</c:v>
                </c:pt>
                <c:pt idx="2">
                  <c:v>24.147499999999997</c:v>
                </c:pt>
                <c:pt idx="3">
                  <c:v>26.76</c:v>
                </c:pt>
                <c:pt idx="4">
                  <c:v>26.95</c:v>
                </c:pt>
                <c:pt idx="5">
                  <c:v>25.447500000000002</c:v>
                </c:pt>
              </c:numCache>
            </c:numRef>
          </c:val>
          <c:extLst>
            <c:ext xmlns:c16="http://schemas.microsoft.com/office/drawing/2014/chart" uri="{C3380CC4-5D6E-409C-BE32-E72D297353CC}">
              <c16:uniqueId val="{00000002-21D1-49B9-8308-8968D00203E3}"/>
            </c:ext>
          </c:extLst>
        </c:ser>
        <c:ser>
          <c:idx val="2"/>
          <c:order val="2"/>
          <c:tx>
            <c:strRef>
              <c:f>'Pne_vs_Spp LOD'!$D$3:$D$4</c:f>
              <c:strCache>
                <c:ptCount val="1"/>
                <c:pt idx="0">
                  <c:v>gDNA (1e3)</c:v>
                </c:pt>
              </c:strCache>
            </c:strRef>
          </c:tx>
          <c:spPr>
            <a:solidFill>
              <a:schemeClr val="accent3"/>
            </a:solidFill>
            <a:ln>
              <a:noFill/>
            </a:ln>
            <a:effectLst/>
          </c:spPr>
          <c:invertIfNegative val="0"/>
          <c:cat>
            <c:multiLvlStrRef>
              <c:f>'Pne_vs_Spp LOD'!$A$5:$A$13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LOD'!$D$5:$D$13</c:f>
              <c:numCache>
                <c:formatCode>General</c:formatCode>
                <c:ptCount val="6"/>
                <c:pt idx="0">
                  <c:v>27.62</c:v>
                </c:pt>
                <c:pt idx="1">
                  <c:v>29.8</c:v>
                </c:pt>
                <c:pt idx="2">
                  <c:v>27.419999999999998</c:v>
                </c:pt>
                <c:pt idx="3">
                  <c:v>29.71</c:v>
                </c:pt>
                <c:pt idx="4">
                  <c:v>30.57</c:v>
                </c:pt>
                <c:pt idx="5">
                  <c:v>28.892500000000002</c:v>
                </c:pt>
              </c:numCache>
            </c:numRef>
          </c:val>
          <c:extLst>
            <c:ext xmlns:c16="http://schemas.microsoft.com/office/drawing/2014/chart" uri="{C3380CC4-5D6E-409C-BE32-E72D297353CC}">
              <c16:uniqueId val="{00000003-21D1-49B9-8308-8968D00203E3}"/>
            </c:ext>
          </c:extLst>
        </c:ser>
        <c:ser>
          <c:idx val="3"/>
          <c:order val="3"/>
          <c:tx>
            <c:strRef>
              <c:f>'Pne_vs_Spp LOD'!$E$3:$E$4</c:f>
              <c:strCache>
                <c:ptCount val="1"/>
                <c:pt idx="0">
                  <c:v>gDNA (1e2)</c:v>
                </c:pt>
              </c:strCache>
            </c:strRef>
          </c:tx>
          <c:spPr>
            <a:solidFill>
              <a:schemeClr val="accent4"/>
            </a:solidFill>
            <a:ln>
              <a:noFill/>
            </a:ln>
            <a:effectLst/>
          </c:spPr>
          <c:invertIfNegative val="0"/>
          <c:cat>
            <c:multiLvlStrRef>
              <c:f>'Pne_vs_Spp LOD'!$A$5:$A$13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LOD'!$E$5:$E$13</c:f>
              <c:numCache>
                <c:formatCode>General</c:formatCode>
                <c:ptCount val="6"/>
                <c:pt idx="0">
                  <c:v>34.99</c:v>
                </c:pt>
                <c:pt idx="1">
                  <c:v>36.590000000000003</c:v>
                </c:pt>
                <c:pt idx="2">
                  <c:v>34.172499999999999</c:v>
                </c:pt>
                <c:pt idx="3">
                  <c:v>35.299999999999997</c:v>
                </c:pt>
                <c:pt idx="4">
                  <c:v>36.75</c:v>
                </c:pt>
                <c:pt idx="5">
                  <c:v>34.677500000000002</c:v>
                </c:pt>
              </c:numCache>
            </c:numRef>
          </c:val>
          <c:extLst>
            <c:ext xmlns:c16="http://schemas.microsoft.com/office/drawing/2014/chart" uri="{C3380CC4-5D6E-409C-BE32-E72D297353CC}">
              <c16:uniqueId val="{00000004-21D1-49B9-8308-8968D00203E3}"/>
            </c:ext>
          </c:extLst>
        </c:ser>
        <c:ser>
          <c:idx val="4"/>
          <c:order val="4"/>
          <c:tx>
            <c:strRef>
              <c:f>'Pne_vs_Spp LOD'!$F$3:$F$4</c:f>
              <c:strCache>
                <c:ptCount val="1"/>
                <c:pt idx="0">
                  <c:v>gDNA (1e1)</c:v>
                </c:pt>
              </c:strCache>
            </c:strRef>
          </c:tx>
          <c:spPr>
            <a:solidFill>
              <a:schemeClr val="accent5"/>
            </a:solidFill>
            <a:ln>
              <a:noFill/>
            </a:ln>
            <a:effectLst/>
          </c:spPr>
          <c:invertIfNegative val="0"/>
          <c:cat>
            <c:multiLvlStrRef>
              <c:f>'Pne_vs_Spp LOD'!$A$5:$A$13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LOD'!$F$5:$F$13</c:f>
              <c:numCache>
                <c:formatCode>General</c:formatCode>
                <c:ptCount val="6"/>
                <c:pt idx="0">
                  <c:v>36.630000000000003</c:v>
                </c:pt>
                <c:pt idx="2">
                  <c:v>38.99</c:v>
                </c:pt>
                <c:pt idx="3">
                  <c:v>40.65</c:v>
                </c:pt>
                <c:pt idx="5">
                  <c:v>#N/A</c:v>
                </c:pt>
              </c:numCache>
            </c:numRef>
          </c:val>
          <c:extLst>
            <c:ext xmlns:c16="http://schemas.microsoft.com/office/drawing/2014/chart" uri="{C3380CC4-5D6E-409C-BE32-E72D297353CC}">
              <c16:uniqueId val="{00000005-21D1-49B9-8308-8968D00203E3}"/>
            </c:ext>
          </c:extLst>
        </c:ser>
        <c:ser>
          <c:idx val="5"/>
          <c:order val="5"/>
          <c:tx>
            <c:strRef>
              <c:f>'Pne_vs_Spp LOD'!$G$3:$G$4</c:f>
              <c:strCache>
                <c:ptCount val="1"/>
                <c:pt idx="0">
                  <c:v>gDNA (1e0)</c:v>
                </c:pt>
              </c:strCache>
            </c:strRef>
          </c:tx>
          <c:spPr>
            <a:solidFill>
              <a:schemeClr val="accent6"/>
            </a:solidFill>
            <a:ln>
              <a:noFill/>
            </a:ln>
            <a:effectLst/>
          </c:spPr>
          <c:invertIfNegative val="0"/>
          <c:cat>
            <c:multiLvlStrRef>
              <c:f>'Pne_vs_Spp LOD'!$A$5:$A$13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LOD'!$G$5:$G$13</c:f>
              <c:numCache>
                <c:formatCode>General</c:formatCode>
                <c:ptCount val="6"/>
                <c:pt idx="0">
                  <c:v>38.049999999999997</c:v>
                </c:pt>
                <c:pt idx="1">
                  <c:v>39.67</c:v>
                </c:pt>
                <c:pt idx="2">
                  <c:v>39.185000000000002</c:v>
                </c:pt>
                <c:pt idx="3">
                  <c:v>#N/A</c:v>
                </c:pt>
                <c:pt idx="5">
                  <c:v>#N/A</c:v>
                </c:pt>
              </c:numCache>
            </c:numRef>
          </c:val>
          <c:extLst>
            <c:ext xmlns:c16="http://schemas.microsoft.com/office/drawing/2014/chart" uri="{C3380CC4-5D6E-409C-BE32-E72D297353CC}">
              <c16:uniqueId val="{00000006-21D1-49B9-8308-8968D00203E3}"/>
            </c:ext>
          </c:extLst>
        </c:ser>
        <c:dLbls>
          <c:showLegendKey val="0"/>
          <c:showVal val="0"/>
          <c:showCatName val="0"/>
          <c:showSerName val="0"/>
          <c:showPercent val="0"/>
          <c:showBubbleSize val="0"/>
        </c:dLbls>
        <c:gapWidth val="219"/>
        <c:overlap val="-27"/>
        <c:axId val="1553991264"/>
        <c:axId val="1553975040"/>
      </c:barChart>
      <c:catAx>
        <c:axId val="155399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75040"/>
        <c:crosses val="autoZero"/>
        <c:auto val="1"/>
        <c:lblAlgn val="ctr"/>
        <c:lblOffset val="100"/>
        <c:noMultiLvlLbl val="0"/>
      </c:catAx>
      <c:valAx>
        <c:axId val="1553975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9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[Exp800.10 Optimal Conc of IAC in Leg pneumo assay.xlsx]Pne_vs_Spp LOD IAC (2)!PivotTable5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Comparing LODs in Lyophilized "Leg</a:t>
            </a:r>
            <a:r>
              <a:rPr lang="en-US" baseline="0"/>
              <a:t> pneumophila" and "Leg spp" qPCR Assays Using a Genomic DNA Sample with Three Thermal Cyclers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'Pne_vs_Spp LOD IAC (2)'!$B$3:$B$4</c:f>
              <c:strCache>
                <c:ptCount val="1"/>
                <c:pt idx="0">
                  <c:v>gDNA (1e5)</c:v>
                </c:pt>
              </c:strCache>
            </c:strRef>
          </c:tx>
          <c:spPr>
            <a:solidFill>
              <a:schemeClr val="accent1"/>
            </a:solidFill>
            <a:ln>
              <a:noFill/>
            </a:ln>
            <a:effectLst/>
          </c:spPr>
          <c:invertIfNegative val="0"/>
          <c:cat>
            <c:multiLvlStrRef>
              <c:f>'Pne_vs_Spp LOD IAC (2)'!$A$5:$A$13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 (2)'!$B$5:$B$13</c:f>
              <c:numCache>
                <c:formatCode>General</c:formatCode>
                <c:ptCount val="6"/>
                <c:pt idx="0">
                  <c:v>34.21</c:v>
                </c:pt>
                <c:pt idx="1">
                  <c:v>39.4</c:v>
                </c:pt>
                <c:pt idx="2">
                  <c:v>41.15</c:v>
                </c:pt>
                <c:pt idx="3">
                  <c:v>35.799999999999997</c:v>
                </c:pt>
                <c:pt idx="5">
                  <c:v>39.82</c:v>
                </c:pt>
              </c:numCache>
            </c:numRef>
          </c:val>
          <c:extLst>
            <c:ext xmlns:c16="http://schemas.microsoft.com/office/drawing/2014/chart" uri="{C3380CC4-5D6E-409C-BE32-E72D297353CC}">
              <c16:uniqueId val="{00000000-488C-4B2F-956C-37D09FEF7D0A}"/>
            </c:ext>
          </c:extLst>
        </c:ser>
        <c:ser>
          <c:idx val="1"/>
          <c:order val="1"/>
          <c:tx>
            <c:strRef>
              <c:f>'Pne_vs_Spp LOD IAC (2)'!$C$3:$C$4</c:f>
              <c:strCache>
                <c:ptCount val="1"/>
                <c:pt idx="0">
                  <c:v>gDNA (1e4)</c:v>
                </c:pt>
              </c:strCache>
            </c:strRef>
          </c:tx>
          <c:spPr>
            <a:solidFill>
              <a:schemeClr val="accent2"/>
            </a:solidFill>
            <a:ln>
              <a:noFill/>
            </a:ln>
            <a:effectLst/>
          </c:spPr>
          <c:invertIfNegative val="0"/>
          <c:cat>
            <c:multiLvlStrRef>
              <c:f>'Pne_vs_Spp LOD IAC (2)'!$A$5:$A$13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 (2)'!$C$5:$C$13</c:f>
              <c:numCache>
                <c:formatCode>General</c:formatCode>
                <c:ptCount val="6"/>
                <c:pt idx="0">
                  <c:v>35.409999999999997</c:v>
                </c:pt>
                <c:pt idx="1">
                  <c:v>34.57</c:v>
                </c:pt>
                <c:pt idx="2">
                  <c:v>36.119999999999997</c:v>
                </c:pt>
                <c:pt idx="3">
                  <c:v>37.340000000000003</c:v>
                </c:pt>
                <c:pt idx="4">
                  <c:v>34.909999999999997</c:v>
                </c:pt>
                <c:pt idx="5">
                  <c:v>37.5</c:v>
                </c:pt>
              </c:numCache>
            </c:numRef>
          </c:val>
          <c:extLst>
            <c:ext xmlns:c16="http://schemas.microsoft.com/office/drawing/2014/chart" uri="{C3380CC4-5D6E-409C-BE32-E72D297353CC}">
              <c16:uniqueId val="{00000001-488C-4B2F-956C-37D09FEF7D0A}"/>
            </c:ext>
          </c:extLst>
        </c:ser>
        <c:ser>
          <c:idx val="2"/>
          <c:order val="2"/>
          <c:tx>
            <c:strRef>
              <c:f>'Pne_vs_Spp LOD IAC (2)'!$D$3:$D$4</c:f>
              <c:strCache>
                <c:ptCount val="1"/>
                <c:pt idx="0">
                  <c:v>gDNA (1e3)</c:v>
                </c:pt>
              </c:strCache>
            </c:strRef>
          </c:tx>
          <c:spPr>
            <a:solidFill>
              <a:schemeClr val="accent3"/>
            </a:solidFill>
            <a:ln>
              <a:noFill/>
            </a:ln>
            <a:effectLst/>
          </c:spPr>
          <c:invertIfNegative val="0"/>
          <c:cat>
            <c:multiLvlStrRef>
              <c:f>'Pne_vs_Spp LOD IAC (2)'!$A$5:$A$13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 (2)'!$D$5:$D$13</c:f>
              <c:numCache>
                <c:formatCode>General</c:formatCode>
                <c:ptCount val="6"/>
                <c:pt idx="0">
                  <c:v>32.21</c:v>
                </c:pt>
                <c:pt idx="1">
                  <c:v>33.76</c:v>
                </c:pt>
                <c:pt idx="2">
                  <c:v>33.880000000000003</c:v>
                </c:pt>
                <c:pt idx="3">
                  <c:v>36.549999999999997</c:v>
                </c:pt>
                <c:pt idx="4">
                  <c:v>34.590000000000003</c:v>
                </c:pt>
                <c:pt idx="5">
                  <c:v>36.700000000000003</c:v>
                </c:pt>
              </c:numCache>
            </c:numRef>
          </c:val>
          <c:extLst>
            <c:ext xmlns:c16="http://schemas.microsoft.com/office/drawing/2014/chart" uri="{C3380CC4-5D6E-409C-BE32-E72D297353CC}">
              <c16:uniqueId val="{00000002-488C-4B2F-956C-37D09FEF7D0A}"/>
            </c:ext>
          </c:extLst>
        </c:ser>
        <c:ser>
          <c:idx val="3"/>
          <c:order val="3"/>
          <c:tx>
            <c:strRef>
              <c:f>'Pne_vs_Spp LOD IAC (2)'!$E$3:$E$4</c:f>
              <c:strCache>
                <c:ptCount val="1"/>
                <c:pt idx="0">
                  <c:v>gDNA (1e2)</c:v>
                </c:pt>
              </c:strCache>
            </c:strRef>
          </c:tx>
          <c:spPr>
            <a:solidFill>
              <a:schemeClr val="accent4"/>
            </a:solidFill>
            <a:ln>
              <a:noFill/>
            </a:ln>
            <a:effectLst/>
          </c:spPr>
          <c:invertIfNegative val="0"/>
          <c:cat>
            <c:multiLvlStrRef>
              <c:f>'Pne_vs_Spp LOD IAC (2)'!$A$5:$A$13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 (2)'!$E$5:$E$13</c:f>
              <c:numCache>
                <c:formatCode>General</c:formatCode>
                <c:ptCount val="6"/>
                <c:pt idx="0">
                  <c:v>31.44</c:v>
                </c:pt>
                <c:pt idx="1">
                  <c:v>32.96</c:v>
                </c:pt>
                <c:pt idx="2">
                  <c:v>31.58</c:v>
                </c:pt>
                <c:pt idx="3">
                  <c:v>35.700000000000003</c:v>
                </c:pt>
                <c:pt idx="5">
                  <c:v>38.42</c:v>
                </c:pt>
              </c:numCache>
            </c:numRef>
          </c:val>
          <c:extLst>
            <c:ext xmlns:c16="http://schemas.microsoft.com/office/drawing/2014/chart" uri="{C3380CC4-5D6E-409C-BE32-E72D297353CC}">
              <c16:uniqueId val="{00000003-488C-4B2F-956C-37D09FEF7D0A}"/>
            </c:ext>
          </c:extLst>
        </c:ser>
        <c:ser>
          <c:idx val="4"/>
          <c:order val="4"/>
          <c:tx>
            <c:strRef>
              <c:f>'Pne_vs_Spp LOD IAC (2)'!$F$3:$F$4</c:f>
              <c:strCache>
                <c:ptCount val="1"/>
                <c:pt idx="0">
                  <c:v>gDNA (1e1)</c:v>
                </c:pt>
              </c:strCache>
            </c:strRef>
          </c:tx>
          <c:spPr>
            <a:solidFill>
              <a:schemeClr val="accent5"/>
            </a:solidFill>
            <a:ln>
              <a:noFill/>
            </a:ln>
            <a:effectLst/>
          </c:spPr>
          <c:invertIfNegative val="0"/>
          <c:cat>
            <c:multiLvlStrRef>
              <c:f>'Pne_vs_Spp LOD IAC (2)'!$A$5:$A$13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 (2)'!$F$5:$F$13</c:f>
              <c:numCache>
                <c:formatCode>General</c:formatCode>
                <c:ptCount val="6"/>
                <c:pt idx="0">
                  <c:v>31.16</c:v>
                </c:pt>
                <c:pt idx="1">
                  <c:v>32.86</c:v>
                </c:pt>
                <c:pt idx="2">
                  <c:v>31.6</c:v>
                </c:pt>
                <c:pt idx="3">
                  <c:v>36.78</c:v>
                </c:pt>
                <c:pt idx="5">
                  <c:v>38.229999999999997</c:v>
                </c:pt>
              </c:numCache>
            </c:numRef>
          </c:val>
          <c:extLst>
            <c:ext xmlns:c16="http://schemas.microsoft.com/office/drawing/2014/chart" uri="{C3380CC4-5D6E-409C-BE32-E72D297353CC}">
              <c16:uniqueId val="{00000004-488C-4B2F-956C-37D09FEF7D0A}"/>
            </c:ext>
          </c:extLst>
        </c:ser>
        <c:ser>
          <c:idx val="5"/>
          <c:order val="5"/>
          <c:tx>
            <c:strRef>
              <c:f>'Pne_vs_Spp LOD IAC (2)'!$G$3:$G$4</c:f>
              <c:strCache>
                <c:ptCount val="1"/>
                <c:pt idx="0">
                  <c:v>gDNA (1e0)</c:v>
                </c:pt>
              </c:strCache>
            </c:strRef>
          </c:tx>
          <c:spPr>
            <a:solidFill>
              <a:schemeClr val="accent6"/>
            </a:solidFill>
            <a:ln>
              <a:noFill/>
            </a:ln>
            <a:effectLst/>
          </c:spPr>
          <c:invertIfNegative val="0"/>
          <c:cat>
            <c:multiLvlStrRef>
              <c:f>'Pne_vs_Spp LOD IAC (2)'!$A$5:$A$13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 (2)'!$G$5:$G$13</c:f>
              <c:numCache>
                <c:formatCode>General</c:formatCode>
                <c:ptCount val="6"/>
                <c:pt idx="0">
                  <c:v>30.9</c:v>
                </c:pt>
                <c:pt idx="1">
                  <c:v>33.119999999999997</c:v>
                </c:pt>
                <c:pt idx="2">
                  <c:v>31.42</c:v>
                </c:pt>
                <c:pt idx="3">
                  <c:v>37.590000000000003</c:v>
                </c:pt>
                <c:pt idx="5">
                  <c:v>37.04</c:v>
                </c:pt>
              </c:numCache>
            </c:numRef>
          </c:val>
          <c:extLst>
            <c:ext xmlns:c16="http://schemas.microsoft.com/office/drawing/2014/chart" uri="{C3380CC4-5D6E-409C-BE32-E72D297353CC}">
              <c16:uniqueId val="{00000005-488C-4B2F-956C-37D09FEF7D0A}"/>
            </c:ext>
          </c:extLst>
        </c:ser>
        <c:dLbls>
          <c:showLegendKey val="0"/>
          <c:showVal val="0"/>
          <c:showCatName val="0"/>
          <c:showSerName val="0"/>
          <c:showPercent val="0"/>
          <c:showBubbleSize val="0"/>
        </c:dLbls>
        <c:gapWidth val="219"/>
        <c:overlap val="-27"/>
        <c:axId val="1553991264"/>
        <c:axId val="1553975040"/>
      </c:barChart>
      <c:catAx>
        <c:axId val="155399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75040"/>
        <c:crosses val="autoZero"/>
        <c:auto val="1"/>
        <c:lblAlgn val="ctr"/>
        <c:lblOffset val="100"/>
        <c:noMultiLvlLbl val="0"/>
      </c:catAx>
      <c:valAx>
        <c:axId val="1553975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9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[Exp800.10 Optimal Conc of IAC in Leg pneumo assay.xlsx]Pne_vs_Spp LOD IAC!PivotTable5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Comparing LODs in Lyophilized "Leg</a:t>
            </a:r>
            <a:r>
              <a:rPr lang="en-US" baseline="0"/>
              <a:t> pneumophila" and "Leg spp" qPCR Assays Using a Genomic DNA Sample with Three Thermal Cyclers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'Pne_vs_Spp LOD IAC'!$B$3:$B$4</c:f>
              <c:strCache>
                <c:ptCount val="1"/>
                <c:pt idx="0">
                  <c:v>gDNA (1e5)</c:v>
                </c:pt>
              </c:strCache>
            </c:strRef>
          </c:tx>
          <c:spPr>
            <a:solidFill>
              <a:schemeClr val="accent1"/>
            </a:solidFill>
            <a:ln>
              <a:noFill/>
            </a:ln>
            <a:effectLst/>
          </c:spPr>
          <c:invertIfNegative val="0"/>
          <c:cat>
            <c:multiLvlStrRef>
              <c:f>'Pne_vs_Spp LOD IAC'!$A$5:$A$13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IAC'!$B$5:$B$13</c:f>
              <c:numCache>
                <c:formatCode>General</c:formatCode>
                <c:ptCount val="6"/>
                <c:pt idx="0">
                  <c:v>34.21</c:v>
                </c:pt>
                <c:pt idx="1">
                  <c:v>39.4</c:v>
                </c:pt>
                <c:pt idx="2">
                  <c:v>41.15</c:v>
                </c:pt>
                <c:pt idx="3">
                  <c:v>35.799999999999997</c:v>
                </c:pt>
                <c:pt idx="5">
                  <c:v>39.82</c:v>
                </c:pt>
              </c:numCache>
            </c:numRef>
          </c:val>
          <c:extLst>
            <c:ext xmlns:c16="http://schemas.microsoft.com/office/drawing/2014/chart" uri="{C3380CC4-5D6E-409C-BE32-E72D297353CC}">
              <c16:uniqueId val="{00000000-5B62-42F8-B347-9BC50E042822}"/>
            </c:ext>
          </c:extLst>
        </c:ser>
        <c:ser>
          <c:idx val="1"/>
          <c:order val="1"/>
          <c:tx>
            <c:strRef>
              <c:f>'Pne_vs_Spp LOD IAC'!$C$3:$C$4</c:f>
              <c:strCache>
                <c:ptCount val="1"/>
                <c:pt idx="0">
                  <c:v>gDNA (1e4)</c:v>
                </c:pt>
              </c:strCache>
            </c:strRef>
          </c:tx>
          <c:spPr>
            <a:solidFill>
              <a:schemeClr val="accent2"/>
            </a:solidFill>
            <a:ln>
              <a:noFill/>
            </a:ln>
            <a:effectLst/>
          </c:spPr>
          <c:invertIfNegative val="0"/>
          <c:cat>
            <c:multiLvlStrRef>
              <c:f>'Pne_vs_Spp LOD IAC'!$A$5:$A$13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IAC'!$C$5:$C$13</c:f>
              <c:numCache>
                <c:formatCode>General</c:formatCode>
                <c:ptCount val="6"/>
                <c:pt idx="0">
                  <c:v>35.409999999999997</c:v>
                </c:pt>
                <c:pt idx="1">
                  <c:v>34.57</c:v>
                </c:pt>
                <c:pt idx="2">
                  <c:v>36.119999999999997</c:v>
                </c:pt>
                <c:pt idx="3">
                  <c:v>37.340000000000003</c:v>
                </c:pt>
                <c:pt idx="4">
                  <c:v>34.909999999999997</c:v>
                </c:pt>
                <c:pt idx="5">
                  <c:v>37.5</c:v>
                </c:pt>
              </c:numCache>
            </c:numRef>
          </c:val>
          <c:extLst>
            <c:ext xmlns:c16="http://schemas.microsoft.com/office/drawing/2014/chart" uri="{C3380CC4-5D6E-409C-BE32-E72D297353CC}">
              <c16:uniqueId val="{00000001-5B62-42F8-B347-9BC50E042822}"/>
            </c:ext>
          </c:extLst>
        </c:ser>
        <c:ser>
          <c:idx val="2"/>
          <c:order val="2"/>
          <c:tx>
            <c:strRef>
              <c:f>'Pne_vs_Spp LOD IAC'!$D$3:$D$4</c:f>
              <c:strCache>
                <c:ptCount val="1"/>
                <c:pt idx="0">
                  <c:v>gDNA (1e3)</c:v>
                </c:pt>
              </c:strCache>
            </c:strRef>
          </c:tx>
          <c:spPr>
            <a:solidFill>
              <a:schemeClr val="accent3"/>
            </a:solidFill>
            <a:ln>
              <a:noFill/>
            </a:ln>
            <a:effectLst/>
          </c:spPr>
          <c:invertIfNegative val="0"/>
          <c:cat>
            <c:multiLvlStrRef>
              <c:f>'Pne_vs_Spp LOD IAC'!$A$5:$A$13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IAC'!$D$5:$D$13</c:f>
              <c:numCache>
                <c:formatCode>General</c:formatCode>
                <c:ptCount val="6"/>
                <c:pt idx="0">
                  <c:v>32.21</c:v>
                </c:pt>
                <c:pt idx="1">
                  <c:v>33.76</c:v>
                </c:pt>
                <c:pt idx="2">
                  <c:v>33.880000000000003</c:v>
                </c:pt>
                <c:pt idx="3">
                  <c:v>36.549999999999997</c:v>
                </c:pt>
                <c:pt idx="4">
                  <c:v>34.590000000000003</c:v>
                </c:pt>
                <c:pt idx="5">
                  <c:v>36.700000000000003</c:v>
                </c:pt>
              </c:numCache>
            </c:numRef>
          </c:val>
          <c:extLst>
            <c:ext xmlns:c16="http://schemas.microsoft.com/office/drawing/2014/chart" uri="{C3380CC4-5D6E-409C-BE32-E72D297353CC}">
              <c16:uniqueId val="{00000002-5B62-42F8-B347-9BC50E042822}"/>
            </c:ext>
          </c:extLst>
        </c:ser>
        <c:ser>
          <c:idx val="3"/>
          <c:order val="3"/>
          <c:tx>
            <c:strRef>
              <c:f>'Pne_vs_Spp LOD IAC'!$E$3:$E$4</c:f>
              <c:strCache>
                <c:ptCount val="1"/>
                <c:pt idx="0">
                  <c:v>gDNA (1e2)</c:v>
                </c:pt>
              </c:strCache>
            </c:strRef>
          </c:tx>
          <c:spPr>
            <a:solidFill>
              <a:schemeClr val="accent4"/>
            </a:solidFill>
            <a:ln>
              <a:noFill/>
            </a:ln>
            <a:effectLst/>
          </c:spPr>
          <c:invertIfNegative val="0"/>
          <c:cat>
            <c:multiLvlStrRef>
              <c:f>'Pne_vs_Spp LOD IAC'!$A$5:$A$13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IAC'!$E$5:$E$13</c:f>
              <c:numCache>
                <c:formatCode>General</c:formatCode>
                <c:ptCount val="6"/>
                <c:pt idx="0">
                  <c:v>31.44</c:v>
                </c:pt>
                <c:pt idx="1">
                  <c:v>32.96</c:v>
                </c:pt>
                <c:pt idx="2">
                  <c:v>31.58</c:v>
                </c:pt>
                <c:pt idx="3">
                  <c:v>35.700000000000003</c:v>
                </c:pt>
                <c:pt idx="5">
                  <c:v>38.42</c:v>
                </c:pt>
              </c:numCache>
            </c:numRef>
          </c:val>
          <c:extLst>
            <c:ext xmlns:c16="http://schemas.microsoft.com/office/drawing/2014/chart" uri="{C3380CC4-5D6E-409C-BE32-E72D297353CC}">
              <c16:uniqueId val="{00000003-5B62-42F8-B347-9BC50E042822}"/>
            </c:ext>
          </c:extLst>
        </c:ser>
        <c:ser>
          <c:idx val="4"/>
          <c:order val="4"/>
          <c:tx>
            <c:strRef>
              <c:f>'Pne_vs_Spp LOD IAC'!$F$3:$F$4</c:f>
              <c:strCache>
                <c:ptCount val="1"/>
                <c:pt idx="0">
                  <c:v>gDNA (1e1)</c:v>
                </c:pt>
              </c:strCache>
            </c:strRef>
          </c:tx>
          <c:spPr>
            <a:solidFill>
              <a:schemeClr val="accent5"/>
            </a:solidFill>
            <a:ln>
              <a:noFill/>
            </a:ln>
            <a:effectLst/>
          </c:spPr>
          <c:invertIfNegative val="0"/>
          <c:cat>
            <c:multiLvlStrRef>
              <c:f>'Pne_vs_Spp LOD IAC'!$A$5:$A$13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IAC'!$F$5:$F$13</c:f>
              <c:numCache>
                <c:formatCode>General</c:formatCode>
                <c:ptCount val="6"/>
                <c:pt idx="0">
                  <c:v>31.16</c:v>
                </c:pt>
                <c:pt idx="1">
                  <c:v>32.86</c:v>
                </c:pt>
                <c:pt idx="2">
                  <c:v>31.6</c:v>
                </c:pt>
                <c:pt idx="3">
                  <c:v>36.78</c:v>
                </c:pt>
                <c:pt idx="5">
                  <c:v>38.229999999999997</c:v>
                </c:pt>
              </c:numCache>
            </c:numRef>
          </c:val>
          <c:extLst>
            <c:ext xmlns:c16="http://schemas.microsoft.com/office/drawing/2014/chart" uri="{C3380CC4-5D6E-409C-BE32-E72D297353CC}">
              <c16:uniqueId val="{00000004-5B62-42F8-B347-9BC50E042822}"/>
            </c:ext>
          </c:extLst>
        </c:ser>
        <c:ser>
          <c:idx val="5"/>
          <c:order val="5"/>
          <c:tx>
            <c:strRef>
              <c:f>'Pne_vs_Spp LOD IAC'!$G$3:$G$4</c:f>
              <c:strCache>
                <c:ptCount val="1"/>
                <c:pt idx="0">
                  <c:v>gDNA (1e0)</c:v>
                </c:pt>
              </c:strCache>
            </c:strRef>
          </c:tx>
          <c:spPr>
            <a:solidFill>
              <a:schemeClr val="accent6"/>
            </a:solidFill>
            <a:ln>
              <a:noFill/>
            </a:ln>
            <a:effectLst/>
          </c:spPr>
          <c:invertIfNegative val="0"/>
          <c:cat>
            <c:multiLvlStrRef>
              <c:f>'Pne_vs_Spp LOD IAC'!$A$5:$A$13</c:f>
              <c:multiLvlStrCache>
                <c:ptCount val="6"/>
                <c:lvl>
                  <c:pt idx="0">
                    <c:v>miniS</c:v>
                  </c:pt>
                  <c:pt idx="1">
                    <c:v>Q16</c:v>
                  </c:pt>
                  <c:pt idx="2">
                    <c:v>Q96</c:v>
                  </c:pt>
                  <c:pt idx="3">
                    <c:v>miniS</c:v>
                  </c:pt>
                  <c:pt idx="4">
                    <c:v>Q16</c:v>
                  </c:pt>
                  <c:pt idx="5">
                    <c:v>Q96</c:v>
                  </c:pt>
                </c:lvl>
                <c:lvl>
                  <c:pt idx="0">
                    <c:v>Leg pneumo</c:v>
                  </c:pt>
                  <c:pt idx="3">
                    <c:v>Leg spp</c:v>
                  </c:pt>
                </c:lvl>
              </c:multiLvlStrCache>
            </c:multiLvlStrRef>
          </c:cat>
          <c:val>
            <c:numRef>
              <c:f>'Pne_vs_Spp LOD IAC'!$G$5:$G$13</c:f>
              <c:numCache>
                <c:formatCode>General</c:formatCode>
                <c:ptCount val="6"/>
                <c:pt idx="0">
                  <c:v>30.9</c:v>
                </c:pt>
                <c:pt idx="1">
                  <c:v>33.119999999999997</c:v>
                </c:pt>
                <c:pt idx="2">
                  <c:v>31.42</c:v>
                </c:pt>
                <c:pt idx="3">
                  <c:v>37.590000000000003</c:v>
                </c:pt>
                <c:pt idx="5">
                  <c:v>37.04</c:v>
                </c:pt>
              </c:numCache>
            </c:numRef>
          </c:val>
          <c:extLst>
            <c:ext xmlns:c16="http://schemas.microsoft.com/office/drawing/2014/chart" uri="{C3380CC4-5D6E-409C-BE32-E72D297353CC}">
              <c16:uniqueId val="{00000005-5B62-42F8-B347-9BC50E042822}"/>
            </c:ext>
          </c:extLst>
        </c:ser>
        <c:dLbls>
          <c:showLegendKey val="0"/>
          <c:showVal val="0"/>
          <c:showCatName val="0"/>
          <c:showSerName val="0"/>
          <c:showPercent val="0"/>
          <c:showBubbleSize val="0"/>
        </c:dLbls>
        <c:gapWidth val="219"/>
        <c:overlap val="-27"/>
        <c:axId val="1553991264"/>
        <c:axId val="1553975040"/>
      </c:barChart>
      <c:catAx>
        <c:axId val="155399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75040"/>
        <c:crosses val="autoZero"/>
        <c:auto val="1"/>
        <c:lblAlgn val="ctr"/>
        <c:lblOffset val="100"/>
        <c:noMultiLvlLbl val="0"/>
      </c:catAx>
      <c:valAx>
        <c:axId val="1553975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9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LOQ for </a:t>
            </a:r>
            <a:r>
              <a:rPr lang="en-US" i="1"/>
              <a:t>Leg pneumophila</a:t>
            </a:r>
            <a:r>
              <a:rPr lang="en-US"/>
              <a:t> Lyophilized Assay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LOQ!$AF$106:$AF$112</c:f>
              <c:strCache>
                <c:ptCount val="7"/>
                <c:pt idx="0">
                  <c:v>Tube_2</c:v>
                </c:pt>
                <c:pt idx="1">
                  <c:v>Tube_3</c:v>
                </c:pt>
                <c:pt idx="2">
                  <c:v>Tube_4</c:v>
                </c:pt>
                <c:pt idx="3">
                  <c:v>Tube_5</c:v>
                </c:pt>
                <c:pt idx="4">
                  <c:v>Tube_6</c:v>
                </c:pt>
                <c:pt idx="5">
                  <c:v>Tube_7</c:v>
                </c:pt>
                <c:pt idx="6">
                  <c:v>Tube_8</c:v>
                </c:pt>
              </c:strCache>
            </c:strRef>
          </c:tx>
          <c:spPr>
            <a:ln w="19050" cap="rnd">
              <a:no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LOQ!$AD$106:$AD$112</c:f>
                <c:numCache>
                  <c:formatCode>General</c:formatCode>
                  <c:ptCount val="7"/>
                  <c:pt idx="0">
                    <c:v>2.2615849899277869</c:v>
                  </c:pt>
                  <c:pt idx="1">
                    <c:v>1.4024145844459348</c:v>
                  </c:pt>
                  <c:pt idx="2">
                    <c:v>2.4193869746969661</c:v>
                  </c:pt>
                  <c:pt idx="3">
                    <c:v>1.5762402524150076</c:v>
                  </c:pt>
                  <c:pt idx="4">
                    <c:v>2.5810075552000993</c:v>
                  </c:pt>
                  <c:pt idx="5">
                    <c:v>2.1960191255997734</c:v>
                  </c:pt>
                  <c:pt idx="6">
                    <c:v>1.1664761749245778</c:v>
                  </c:pt>
                </c:numCache>
              </c:numRef>
            </c:plus>
            <c:minus>
              <c:numRef>
                <c:f>LOQ!$AD$106:$AD$112</c:f>
                <c:numCache>
                  <c:formatCode>General</c:formatCode>
                  <c:ptCount val="7"/>
                  <c:pt idx="0">
                    <c:v>2.2615849899277869</c:v>
                  </c:pt>
                  <c:pt idx="1">
                    <c:v>1.4024145844459348</c:v>
                  </c:pt>
                  <c:pt idx="2">
                    <c:v>2.4193869746969661</c:v>
                  </c:pt>
                  <c:pt idx="3">
                    <c:v>1.5762402524150076</c:v>
                  </c:pt>
                  <c:pt idx="4">
                    <c:v>2.5810075552000993</c:v>
                  </c:pt>
                  <c:pt idx="5">
                    <c:v>2.1960191255997734</c:v>
                  </c:pt>
                  <c:pt idx="6">
                    <c:v>1.1664761749245778</c:v>
                  </c:pt>
                </c:numCache>
              </c:numRef>
            </c:minus>
            <c:spPr>
              <a:noFill/>
              <a:ln w="9525" cap="flat" cmpd="sng" algn="ctr">
                <a:solidFill>
                  <a:schemeClr val="tx1">
                    <a:lumMod val="65000"/>
                    <a:lumOff val="35000"/>
                  </a:schemeClr>
                </a:solidFill>
                <a:round/>
              </a:ln>
              <a:effectLst/>
            </c:spPr>
          </c:errBars>
          <c:xVal>
            <c:numRef>
              <c:f>LOQ!$W$106:$W$112</c:f>
              <c:numCache>
                <c:formatCode>General</c:formatCode>
                <c:ptCount val="7"/>
                <c:pt idx="0">
                  <c:v>9.0807707468407219</c:v>
                </c:pt>
                <c:pt idx="1">
                  <c:v>8.0807707468407219</c:v>
                </c:pt>
                <c:pt idx="2">
                  <c:v>7.0807707468407219</c:v>
                </c:pt>
                <c:pt idx="3">
                  <c:v>6.0807707468407219</c:v>
                </c:pt>
                <c:pt idx="4">
                  <c:v>5.0807707468407219</c:v>
                </c:pt>
                <c:pt idx="5">
                  <c:v>4.0807707468407219</c:v>
                </c:pt>
                <c:pt idx="6">
                  <c:v>3.0807707468407219</c:v>
                </c:pt>
              </c:numCache>
            </c:numRef>
          </c:xVal>
          <c:yVal>
            <c:numRef>
              <c:f>LOQ!$AB$106:$AB$112</c:f>
              <c:numCache>
                <c:formatCode>General</c:formatCode>
                <c:ptCount val="7"/>
                <c:pt idx="0">
                  <c:v>11.672500000000001</c:v>
                </c:pt>
                <c:pt idx="1">
                  <c:v>14.932499999999999</c:v>
                </c:pt>
                <c:pt idx="2">
                  <c:v>18.642500000000002</c:v>
                </c:pt>
                <c:pt idx="3">
                  <c:v>22.17</c:v>
                </c:pt>
                <c:pt idx="4">
                  <c:v>26.62</c:v>
                </c:pt>
                <c:pt idx="5">
                  <c:v>29.7425</c:v>
                </c:pt>
                <c:pt idx="6">
                  <c:v>34.105000000000004</c:v>
                </c:pt>
              </c:numCache>
            </c:numRef>
          </c:yVal>
          <c:smooth val="0"/>
          <c:extLst>
            <c:ext xmlns:c16="http://schemas.microsoft.com/office/drawing/2014/chart" uri="{C3380CC4-5D6E-409C-BE32-E72D297353CC}">
              <c16:uniqueId val="{00000001-105B-4C5E-9448-91619A604440}"/>
            </c:ext>
          </c:extLst>
        </c:ser>
        <c:ser>
          <c:idx val="1"/>
          <c:order val="1"/>
          <c:tx>
            <c:v>Tube_9</c:v>
          </c:tx>
          <c:spPr>
            <a:ln w="25400" cap="rnd">
              <a:noFill/>
              <a:round/>
            </a:ln>
            <a:effectLst/>
          </c:spPr>
          <c:marker>
            <c:symbol val="circle"/>
            <c:size val="5"/>
            <c:spPr>
              <a:solidFill>
                <a:schemeClr val="accent2"/>
              </a:solidFill>
              <a:ln w="9525">
                <a:solidFill>
                  <a:schemeClr val="accent2"/>
                </a:solidFill>
              </a:ln>
              <a:effectLst/>
            </c:spPr>
          </c:marker>
          <c:xVal>
            <c:numRef>
              <c:f>LOQ!$W$146</c:f>
              <c:numCache>
                <c:formatCode>General</c:formatCode>
                <c:ptCount val="1"/>
                <c:pt idx="0">
                  <c:v>2.0807707468407219</c:v>
                </c:pt>
              </c:numCache>
            </c:numRef>
          </c:xVal>
          <c:yVal>
            <c:numRef>
              <c:f>LOQ!$AB$146</c:f>
              <c:numCache>
                <c:formatCode>General</c:formatCode>
                <c:ptCount val="1"/>
                <c:pt idx="0">
                  <c:v>33.193333333333328</c:v>
                </c:pt>
              </c:numCache>
            </c:numRef>
          </c:yVal>
          <c:smooth val="0"/>
          <c:extLst>
            <c:ext xmlns:c16="http://schemas.microsoft.com/office/drawing/2014/chart" uri="{C3380CC4-5D6E-409C-BE32-E72D297353CC}">
              <c16:uniqueId val="{00000002-105B-4C5E-9448-91619A604440}"/>
            </c:ext>
          </c:extLst>
        </c:ser>
        <c:dLbls>
          <c:showLegendKey val="0"/>
          <c:showVal val="0"/>
          <c:showCatName val="0"/>
          <c:showSerName val="0"/>
          <c:showPercent val="0"/>
          <c:showBubbleSize val="0"/>
        </c:dLbls>
        <c:axId val="277047551"/>
        <c:axId val="277048383"/>
      </c:scatterChart>
      <c:valAx>
        <c:axId val="2770475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Log</a:t>
                </a:r>
                <a:r>
                  <a:rPr lang="en-US" baseline="0"/>
                  <a:t> (DNA Copies/RXN)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48383"/>
        <c:crosses val="autoZero"/>
        <c:crossBetween val="midCat"/>
      </c:valAx>
      <c:valAx>
        <c:axId val="277048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475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LOQ!$AB$139</c:f>
              <c:strCache>
                <c:ptCount val="1"/>
                <c:pt idx="0">
                  <c:v>avg</c:v>
                </c:pt>
              </c:strCache>
            </c:strRef>
          </c:tx>
          <c:spPr>
            <a:ln w="19050" cap="rnd">
              <a:noFill/>
              <a:round/>
            </a:ln>
            <a:effectLst/>
          </c:spPr>
          <c:marker>
            <c:symbol val="circle"/>
            <c:size val="5"/>
            <c:spPr>
              <a:solidFill>
                <a:schemeClr val="accent1"/>
              </a:solidFill>
              <a:ln w="9525">
                <a:solidFill>
                  <a:schemeClr val="accent1"/>
                </a:solidFill>
              </a:ln>
              <a:effectLst/>
            </c:spPr>
          </c:marker>
          <c:xVal>
            <c:numRef>
              <c:f>LOQ!$W$140:$W$146</c:f>
              <c:numCache>
                <c:formatCode>General</c:formatCode>
                <c:ptCount val="7"/>
                <c:pt idx="0">
                  <c:v>8.0807707468407219</c:v>
                </c:pt>
                <c:pt idx="1">
                  <c:v>7.0807707468407219</c:v>
                </c:pt>
                <c:pt idx="2">
                  <c:v>6.0807707468407219</c:v>
                </c:pt>
                <c:pt idx="3">
                  <c:v>5.0807707468407219</c:v>
                </c:pt>
                <c:pt idx="4">
                  <c:v>4.0807707468407219</c:v>
                </c:pt>
                <c:pt idx="5">
                  <c:v>3.0807707468407219</c:v>
                </c:pt>
                <c:pt idx="6">
                  <c:v>2.0807707468407219</c:v>
                </c:pt>
              </c:numCache>
            </c:numRef>
          </c:xVal>
          <c:yVal>
            <c:numRef>
              <c:f>LOQ!$AB$140:$AB$146</c:f>
              <c:numCache>
                <c:formatCode>General</c:formatCode>
                <c:ptCount val="7"/>
                <c:pt idx="0">
                  <c:v>16.456666666666667</c:v>
                </c:pt>
                <c:pt idx="1">
                  <c:v>18.330000000000002</c:v>
                </c:pt>
                <c:pt idx="2">
                  <c:v>21.5</c:v>
                </c:pt>
                <c:pt idx="3">
                  <c:v>24.556666666666668</c:v>
                </c:pt>
                <c:pt idx="4">
                  <c:v>28.643333333333331</c:v>
                </c:pt>
                <c:pt idx="5">
                  <c:v>31.656666666666666</c:v>
                </c:pt>
                <c:pt idx="6">
                  <c:v>33.193333333333328</c:v>
                </c:pt>
              </c:numCache>
            </c:numRef>
          </c:yVal>
          <c:smooth val="0"/>
          <c:extLst>
            <c:ext xmlns:c16="http://schemas.microsoft.com/office/drawing/2014/chart" uri="{C3380CC4-5D6E-409C-BE32-E72D297353CC}">
              <c16:uniqueId val="{00000000-0A81-4F98-9B28-D5387FDDCFCE}"/>
            </c:ext>
          </c:extLst>
        </c:ser>
        <c:dLbls>
          <c:showLegendKey val="0"/>
          <c:showVal val="0"/>
          <c:showCatName val="0"/>
          <c:showSerName val="0"/>
          <c:showPercent val="0"/>
          <c:showBubbleSize val="0"/>
        </c:dLbls>
        <c:axId val="280662127"/>
        <c:axId val="280661711"/>
      </c:scatterChart>
      <c:valAx>
        <c:axId val="280662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661711"/>
        <c:crosses val="autoZero"/>
        <c:crossBetween val="midCat"/>
      </c:valAx>
      <c:valAx>
        <c:axId val="280661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662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LOQ!$W$84:$W$89</c:f>
              <c:numCache>
                <c:formatCode>General</c:formatCode>
                <c:ptCount val="6"/>
                <c:pt idx="0">
                  <c:v>9.0807707468407219</c:v>
                </c:pt>
                <c:pt idx="1">
                  <c:v>8.0807707468407219</c:v>
                </c:pt>
                <c:pt idx="2">
                  <c:v>7.0807707468407219</c:v>
                </c:pt>
                <c:pt idx="3">
                  <c:v>6.0807707468407219</c:v>
                </c:pt>
                <c:pt idx="4">
                  <c:v>5.0807707468407219</c:v>
                </c:pt>
                <c:pt idx="5">
                  <c:v>4.0807707468407219</c:v>
                </c:pt>
              </c:numCache>
            </c:numRef>
          </c:xVal>
          <c:yVal>
            <c:numRef>
              <c:f>LOQ!$AB$84:$AB$89</c:f>
              <c:numCache>
                <c:formatCode>General</c:formatCode>
                <c:ptCount val="6"/>
                <c:pt idx="0">
                  <c:v>9.1933333333333334</c:v>
                </c:pt>
                <c:pt idx="1">
                  <c:v>13.386666666666668</c:v>
                </c:pt>
                <c:pt idx="2">
                  <c:v>17.203333333333333</c:v>
                </c:pt>
                <c:pt idx="3">
                  <c:v>21.023333333333333</c:v>
                </c:pt>
                <c:pt idx="4">
                  <c:v>24.24</c:v>
                </c:pt>
                <c:pt idx="5">
                  <c:v>28.86</c:v>
                </c:pt>
              </c:numCache>
            </c:numRef>
          </c:yVal>
          <c:smooth val="0"/>
          <c:extLst>
            <c:ext xmlns:c16="http://schemas.microsoft.com/office/drawing/2014/chart" uri="{C3380CC4-5D6E-409C-BE32-E72D297353CC}">
              <c16:uniqueId val="{00000000-CC50-4E32-B999-2706A2C5BA68}"/>
            </c:ext>
          </c:extLst>
        </c:ser>
        <c:dLbls>
          <c:showLegendKey val="0"/>
          <c:showVal val="0"/>
          <c:showCatName val="0"/>
          <c:showSerName val="0"/>
          <c:showPercent val="0"/>
          <c:showBubbleSize val="0"/>
        </c:dLbls>
        <c:axId val="277052959"/>
        <c:axId val="277041311"/>
      </c:scatterChart>
      <c:valAx>
        <c:axId val="277052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41311"/>
        <c:crosses val="autoZero"/>
        <c:crossBetween val="midCat"/>
      </c:valAx>
      <c:valAx>
        <c:axId val="277041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529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[Exp800.10 Optimal Conc of IAC in Leg pneumo assay.xlsx]variability_Q16!PivotTable5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Comparing LODs in Lyophilized </a:t>
            </a:r>
            <a:r>
              <a:rPr lang="en-US" baseline="0"/>
              <a:t>"Leg spp" qPCR Assays Using a Genomic DNA Sample with Three Thermal Cyclers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variability_Q16!$B$3:$B$4</c:f>
              <c:strCache>
                <c:ptCount val="1"/>
                <c:pt idx="0">
                  <c:v>gDNA (1e5)</c:v>
                </c:pt>
              </c:strCache>
            </c:strRef>
          </c:tx>
          <c:spPr>
            <a:solidFill>
              <a:schemeClr val="accent1"/>
            </a:solidFill>
            <a:ln>
              <a:noFill/>
            </a:ln>
            <a:effectLst/>
          </c:spPr>
          <c:invertIfNegative val="0"/>
          <c:cat>
            <c:multiLvlStrRef>
              <c:f>variability_Q16!$A$5:$A$9</c:f>
              <c:multiLvlStrCache>
                <c:ptCount val="3"/>
                <c:lvl>
                  <c:pt idx="0">
                    <c:v>miniS</c:v>
                  </c:pt>
                  <c:pt idx="1">
                    <c:v>Q16</c:v>
                  </c:pt>
                  <c:pt idx="2">
                    <c:v>Q96</c:v>
                  </c:pt>
                </c:lvl>
                <c:lvl>
                  <c:pt idx="0">
                    <c:v>Leg spp</c:v>
                  </c:pt>
                </c:lvl>
              </c:multiLvlStrCache>
            </c:multiLvlStrRef>
          </c:cat>
          <c:val>
            <c:numRef>
              <c:f>variability_Q16!$B$5:$B$9</c:f>
              <c:numCache>
                <c:formatCode>General</c:formatCode>
                <c:ptCount val="3"/>
                <c:pt idx="0">
                  <c:v>35.799999999999997</c:v>
                </c:pt>
                <c:pt idx="2">
                  <c:v>39.82</c:v>
                </c:pt>
              </c:numCache>
            </c:numRef>
          </c:val>
          <c:extLst>
            <c:ext xmlns:c16="http://schemas.microsoft.com/office/drawing/2014/chart" uri="{C3380CC4-5D6E-409C-BE32-E72D297353CC}">
              <c16:uniqueId val="{00000000-5617-43BC-B5C8-C364DD315234}"/>
            </c:ext>
          </c:extLst>
        </c:ser>
        <c:ser>
          <c:idx val="1"/>
          <c:order val="1"/>
          <c:tx>
            <c:strRef>
              <c:f>variability_Q16!$C$3:$C$4</c:f>
              <c:strCache>
                <c:ptCount val="1"/>
                <c:pt idx="0">
                  <c:v>gDNA (1e4)</c:v>
                </c:pt>
              </c:strCache>
            </c:strRef>
          </c:tx>
          <c:spPr>
            <a:solidFill>
              <a:schemeClr val="accent2"/>
            </a:solidFill>
            <a:ln>
              <a:noFill/>
            </a:ln>
            <a:effectLst/>
          </c:spPr>
          <c:invertIfNegative val="0"/>
          <c:cat>
            <c:multiLvlStrRef>
              <c:f>variability_Q16!$A$5:$A$9</c:f>
              <c:multiLvlStrCache>
                <c:ptCount val="3"/>
                <c:lvl>
                  <c:pt idx="0">
                    <c:v>miniS</c:v>
                  </c:pt>
                  <c:pt idx="1">
                    <c:v>Q16</c:v>
                  </c:pt>
                  <c:pt idx="2">
                    <c:v>Q96</c:v>
                  </c:pt>
                </c:lvl>
                <c:lvl>
                  <c:pt idx="0">
                    <c:v>Leg spp</c:v>
                  </c:pt>
                </c:lvl>
              </c:multiLvlStrCache>
            </c:multiLvlStrRef>
          </c:cat>
          <c:val>
            <c:numRef>
              <c:f>variability_Q16!$C$5:$C$9</c:f>
              <c:numCache>
                <c:formatCode>General</c:formatCode>
                <c:ptCount val="3"/>
                <c:pt idx="0">
                  <c:v>37.340000000000003</c:v>
                </c:pt>
                <c:pt idx="1">
                  <c:v>34.909999999999997</c:v>
                </c:pt>
                <c:pt idx="2">
                  <c:v>37.5</c:v>
                </c:pt>
              </c:numCache>
            </c:numRef>
          </c:val>
          <c:extLst>
            <c:ext xmlns:c16="http://schemas.microsoft.com/office/drawing/2014/chart" uri="{C3380CC4-5D6E-409C-BE32-E72D297353CC}">
              <c16:uniqueId val="{00000001-5617-43BC-B5C8-C364DD315234}"/>
            </c:ext>
          </c:extLst>
        </c:ser>
        <c:ser>
          <c:idx val="2"/>
          <c:order val="2"/>
          <c:tx>
            <c:strRef>
              <c:f>variability_Q16!$D$3:$D$4</c:f>
              <c:strCache>
                <c:ptCount val="1"/>
                <c:pt idx="0">
                  <c:v>gDNA (1e3)</c:v>
                </c:pt>
              </c:strCache>
            </c:strRef>
          </c:tx>
          <c:spPr>
            <a:solidFill>
              <a:schemeClr val="accent3"/>
            </a:solidFill>
            <a:ln>
              <a:noFill/>
            </a:ln>
            <a:effectLst/>
          </c:spPr>
          <c:invertIfNegative val="0"/>
          <c:cat>
            <c:multiLvlStrRef>
              <c:f>variability_Q16!$A$5:$A$9</c:f>
              <c:multiLvlStrCache>
                <c:ptCount val="3"/>
                <c:lvl>
                  <c:pt idx="0">
                    <c:v>miniS</c:v>
                  </c:pt>
                  <c:pt idx="1">
                    <c:v>Q16</c:v>
                  </c:pt>
                  <c:pt idx="2">
                    <c:v>Q96</c:v>
                  </c:pt>
                </c:lvl>
                <c:lvl>
                  <c:pt idx="0">
                    <c:v>Leg spp</c:v>
                  </c:pt>
                </c:lvl>
              </c:multiLvlStrCache>
            </c:multiLvlStrRef>
          </c:cat>
          <c:val>
            <c:numRef>
              <c:f>variability_Q16!$D$5:$D$9</c:f>
              <c:numCache>
                <c:formatCode>General</c:formatCode>
                <c:ptCount val="3"/>
                <c:pt idx="0">
                  <c:v>36.549999999999997</c:v>
                </c:pt>
                <c:pt idx="1">
                  <c:v>34.590000000000003</c:v>
                </c:pt>
                <c:pt idx="2">
                  <c:v>36.700000000000003</c:v>
                </c:pt>
              </c:numCache>
            </c:numRef>
          </c:val>
          <c:extLst>
            <c:ext xmlns:c16="http://schemas.microsoft.com/office/drawing/2014/chart" uri="{C3380CC4-5D6E-409C-BE32-E72D297353CC}">
              <c16:uniqueId val="{00000002-5617-43BC-B5C8-C364DD315234}"/>
            </c:ext>
          </c:extLst>
        </c:ser>
        <c:ser>
          <c:idx val="3"/>
          <c:order val="3"/>
          <c:tx>
            <c:strRef>
              <c:f>variability_Q16!$E$3:$E$4</c:f>
              <c:strCache>
                <c:ptCount val="1"/>
                <c:pt idx="0">
                  <c:v>gDNA (1e2)</c:v>
                </c:pt>
              </c:strCache>
            </c:strRef>
          </c:tx>
          <c:spPr>
            <a:solidFill>
              <a:schemeClr val="accent4"/>
            </a:solidFill>
            <a:ln>
              <a:noFill/>
            </a:ln>
            <a:effectLst/>
          </c:spPr>
          <c:invertIfNegative val="0"/>
          <c:cat>
            <c:multiLvlStrRef>
              <c:f>variability_Q16!$A$5:$A$9</c:f>
              <c:multiLvlStrCache>
                <c:ptCount val="3"/>
                <c:lvl>
                  <c:pt idx="0">
                    <c:v>miniS</c:v>
                  </c:pt>
                  <c:pt idx="1">
                    <c:v>Q16</c:v>
                  </c:pt>
                  <c:pt idx="2">
                    <c:v>Q96</c:v>
                  </c:pt>
                </c:lvl>
                <c:lvl>
                  <c:pt idx="0">
                    <c:v>Leg spp</c:v>
                  </c:pt>
                </c:lvl>
              </c:multiLvlStrCache>
            </c:multiLvlStrRef>
          </c:cat>
          <c:val>
            <c:numRef>
              <c:f>variability_Q16!$E$5:$E$9</c:f>
              <c:numCache>
                <c:formatCode>General</c:formatCode>
                <c:ptCount val="3"/>
                <c:pt idx="0">
                  <c:v>35.700000000000003</c:v>
                </c:pt>
                <c:pt idx="2">
                  <c:v>38.42</c:v>
                </c:pt>
              </c:numCache>
            </c:numRef>
          </c:val>
          <c:extLst>
            <c:ext xmlns:c16="http://schemas.microsoft.com/office/drawing/2014/chart" uri="{C3380CC4-5D6E-409C-BE32-E72D297353CC}">
              <c16:uniqueId val="{00000003-5617-43BC-B5C8-C364DD315234}"/>
            </c:ext>
          </c:extLst>
        </c:ser>
        <c:ser>
          <c:idx val="4"/>
          <c:order val="4"/>
          <c:tx>
            <c:strRef>
              <c:f>variability_Q16!$F$3:$F$4</c:f>
              <c:strCache>
                <c:ptCount val="1"/>
                <c:pt idx="0">
                  <c:v>gDNA (1e1)</c:v>
                </c:pt>
              </c:strCache>
            </c:strRef>
          </c:tx>
          <c:spPr>
            <a:solidFill>
              <a:schemeClr val="accent5"/>
            </a:solidFill>
            <a:ln>
              <a:noFill/>
            </a:ln>
            <a:effectLst/>
          </c:spPr>
          <c:invertIfNegative val="0"/>
          <c:cat>
            <c:multiLvlStrRef>
              <c:f>variability_Q16!$A$5:$A$9</c:f>
              <c:multiLvlStrCache>
                <c:ptCount val="3"/>
                <c:lvl>
                  <c:pt idx="0">
                    <c:v>miniS</c:v>
                  </c:pt>
                  <c:pt idx="1">
                    <c:v>Q16</c:v>
                  </c:pt>
                  <c:pt idx="2">
                    <c:v>Q96</c:v>
                  </c:pt>
                </c:lvl>
                <c:lvl>
                  <c:pt idx="0">
                    <c:v>Leg spp</c:v>
                  </c:pt>
                </c:lvl>
              </c:multiLvlStrCache>
            </c:multiLvlStrRef>
          </c:cat>
          <c:val>
            <c:numRef>
              <c:f>variability_Q16!$F$5:$F$9</c:f>
              <c:numCache>
                <c:formatCode>General</c:formatCode>
                <c:ptCount val="3"/>
                <c:pt idx="0">
                  <c:v>36.78</c:v>
                </c:pt>
                <c:pt idx="2">
                  <c:v>38.229999999999997</c:v>
                </c:pt>
              </c:numCache>
            </c:numRef>
          </c:val>
          <c:extLst>
            <c:ext xmlns:c16="http://schemas.microsoft.com/office/drawing/2014/chart" uri="{C3380CC4-5D6E-409C-BE32-E72D297353CC}">
              <c16:uniqueId val="{00000004-5617-43BC-B5C8-C364DD315234}"/>
            </c:ext>
          </c:extLst>
        </c:ser>
        <c:ser>
          <c:idx val="5"/>
          <c:order val="5"/>
          <c:tx>
            <c:strRef>
              <c:f>variability_Q16!$G$3:$G$4</c:f>
              <c:strCache>
                <c:ptCount val="1"/>
                <c:pt idx="0">
                  <c:v>gDNA (1e0)</c:v>
                </c:pt>
              </c:strCache>
            </c:strRef>
          </c:tx>
          <c:spPr>
            <a:solidFill>
              <a:schemeClr val="accent6"/>
            </a:solidFill>
            <a:ln>
              <a:noFill/>
            </a:ln>
            <a:effectLst/>
          </c:spPr>
          <c:invertIfNegative val="0"/>
          <c:cat>
            <c:multiLvlStrRef>
              <c:f>variability_Q16!$A$5:$A$9</c:f>
              <c:multiLvlStrCache>
                <c:ptCount val="3"/>
                <c:lvl>
                  <c:pt idx="0">
                    <c:v>miniS</c:v>
                  </c:pt>
                  <c:pt idx="1">
                    <c:v>Q16</c:v>
                  </c:pt>
                  <c:pt idx="2">
                    <c:v>Q96</c:v>
                  </c:pt>
                </c:lvl>
                <c:lvl>
                  <c:pt idx="0">
                    <c:v>Leg spp</c:v>
                  </c:pt>
                </c:lvl>
              </c:multiLvlStrCache>
            </c:multiLvlStrRef>
          </c:cat>
          <c:val>
            <c:numRef>
              <c:f>variability_Q16!$G$5:$G$9</c:f>
              <c:numCache>
                <c:formatCode>General</c:formatCode>
                <c:ptCount val="3"/>
                <c:pt idx="0">
                  <c:v>37.590000000000003</c:v>
                </c:pt>
                <c:pt idx="2">
                  <c:v>37.04</c:v>
                </c:pt>
              </c:numCache>
            </c:numRef>
          </c:val>
          <c:extLst>
            <c:ext xmlns:c16="http://schemas.microsoft.com/office/drawing/2014/chart" uri="{C3380CC4-5D6E-409C-BE32-E72D297353CC}">
              <c16:uniqueId val="{00000005-5617-43BC-B5C8-C364DD315234}"/>
            </c:ext>
          </c:extLst>
        </c:ser>
        <c:dLbls>
          <c:showLegendKey val="0"/>
          <c:showVal val="0"/>
          <c:showCatName val="0"/>
          <c:showSerName val="0"/>
          <c:showPercent val="0"/>
          <c:showBubbleSize val="0"/>
        </c:dLbls>
        <c:gapWidth val="219"/>
        <c:overlap val="-27"/>
        <c:axId val="1553991264"/>
        <c:axId val="1553975040"/>
      </c:barChart>
      <c:catAx>
        <c:axId val="155399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75040"/>
        <c:crosses val="autoZero"/>
        <c:auto val="1"/>
        <c:lblAlgn val="ctr"/>
        <c:lblOffset val="100"/>
        <c:noMultiLvlLbl val="0"/>
      </c:catAx>
      <c:valAx>
        <c:axId val="1553975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9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Reproducibility of LOD</a:t>
            </a:r>
            <a:r>
              <a:rPr lang="en-US" baseline="0"/>
              <a:t> Calculations for </a:t>
            </a:r>
            <a:r>
              <a:rPr lang="en-US" i="1" baseline="0"/>
              <a:t>Legionella pneumophila</a:t>
            </a:r>
            <a:r>
              <a:rPr lang="en-US" baseline="0"/>
              <a:t> in Lyophilized Assays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LOD_sort!$C$2</c:f>
              <c:strCache>
                <c:ptCount val="1"/>
                <c:pt idx="0">
                  <c:v>1st LOD</c:v>
                </c:pt>
              </c:strCache>
            </c:strRef>
          </c:tx>
          <c:spPr>
            <a:solidFill>
              <a:schemeClr val="accent1"/>
            </a:solidFill>
            <a:ln>
              <a:noFill/>
            </a:ln>
            <a:effectLst/>
          </c:spPr>
          <c:invertIfNegative val="0"/>
          <c:cat>
            <c:strRef>
              <c:f>LOD_sort!$B$3:$B$5</c:f>
              <c:strCache>
                <c:ptCount val="3"/>
                <c:pt idx="0">
                  <c:v>LOD_High</c:v>
                </c:pt>
                <c:pt idx="1">
                  <c:v>LOD</c:v>
                </c:pt>
                <c:pt idx="2">
                  <c:v>LOD_low</c:v>
                </c:pt>
              </c:strCache>
            </c:strRef>
          </c:cat>
          <c:val>
            <c:numRef>
              <c:f>LOD_sort!$C$3:$C$5</c:f>
              <c:numCache>
                <c:formatCode>0</c:formatCode>
                <c:ptCount val="3"/>
                <c:pt idx="0">
                  <c:v>590.86837628877538</c:v>
                </c:pt>
                <c:pt idx="1">
                  <c:v>187.49977324313318</c:v>
                </c:pt>
                <c:pt idx="2">
                  <c:v>35.177967783934861</c:v>
                </c:pt>
              </c:numCache>
            </c:numRef>
          </c:val>
          <c:extLst>
            <c:ext xmlns:c16="http://schemas.microsoft.com/office/drawing/2014/chart" uri="{C3380CC4-5D6E-409C-BE32-E72D297353CC}">
              <c16:uniqueId val="{00000000-B911-4A42-8804-CA61DF22C6D0}"/>
            </c:ext>
          </c:extLst>
        </c:ser>
        <c:ser>
          <c:idx val="1"/>
          <c:order val="1"/>
          <c:tx>
            <c:strRef>
              <c:f>LOD_sort!$D$2</c:f>
              <c:strCache>
                <c:ptCount val="1"/>
                <c:pt idx="0">
                  <c:v>2nd LOD</c:v>
                </c:pt>
              </c:strCache>
            </c:strRef>
          </c:tx>
          <c:spPr>
            <a:solidFill>
              <a:schemeClr val="accent2"/>
            </a:solidFill>
            <a:ln>
              <a:noFill/>
            </a:ln>
            <a:effectLst/>
          </c:spPr>
          <c:invertIfNegative val="0"/>
          <c:cat>
            <c:strRef>
              <c:f>LOD_sort!$B$3:$B$5</c:f>
              <c:strCache>
                <c:ptCount val="3"/>
                <c:pt idx="0">
                  <c:v>LOD_High</c:v>
                </c:pt>
                <c:pt idx="1">
                  <c:v>LOD</c:v>
                </c:pt>
                <c:pt idx="2">
                  <c:v>LOD_low</c:v>
                </c:pt>
              </c:strCache>
            </c:strRef>
          </c:cat>
          <c:val>
            <c:numRef>
              <c:f>LOD_sort!$D$3:$D$5</c:f>
              <c:numCache>
                <c:formatCode>0</c:formatCode>
                <c:ptCount val="3"/>
                <c:pt idx="0">
                  <c:v>868.70185089401889</c:v>
                </c:pt>
                <c:pt idx="1">
                  <c:v>206.619233852402</c:v>
                </c:pt>
                <c:pt idx="2">
                  <c:v>49.954054904611709</c:v>
                </c:pt>
              </c:numCache>
            </c:numRef>
          </c:val>
          <c:extLst>
            <c:ext xmlns:c16="http://schemas.microsoft.com/office/drawing/2014/chart" uri="{C3380CC4-5D6E-409C-BE32-E72D297353CC}">
              <c16:uniqueId val="{00000001-B911-4A42-8804-CA61DF22C6D0}"/>
            </c:ext>
          </c:extLst>
        </c:ser>
        <c:ser>
          <c:idx val="2"/>
          <c:order val="2"/>
          <c:tx>
            <c:strRef>
              <c:f>LOD_sort!$E$2</c:f>
              <c:strCache>
                <c:ptCount val="1"/>
                <c:pt idx="0">
                  <c:v>3rd LOD</c:v>
                </c:pt>
              </c:strCache>
            </c:strRef>
          </c:tx>
          <c:spPr>
            <a:solidFill>
              <a:schemeClr val="accent3"/>
            </a:solidFill>
            <a:ln>
              <a:noFill/>
            </a:ln>
            <a:effectLst/>
          </c:spPr>
          <c:invertIfNegative val="0"/>
          <c:cat>
            <c:strRef>
              <c:f>LOD_sort!$B$3:$B$5</c:f>
              <c:strCache>
                <c:ptCount val="3"/>
                <c:pt idx="0">
                  <c:v>LOD_High</c:v>
                </c:pt>
                <c:pt idx="1">
                  <c:v>LOD</c:v>
                </c:pt>
                <c:pt idx="2">
                  <c:v>LOD_low</c:v>
                </c:pt>
              </c:strCache>
            </c:strRef>
          </c:cat>
          <c:val>
            <c:numRef>
              <c:f>LOD_sort!$E$3:$E$5</c:f>
              <c:numCache>
                <c:formatCode>0</c:formatCode>
                <c:ptCount val="3"/>
                <c:pt idx="0">
                  <c:v>667.90952005199097</c:v>
                </c:pt>
                <c:pt idx="1">
                  <c:v>174.65086737866201</c:v>
                </c:pt>
                <c:pt idx="2">
                  <c:v>35.599885790665255</c:v>
                </c:pt>
              </c:numCache>
            </c:numRef>
          </c:val>
          <c:extLst>
            <c:ext xmlns:c16="http://schemas.microsoft.com/office/drawing/2014/chart" uri="{C3380CC4-5D6E-409C-BE32-E72D297353CC}">
              <c16:uniqueId val="{00000002-B911-4A42-8804-CA61DF22C6D0}"/>
            </c:ext>
          </c:extLst>
        </c:ser>
        <c:dLbls>
          <c:showLegendKey val="0"/>
          <c:showVal val="0"/>
          <c:showCatName val="0"/>
          <c:showSerName val="0"/>
          <c:showPercent val="0"/>
          <c:showBubbleSize val="0"/>
        </c:dLbls>
        <c:gapWidth val="219"/>
        <c:overlap val="-27"/>
        <c:axId val="616454080"/>
        <c:axId val="616447008"/>
      </c:barChart>
      <c:catAx>
        <c:axId val="61645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47008"/>
        <c:crosses val="autoZero"/>
        <c:auto val="1"/>
        <c:lblAlgn val="ctr"/>
        <c:lblOffset val="100"/>
        <c:noMultiLvlLbl val="0"/>
      </c:catAx>
      <c:valAx>
        <c:axId val="616447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54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horizontalDpi="300" verticalDpi="30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9.png"/><Relationship Id="rId4"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chart" Target="../charts/chart9.xml"/><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jpeg"/><Relationship Id="rId1" Type="http://schemas.openxmlformats.org/officeDocument/2006/relationships/chart" Target="../charts/chart14.xml"/><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chart" Target="../charts/chart15.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16.xml"/></Relationships>
</file>

<file path=xl/drawings/_rels/drawing19.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chart" Target="../charts/chart17.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chart" Target="../charts/chart18.xml"/></Relationships>
</file>

<file path=xl/drawings/_rels/drawing21.xml.rels><?xml version="1.0" encoding="UTF-8" standalone="yes"?>
<Relationships xmlns="http://schemas.openxmlformats.org/package/2006/relationships"><Relationship Id="rId1" Type="http://schemas.openxmlformats.org/officeDocument/2006/relationships/image" Target="../media/image7.jpeg"/></Relationships>
</file>

<file path=xl/drawings/_rels/drawing2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image" Target="../media/image23.png"/><Relationship Id="rId5" Type="http://schemas.openxmlformats.org/officeDocument/2006/relationships/chart" Target="../charts/chart23.xml"/><Relationship Id="rId4"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24.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9.png"/><Relationship Id="rId7" Type="http://schemas.openxmlformats.org/officeDocument/2006/relationships/chart" Target="../charts/chart35.xml"/><Relationship Id="rId2" Type="http://schemas.openxmlformats.org/officeDocument/2006/relationships/image" Target="../media/image28.png"/><Relationship Id="rId1" Type="http://schemas.openxmlformats.org/officeDocument/2006/relationships/chart" Target="../charts/chart34.xml"/><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chart" Target="../charts/chart36.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33.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5.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9" Type="http://schemas.openxmlformats.org/officeDocument/2006/relationships/image" Target="../media/image44.png"/></Relationships>
</file>

<file path=xl/drawings/_rels/drawing3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37.xml.rels><?xml version="1.0" encoding="UTF-8" standalone="yes"?>
<Relationships xmlns="http://schemas.openxmlformats.org/package/2006/relationships"><Relationship Id="rId2" Type="http://schemas.openxmlformats.org/officeDocument/2006/relationships/image" Target="../media/image50.emf"/><Relationship Id="rId1" Type="http://schemas.openxmlformats.org/officeDocument/2006/relationships/image" Target="../media/image49.png"/></Relationships>
</file>

<file path=xl/drawings/_rels/drawing38.xml.rels><?xml version="1.0" encoding="UTF-8" standalone="yes"?>
<Relationships xmlns="http://schemas.openxmlformats.org/package/2006/relationships"><Relationship Id="rId1" Type="http://schemas.openxmlformats.org/officeDocument/2006/relationships/chart" Target="../charts/chart45.xml"/></Relationships>
</file>

<file path=xl/drawings/_rels/vmlDrawing15.vml.rels><?xml version="1.0" encoding="UTF-8" standalone="yes"?>
<Relationships xmlns="http://schemas.openxmlformats.org/package/2006/relationships"><Relationship Id="rId2" Type="http://schemas.openxmlformats.org/officeDocument/2006/relationships/image" Target="../media/image35.emf"/><Relationship Id="rId1" Type="http://schemas.openxmlformats.org/officeDocument/2006/relationships/image" Target="../media/image34.emf"/></Relationships>
</file>

<file path=xl/drawings/drawing1.xml><?xml version="1.0" encoding="utf-8"?>
<xdr:wsDr xmlns:xdr="http://schemas.openxmlformats.org/drawingml/2006/spreadsheetDrawing" xmlns:a="http://schemas.openxmlformats.org/drawingml/2006/main">
  <xdr:twoCellAnchor editAs="oneCell">
    <xdr:from>
      <xdr:col>11</xdr:col>
      <xdr:colOff>590550</xdr:colOff>
      <xdr:row>25</xdr:row>
      <xdr:rowOff>0</xdr:rowOff>
    </xdr:from>
    <xdr:to>
      <xdr:col>18</xdr:col>
      <xdr:colOff>476463</xdr:colOff>
      <xdr:row>40</xdr:row>
      <xdr:rowOff>147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7296150" y="5143500"/>
          <a:ext cx="4153113" cy="2851297"/>
        </a:xfrm>
        <a:prstGeom prst="rect">
          <a:avLst/>
        </a:prstGeom>
      </xdr:spPr>
    </xdr:pic>
    <xdr:clientData/>
  </xdr:twoCellAnchor>
  <xdr:twoCellAnchor editAs="oneCell">
    <xdr:from>
      <xdr:col>1</xdr:col>
      <xdr:colOff>571500</xdr:colOff>
      <xdr:row>67</xdr:row>
      <xdr:rowOff>19049</xdr:rowOff>
    </xdr:from>
    <xdr:to>
      <xdr:col>7</xdr:col>
      <xdr:colOff>737</xdr:colOff>
      <xdr:row>90</xdr:row>
      <xdr:rowOff>20050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181100" y="13411199"/>
          <a:ext cx="3084629" cy="4382501"/>
        </a:xfrm>
        <a:prstGeom prst="rect">
          <a:avLst/>
        </a:prstGeom>
      </xdr:spPr>
    </xdr:pic>
    <xdr:clientData/>
  </xdr:twoCellAnchor>
  <xdr:twoCellAnchor editAs="oneCell">
    <xdr:from>
      <xdr:col>8</xdr:col>
      <xdr:colOff>411646</xdr:colOff>
      <xdr:row>136</xdr:row>
      <xdr:rowOff>166895</xdr:rowOff>
    </xdr:from>
    <xdr:to>
      <xdr:col>19</xdr:col>
      <xdr:colOff>582583</xdr:colOff>
      <xdr:row>156</xdr:row>
      <xdr:rowOff>151945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5422624" y="26712656"/>
          <a:ext cx="6912981" cy="3795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371475</xdr:colOff>
      <xdr:row>41</xdr:row>
      <xdr:rowOff>38100</xdr:rowOff>
    </xdr:from>
    <xdr:to>
      <xdr:col>25</xdr:col>
      <xdr:colOff>277148</xdr:colOff>
      <xdr:row>62</xdr:row>
      <xdr:rowOff>162579</xdr:rowOff>
    </xdr:to>
    <xdr:pic>
      <xdr:nvPicPr>
        <xdr:cNvPr id="2" name="Picture 1">
          <a:extLst>
            <a:ext uri="{FF2B5EF4-FFF2-40B4-BE49-F238E27FC236}">
              <a16:creationId xmlns:a16="http://schemas.microsoft.com/office/drawing/2014/main" id="{23C1E728-B046-4619-961C-282D6565CFE8}"/>
            </a:ext>
          </a:extLst>
        </xdr:cNvPr>
        <xdr:cNvPicPr>
          <a:picLocks noChangeAspect="1"/>
        </xdr:cNvPicPr>
      </xdr:nvPicPr>
      <xdr:blipFill>
        <a:blip xmlns:r="http://schemas.openxmlformats.org/officeDocument/2006/relationships" r:embed="rId1"/>
        <a:stretch>
          <a:fillRect/>
        </a:stretch>
      </xdr:blipFill>
      <xdr:spPr>
        <a:xfrm>
          <a:off x="10677525" y="7934325"/>
          <a:ext cx="6611273" cy="4686954"/>
        </a:xfrm>
        <a:prstGeom prst="rect">
          <a:avLst/>
        </a:prstGeom>
      </xdr:spPr>
    </xdr:pic>
    <xdr:clientData/>
  </xdr:twoCellAnchor>
  <xdr:twoCellAnchor editAs="oneCell">
    <xdr:from>
      <xdr:col>13</xdr:col>
      <xdr:colOff>485775</xdr:colOff>
      <xdr:row>51</xdr:row>
      <xdr:rowOff>47625</xdr:rowOff>
    </xdr:from>
    <xdr:to>
      <xdr:col>24</xdr:col>
      <xdr:colOff>534343</xdr:colOff>
      <xdr:row>71</xdr:row>
      <xdr:rowOff>76798</xdr:rowOff>
    </xdr:to>
    <xdr:pic>
      <xdr:nvPicPr>
        <xdr:cNvPr id="3" name="Picture 2">
          <a:extLst>
            <a:ext uri="{FF2B5EF4-FFF2-40B4-BE49-F238E27FC236}">
              <a16:creationId xmlns:a16="http://schemas.microsoft.com/office/drawing/2014/main" id="{4AC4C159-23FC-441C-836A-EF2C22AD4AF7}"/>
            </a:ext>
          </a:extLst>
        </xdr:cNvPr>
        <xdr:cNvPicPr>
          <a:picLocks noChangeAspect="1"/>
        </xdr:cNvPicPr>
      </xdr:nvPicPr>
      <xdr:blipFill>
        <a:blip xmlns:r="http://schemas.openxmlformats.org/officeDocument/2006/relationships" r:embed="rId2"/>
        <a:stretch>
          <a:fillRect/>
        </a:stretch>
      </xdr:blipFill>
      <xdr:spPr>
        <a:xfrm>
          <a:off x="10182225" y="10001250"/>
          <a:ext cx="6754168" cy="42868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191840</xdr:colOff>
      <xdr:row>0</xdr:row>
      <xdr:rowOff>126711</xdr:rowOff>
    </xdr:from>
    <xdr:to>
      <xdr:col>15</xdr:col>
      <xdr:colOff>590550</xdr:colOff>
      <xdr:row>17</xdr:row>
      <xdr:rowOff>29766</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5068640" y="126711"/>
          <a:ext cx="4665910" cy="31383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306762</xdr:colOff>
      <xdr:row>19</xdr:row>
      <xdr:rowOff>11205</xdr:rowOff>
    </xdr:from>
    <xdr:to>
      <xdr:col>26</xdr:col>
      <xdr:colOff>414619</xdr:colOff>
      <xdr:row>42</xdr:row>
      <xdr:rowOff>145676</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25586</xdr:colOff>
      <xdr:row>56</xdr:row>
      <xdr:rowOff>30442</xdr:rowOff>
    </xdr:from>
    <xdr:to>
      <xdr:col>26</xdr:col>
      <xdr:colOff>597087</xdr:colOff>
      <xdr:row>67</xdr:row>
      <xdr:rowOff>112059</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102351" y="10922560"/>
          <a:ext cx="7227795" cy="20538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20210422 A few</a:t>
          </a:r>
          <a:r>
            <a:rPr lang="en-US" sz="1100" baseline="0"/>
            <a:t> more thoughts</a:t>
          </a:r>
        </a:p>
        <a:p>
          <a:r>
            <a:rPr lang="en-US" sz="1100" baseline="0"/>
            <a:t>I need to repeat the above data with updated concentrations. The above was created with IAC 250nM F and R and 500nM probe. Only three of the IAC pos control successfully amplified. </a:t>
          </a:r>
        </a:p>
        <a:p>
          <a:endParaRPr lang="en-US" sz="1100" baseline="0"/>
        </a:p>
        <a:p>
          <a:r>
            <a:rPr lang="en-US" sz="1100" baseline="0"/>
            <a:t>I've collected evidence showing that ideal concentration should be about 50nM F and R. Probe should be about 400nM. The result of this is a leftward (downward) shift of Cq using same concentration of IAC pos control. </a:t>
          </a:r>
        </a:p>
        <a:p>
          <a:endParaRPr lang="en-US" sz="1100" baseline="0"/>
        </a:p>
        <a:p>
          <a:r>
            <a:rPr lang="en-US" sz="1100" baseline="0"/>
            <a:t>I'd like to run the above using new F, R, P concentrations and observe what happens to the curve above. Also want to know if Leg pneumo at the same concentrations unaffects IAC amplification.</a:t>
          </a:r>
          <a:endParaRPr lang="en-US" sz="1100"/>
        </a:p>
      </xdr:txBody>
    </xdr:sp>
    <xdr:clientData/>
  </xdr:twoCellAnchor>
  <xdr:twoCellAnchor editAs="oneCell">
    <xdr:from>
      <xdr:col>28</xdr:col>
      <xdr:colOff>0</xdr:colOff>
      <xdr:row>45</xdr:row>
      <xdr:rowOff>0</xdr:rowOff>
    </xdr:from>
    <xdr:to>
      <xdr:col>35</xdr:col>
      <xdr:colOff>430087</xdr:colOff>
      <xdr:row>61</xdr:row>
      <xdr:rowOff>114099</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16943294" y="8919882"/>
          <a:ext cx="4665910" cy="29828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191840</xdr:colOff>
      <xdr:row>0</xdr:row>
      <xdr:rowOff>126711</xdr:rowOff>
    </xdr:from>
    <xdr:to>
      <xdr:col>15</xdr:col>
      <xdr:colOff>590550</xdr:colOff>
      <xdr:row>17</xdr:row>
      <xdr:rowOff>29766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5068640" y="123536"/>
          <a:ext cx="4665910" cy="297963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19</xdr:col>
      <xdr:colOff>142875</xdr:colOff>
      <xdr:row>12</xdr:row>
      <xdr:rowOff>180974</xdr:rowOff>
    </xdr:from>
    <xdr:to>
      <xdr:col>25</xdr:col>
      <xdr:colOff>247650</xdr:colOff>
      <xdr:row>34</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1725275" y="2952749"/>
          <a:ext cx="3762375" cy="4171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Conclusions</a:t>
          </a:r>
        </a:p>
        <a:p>
          <a:r>
            <a:rPr lang="en-US" sz="1100"/>
            <a:t>This plate's</a:t>
          </a:r>
          <a:r>
            <a:rPr lang="en-US" sz="1100" baseline="0"/>
            <a:t> data is much worse than plate 1's data. Are the non-fluorescent wells better explained by chemistry or by an additional freeze-thaw cycle? Was there a systemic error? Is moving to 50, 50nM for F, R introduce stochasticity that wasn't observed in F,R and P matrix data?</a:t>
          </a:r>
        </a:p>
        <a:p>
          <a:endParaRPr lang="en-US" sz="1100" baseline="0"/>
        </a:p>
        <a:p>
          <a:r>
            <a:rPr lang="en-US" sz="1100" baseline="0"/>
            <a:t>IAC Cq with std_1 appears reduced, but the cost may be greater stochastic non-fluorescence. </a:t>
          </a:r>
        </a:p>
        <a:p>
          <a:endParaRPr lang="en-US" sz="1100" baseline="0"/>
        </a:p>
        <a:p>
          <a:r>
            <a:rPr lang="en-US" sz="1100" baseline="0"/>
            <a:t>I don't observe any patterns. Even IAC at high concentration fails. </a:t>
          </a:r>
        </a:p>
        <a:p>
          <a:endParaRPr lang="en-US" sz="1100" baseline="0"/>
        </a:p>
        <a:p>
          <a:r>
            <a:rPr lang="en-US" sz="1100" b="1" baseline="0"/>
            <a:t>Next Steps:</a:t>
          </a:r>
        </a:p>
        <a:p>
          <a:r>
            <a:rPr lang="en-US" sz="1100" baseline="0"/>
            <a:t>Compare fluorescence, non-fluorescence of two mastermixes</a:t>
          </a:r>
        </a:p>
        <a:p>
          <a:r>
            <a:rPr lang="en-US" sz="1100" baseline="0"/>
            <a:t>IAC(HK): 50, 50, 400</a:t>
          </a:r>
        </a:p>
        <a:p>
          <a:r>
            <a:rPr lang="en-US" sz="1100" baseline="0"/>
            <a:t>IAC(Lspp): 250, 250, 500 </a:t>
          </a:r>
        </a:p>
        <a:p>
          <a:endParaRPr lang="en-US" sz="1100" baseline="0"/>
        </a:p>
        <a:p>
          <a:r>
            <a:rPr lang="en-US" sz="1100" baseline="0"/>
            <a:t>20210430</a:t>
          </a:r>
        </a:p>
        <a:p>
          <a:r>
            <a:rPr lang="en-US" sz="1100" baseline="0"/>
            <a:t>Right to exclude this data. Something happened with the wells or reactions or control that I didn't notice. Glad I performed more reaction with "LO..." and "HI..." those experiments have been informative. </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262538</xdr:colOff>
      <xdr:row>8</xdr:row>
      <xdr:rowOff>42155</xdr:rowOff>
    </xdr:from>
    <xdr:to>
      <xdr:col>27</xdr:col>
      <xdr:colOff>605811</xdr:colOff>
      <xdr:row>19</xdr:row>
      <xdr:rowOff>70730</xdr:rowOff>
    </xdr:to>
    <xdr:pic>
      <xdr:nvPicPr>
        <xdr:cNvPr id="2" name="Picture 1" descr="Schematic Representation of the Primer Optimization Plate Layout.">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64613" y="1566155"/>
          <a:ext cx="4610473"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13</xdr:col>
      <xdr:colOff>554037</xdr:colOff>
      <xdr:row>41</xdr:row>
      <xdr:rowOff>123825</xdr:rowOff>
    </xdr:from>
    <xdr:to>
      <xdr:col>23</xdr:col>
      <xdr:colOff>282575</xdr:colOff>
      <xdr:row>56</xdr:row>
      <xdr:rowOff>149225</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141286</xdr:colOff>
      <xdr:row>41</xdr:row>
      <xdr:rowOff>120650</xdr:rowOff>
    </xdr:from>
    <xdr:to>
      <xdr:col>35</xdr:col>
      <xdr:colOff>12699</xdr:colOff>
      <xdr:row>56</xdr:row>
      <xdr:rowOff>152400</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582612</xdr:colOff>
      <xdr:row>69</xdr:row>
      <xdr:rowOff>82550</xdr:rowOff>
    </xdr:from>
    <xdr:to>
      <xdr:col>21</xdr:col>
      <xdr:colOff>744537</xdr:colOff>
      <xdr:row>84</xdr:row>
      <xdr:rowOff>114300</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276225</xdr:colOff>
      <xdr:row>59</xdr:row>
      <xdr:rowOff>333375</xdr:rowOff>
    </xdr:from>
    <xdr:to>
      <xdr:col>34</xdr:col>
      <xdr:colOff>152400</xdr:colOff>
      <xdr:row>69</xdr:row>
      <xdr:rowOff>66675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030700" y="11572875"/>
          <a:ext cx="4143375" cy="201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CONCLUSIONS:</a:t>
          </a:r>
        </a:p>
        <a:p>
          <a:r>
            <a:rPr lang="en-US" sz="1100"/>
            <a:t>Pattern</a:t>
          </a:r>
          <a:r>
            <a:rPr lang="en-US" sz="1100" baseline="0"/>
            <a:t> suggests that a lower concentration, 50nM, in the F primer is optimal for amplification. Pattern is pronounced when FWD held constant. This stair-step pattern suggets the lower concentration is optimal at 50nM even when R conc varies between 50 and 800nM. PCR efficiency much less than 90%. This is probably okay as long as it's consistent. Hypothesese for lower efficinecy:</a:t>
          </a:r>
        </a:p>
        <a:p>
          <a:r>
            <a:rPr lang="en-US" sz="1100" baseline="0"/>
            <a:t>1) primers below Tm</a:t>
          </a:r>
        </a:p>
        <a:p>
          <a:r>
            <a:rPr lang="en-US" sz="1100" baseline="0"/>
            <a:t>2) Leg pneumo primer probe interference e.g. competition</a:t>
          </a:r>
        </a:p>
        <a:p>
          <a:r>
            <a:rPr lang="en-US" sz="1100" baseline="0"/>
            <a:t>3) master mix not optimal for extension</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90207</xdr:colOff>
      <xdr:row>0</xdr:row>
      <xdr:rowOff>120276</xdr:rowOff>
    </xdr:from>
    <xdr:to>
      <xdr:col>19</xdr:col>
      <xdr:colOff>124671</xdr:colOff>
      <xdr:row>20</xdr:row>
      <xdr:rowOff>92822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9155766" y="120276"/>
          <a:ext cx="4917054" cy="355842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371475</xdr:colOff>
      <xdr:row>38</xdr:row>
      <xdr:rowOff>171450</xdr:rowOff>
    </xdr:from>
    <xdr:to>
      <xdr:col>25</xdr:col>
      <xdr:colOff>407428</xdr:colOff>
      <xdr:row>70</xdr:row>
      <xdr:rowOff>35715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8905875" y="7048500"/>
          <a:ext cx="7363853" cy="5655465"/>
        </a:xfrm>
        <a:prstGeom prst="rect">
          <a:avLst/>
        </a:prstGeom>
      </xdr:spPr>
    </xdr:pic>
    <xdr:clientData/>
  </xdr:twoCellAnchor>
  <xdr:twoCellAnchor>
    <xdr:from>
      <xdr:col>14</xdr:col>
      <xdr:colOff>541337</xdr:colOff>
      <xdr:row>19</xdr:row>
      <xdr:rowOff>111125</xdr:rowOff>
    </xdr:from>
    <xdr:to>
      <xdr:col>23</xdr:col>
      <xdr:colOff>406400</xdr:colOff>
      <xdr:row>36</xdr:row>
      <xdr:rowOff>177800</xdr:rowOff>
    </xdr:to>
    <xdr:graphicFrame macro="">
      <xdr:nvGraphicFramePr>
        <xdr:cNvPr id="4" name="Chart 3">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560386</xdr:colOff>
      <xdr:row>19</xdr:row>
      <xdr:rowOff>130175</xdr:rowOff>
    </xdr:from>
    <xdr:to>
      <xdr:col>33</xdr:col>
      <xdr:colOff>400049</xdr:colOff>
      <xdr:row>37</xdr:row>
      <xdr:rowOff>9525</xdr:rowOff>
    </xdr:to>
    <xdr:graphicFrame macro="">
      <xdr:nvGraphicFramePr>
        <xdr:cNvPr id="6" name="Chart 5">
          <a:extLst>
            <a:ext uri="{FF2B5EF4-FFF2-40B4-BE49-F238E27FC236}">
              <a16:creationId xmlns:a16="http://schemas.microsoft.com/office/drawing/2014/main" id="{00000000-0008-0000-0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34925</xdr:colOff>
      <xdr:row>44</xdr:row>
      <xdr:rowOff>130175</xdr:rowOff>
    </xdr:from>
    <xdr:to>
      <xdr:col>33</xdr:col>
      <xdr:colOff>244475</xdr:colOff>
      <xdr:row>53</xdr:row>
      <xdr:rowOff>63500</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17113250" y="8093075"/>
          <a:ext cx="3867150" cy="156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The "create.probe.matrix" program added 2x probe volume to wells. This was a bug that wasn't caught until halfway through program.</a:t>
          </a:r>
          <a:r>
            <a:rPr lang="en-US" sz="1100" baseline="0"/>
            <a:t> Error is found in else clause L570. Performing double aspirant volume like in L556. </a:t>
          </a:r>
          <a:r>
            <a:rPr lang="en-US" sz="1100"/>
            <a:t>The excess volume was only added to the low F, R intermediate tube. So,</a:t>
          </a:r>
          <a:r>
            <a:rPr lang="en-US" sz="1100" baseline="0"/>
            <a:t> in this case, only 50nM volumes affected. Still think data informative. Yes, previous assays (micH, Legionella pneumophila) also affected. Still, trenda data can be helpful.</a:t>
          </a:r>
        </a:p>
        <a:p>
          <a:endParaRPr lang="en-US" sz="1100" baseline="0"/>
        </a:p>
        <a:p>
          <a:r>
            <a:rPr lang="en-US" sz="1100" baseline="0"/>
            <a:t>Conclusions:</a:t>
          </a:r>
          <a:endParaRPr lang="en-US" sz="1100"/>
        </a:p>
      </xdr:txBody>
    </xdr:sp>
    <xdr:clientData/>
  </xdr:twoCellAnchor>
  <xdr:twoCellAnchor>
    <xdr:from>
      <xdr:col>27</xdr:col>
      <xdr:colOff>19050</xdr:colOff>
      <xdr:row>37</xdr:row>
      <xdr:rowOff>149225</xdr:rowOff>
    </xdr:from>
    <xdr:to>
      <xdr:col>33</xdr:col>
      <xdr:colOff>285750</xdr:colOff>
      <xdr:row>44</xdr:row>
      <xdr:rowOff>38100</xdr:rowOff>
    </xdr:to>
    <xdr:sp macro="" textlink="">
      <xdr:nvSpPr>
        <xdr:cNvPr id="8" name="TextBox 7">
          <a:extLst>
            <a:ext uri="{FF2B5EF4-FFF2-40B4-BE49-F238E27FC236}">
              <a16:creationId xmlns:a16="http://schemas.microsoft.com/office/drawing/2014/main" id="{00000000-0008-0000-0900-000008000000}"/>
            </a:ext>
          </a:extLst>
        </xdr:cNvPr>
        <xdr:cNvSpPr txBox="1"/>
      </xdr:nvSpPr>
      <xdr:spPr>
        <a:xfrm>
          <a:off x="17097375" y="6845300"/>
          <a:ext cx="3924300" cy="115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CONCLUSIONS</a:t>
          </a:r>
        </a:p>
        <a:p>
          <a:r>
            <a:rPr lang="en-US" sz="1100" baseline="0"/>
            <a:t>Natural depression around 200-400nM when F,W = 50nM. Actual concentration is more like 400-800nm (see Note below). Current concentration of probe is 500nM. So, use 400nM.</a:t>
          </a:r>
        </a:p>
        <a:p>
          <a:endParaRPr lang="en-US" sz="1100"/>
        </a:p>
      </xdr:txBody>
    </xdr:sp>
    <xdr:clientData/>
  </xdr:twoCellAnchor>
  <xdr:twoCellAnchor>
    <xdr:from>
      <xdr:col>16</xdr:col>
      <xdr:colOff>0</xdr:colOff>
      <xdr:row>84</xdr:row>
      <xdr:rowOff>0</xdr:rowOff>
    </xdr:from>
    <xdr:to>
      <xdr:col>22</xdr:col>
      <xdr:colOff>603250</xdr:colOff>
      <xdr:row>99</xdr:row>
      <xdr:rowOff>28575</xdr:rowOff>
    </xdr:to>
    <xdr:graphicFrame macro="">
      <xdr:nvGraphicFramePr>
        <xdr:cNvPr id="9" name="Chart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56031</xdr:colOff>
      <xdr:row>8</xdr:row>
      <xdr:rowOff>64993</xdr:rowOff>
    </xdr:from>
    <xdr:to>
      <xdr:col>31</xdr:col>
      <xdr:colOff>302559</xdr:colOff>
      <xdr:row>28</xdr:row>
      <xdr:rowOff>145676</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342340</xdr:colOff>
      <xdr:row>4</xdr:row>
      <xdr:rowOff>150157</xdr:rowOff>
    </xdr:from>
    <xdr:to>
      <xdr:col>38</xdr:col>
      <xdr:colOff>581024</xdr:colOff>
      <xdr:row>44</xdr:row>
      <xdr:rowOff>11204</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19773340" y="1293157"/>
          <a:ext cx="4474508" cy="78620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CONCLUSIONS:</a:t>
          </a:r>
        </a:p>
        <a:p>
          <a:r>
            <a:rPr lang="en-US" sz="1100"/>
            <a:t>Using</a:t>
          </a:r>
          <a:r>
            <a:rPr lang="en-US" sz="1100" baseline="0"/>
            <a:t> the optimized (OPT) IAC master mix (F,R,P = 50, 50, 400nM) results in a 7-8 decrease in Cq compared to using the previous standard (STD) mix </a:t>
          </a:r>
          <a:r>
            <a:rPr lang="en-US" sz="1100" baseline="0">
              <a:solidFill>
                <a:schemeClr val="dk1"/>
              </a:solidFill>
              <a:effectLst/>
              <a:latin typeface="+mn-lt"/>
              <a:ea typeface="+mn-ea"/>
              <a:cs typeface="+mn-cs"/>
            </a:rPr>
            <a:t>(F,R,P = 250, 250, 500nM)</a:t>
          </a:r>
          <a:r>
            <a:rPr lang="en-US" sz="1100" baseline="0"/>
            <a:t>. </a:t>
          </a:r>
        </a:p>
        <a:p>
          <a:endParaRPr lang="en-US" sz="1100" baseline="0"/>
        </a:p>
        <a:p>
          <a:r>
            <a:rPr lang="en-US" sz="1100" baseline="0"/>
            <a:t>Error bars represent 95% confidence interval. For copy number 1.20e11, the error bars are so small that the marker covers them. Each marker represents the average of 11 replicates.</a:t>
          </a:r>
        </a:p>
        <a:p>
          <a:endParaRPr lang="en-US" sz="1100" baseline="0"/>
        </a:p>
        <a:p>
          <a:r>
            <a:rPr lang="en-US" sz="1100" baseline="0"/>
            <a:t>The OPT mix not only results in lower Cq for the same concentration, but the OPT mix was more sensitive and detected a 1/10 concentration that the STD mix did not.</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The IAC positive control is not linear, but it is binary (yes/no). Thus, the IAC positive control should not be used to quantify unknown concentrations of IAC positive control, but can be used as positive control for a reaction. </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If a 100 samples are run with an IAC positive control concentration of 3x10</a:t>
          </a:r>
          <a:r>
            <a:rPr lang="en-US" sz="1100" baseline="30000">
              <a:solidFill>
                <a:schemeClr val="dk1"/>
              </a:solidFill>
              <a:effectLst/>
              <a:latin typeface="+mn-lt"/>
              <a:ea typeface="+mn-ea"/>
              <a:cs typeface="+mn-cs"/>
            </a:rPr>
            <a:t>9</a:t>
          </a:r>
          <a:r>
            <a:rPr lang="en-US" sz="1100" baseline="0">
              <a:solidFill>
                <a:schemeClr val="dk1"/>
              </a:solidFill>
              <a:effectLst/>
              <a:latin typeface="+mn-lt"/>
              <a:ea typeface="+mn-ea"/>
              <a:cs typeface="+mn-cs"/>
            </a:rPr>
            <a:t>copies/ul, 95 of the samples will have a Cq between 37 and 33. </a:t>
          </a:r>
          <a:endParaRPr lang="en-US" sz="1100" baseline="3000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p>
        <a:p>
          <a:endParaRPr lang="en-US" sz="1100" baseline="0"/>
        </a:p>
        <a:p>
          <a:r>
            <a:rPr lang="en-US" sz="1100" baseline="0"/>
            <a:t>THOUGHTS:</a:t>
          </a:r>
        </a:p>
        <a:p>
          <a:r>
            <a:rPr lang="en-US" sz="1100" baseline="0"/>
            <a:t>This data suggests a reason Greg and I didn't previously observe the IAC is due to our use at concentrations less than 3e9 copies/ul.</a:t>
          </a:r>
        </a:p>
        <a:p>
          <a:endParaRPr lang="en-US" sz="1100" baseline="0"/>
        </a:p>
        <a:p>
          <a:r>
            <a:rPr lang="en-US" sz="1100" baseline="0"/>
            <a:t>Surprised how many copies/ul are needed for amplification. Lowest limit of amplification is about 3e9 or about three million times higher than 1e3, the IAC concentration in Legionella spp assay. </a:t>
          </a:r>
        </a:p>
        <a:p>
          <a:endParaRPr lang="en-US" sz="1100" baseline="0"/>
        </a:p>
        <a:p>
          <a:r>
            <a:rPr lang="en-US" sz="1100" baseline="0"/>
            <a:t>A higher copy number may be beneficial as the IAC reaction may be resistant to low levels of contamination. </a:t>
          </a:r>
        </a:p>
        <a:p>
          <a:endParaRPr lang="en-US" sz="1100" baseline="0"/>
        </a:p>
        <a:p>
          <a:r>
            <a:rPr lang="en-US" sz="1100" baseline="0"/>
            <a:t>Important to optimize esp in multiplexed reactions because never know interplay. </a:t>
          </a:r>
        </a:p>
        <a:p>
          <a:endParaRPr lang="en-US" sz="1100" baseline="0"/>
        </a:p>
        <a:p>
          <a:r>
            <a:rPr lang="en-US" sz="1100" baseline="0"/>
            <a:t>Another reasons to optimize: Save 400% on lower F, R costs. Save 25% on P. </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Hard to believe that decreasing the F and R primer by 1/5 results in a lower Cq and an increased sensitivity compared to the STD mix. This data suggests that the optimal concentration of IAC F, R, P is 50, 50, 400nM. The concentration that should be used is 3e9 copies/ul.</a:t>
          </a:r>
          <a:endParaRPr lang="en-US">
            <a:effectLst/>
          </a:endParaRPr>
        </a:p>
        <a:p>
          <a:endParaRPr lang="en-US" sz="1100" baseline="0"/>
        </a:p>
      </xdr:txBody>
    </xdr:sp>
    <xdr:clientData/>
  </xdr:twoCellAnchor>
  <xdr:twoCellAnchor>
    <xdr:from>
      <xdr:col>23</xdr:col>
      <xdr:colOff>246529</xdr:colOff>
      <xdr:row>42</xdr:row>
      <xdr:rowOff>62243</xdr:rowOff>
    </xdr:from>
    <xdr:to>
      <xdr:col>30</xdr:col>
      <xdr:colOff>201706</xdr:colOff>
      <xdr:row>63</xdr:row>
      <xdr:rowOff>112059</xdr:rowOff>
    </xdr:to>
    <xdr:graphicFrame macro="">
      <xdr:nvGraphicFramePr>
        <xdr:cNvPr id="5" name="Chart 4">
          <a:extLst>
            <a:ext uri="{FF2B5EF4-FFF2-40B4-BE49-F238E27FC236}">
              <a16:creationId xmlns:a16="http://schemas.microsoft.com/office/drawing/2014/main" id="{00000000-0008-0000-0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291353</xdr:colOff>
      <xdr:row>52</xdr:row>
      <xdr:rowOff>11206</xdr:rowOff>
    </xdr:from>
    <xdr:to>
      <xdr:col>38</xdr:col>
      <xdr:colOff>0</xdr:colOff>
      <xdr:row>64</xdr:row>
      <xdr:rowOff>168088</xdr:rowOff>
    </xdr:to>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19722353" y="10679206"/>
          <a:ext cx="3944471" cy="24428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CONCLUSIONS:</a:t>
          </a:r>
        </a:p>
        <a:p>
          <a:r>
            <a:rPr lang="en-US" sz="1100"/>
            <a:t>Across</a:t>
          </a:r>
          <a:r>
            <a:rPr lang="en-US" sz="1100" baseline="0"/>
            <a:t> different IAC pos control concentrations, Leg pneumo positive control consistent. That is, Leg pneumo reactions amplify independently of whether IAC pos control is at high or low concentration.</a:t>
          </a:r>
          <a:endParaRPr lang="en-US" sz="1100"/>
        </a:p>
        <a:p>
          <a:endParaRPr lang="en-US" sz="1100"/>
        </a:p>
        <a:p>
          <a:r>
            <a:rPr lang="en-US" sz="1100"/>
            <a:t>The</a:t>
          </a:r>
          <a:r>
            <a:rPr lang="en-US" sz="1100" baseline="0"/>
            <a:t> OPT master mix contributes to stability (decreased std dev) of the amplification of Legionella pneumophila (1.2x10</a:t>
          </a:r>
          <a:r>
            <a:rPr lang="en-US" sz="1100" baseline="30000"/>
            <a:t>6</a:t>
          </a:r>
          <a:r>
            <a:rPr lang="en-US" sz="1100" baseline="0"/>
            <a:t> copies/ul) compared to the stability of the STD master mix. </a:t>
          </a:r>
        </a:p>
        <a:p>
          <a:endParaRPr lang="en-US" sz="1100" baseline="0"/>
        </a:p>
        <a:p>
          <a:r>
            <a:rPr lang="en-US" sz="1100" baseline="0"/>
            <a:t>Error bars represent 95% confidence interval (2*std dev). </a:t>
          </a:r>
          <a:endParaRPr lang="en-US" sz="1100"/>
        </a:p>
      </xdr:txBody>
    </xdr:sp>
    <xdr:clientData/>
  </xdr:twoCellAnchor>
  <xdr:twoCellAnchor editAs="oneCell">
    <xdr:from>
      <xdr:col>26</xdr:col>
      <xdr:colOff>560294</xdr:colOff>
      <xdr:row>98</xdr:row>
      <xdr:rowOff>112058</xdr:rowOff>
    </xdr:from>
    <xdr:to>
      <xdr:col>32</xdr:col>
      <xdr:colOff>10609</xdr:colOff>
      <xdr:row>105</xdr:row>
      <xdr:rowOff>112244</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3"/>
        <a:stretch>
          <a:fillRect/>
        </a:stretch>
      </xdr:blipFill>
      <xdr:spPr>
        <a:xfrm>
          <a:off x="16293353" y="19733558"/>
          <a:ext cx="3753374" cy="1333686"/>
        </a:xfrm>
        <a:prstGeom prst="rect">
          <a:avLst/>
        </a:prstGeom>
      </xdr:spPr>
    </xdr:pic>
    <xdr:clientData/>
  </xdr:twoCellAnchor>
  <xdr:twoCellAnchor>
    <xdr:from>
      <xdr:col>26</xdr:col>
      <xdr:colOff>605117</xdr:colOff>
      <xdr:row>88</xdr:row>
      <xdr:rowOff>100853</xdr:rowOff>
    </xdr:from>
    <xdr:to>
      <xdr:col>32</xdr:col>
      <xdr:colOff>179294</xdr:colOff>
      <xdr:row>95</xdr:row>
      <xdr:rowOff>168088</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16338176" y="17817353"/>
          <a:ext cx="3877236" cy="1400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CONCLUSIONS</a:t>
          </a:r>
        </a:p>
        <a:p>
          <a:r>
            <a:rPr lang="en-US" sz="1100"/>
            <a:t>From 95% CI we may assume that there is no difference. However, One</a:t>
          </a:r>
          <a:r>
            <a:rPr lang="en-US" sz="1100" baseline="0"/>
            <a:t> way Anova sheet "ANOVA" and Welch Anova show difference between the means. However, just because there is a difference doesn't mean it's practical. </a:t>
          </a:r>
        </a:p>
        <a:p>
          <a:r>
            <a:rPr lang="en-US" sz="1100" baseline="0"/>
            <a:t>Jupyter workbook in this folder.</a:t>
          </a: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19</xdr:col>
      <xdr:colOff>235324</xdr:colOff>
      <xdr:row>9</xdr:row>
      <xdr:rowOff>89647</xdr:rowOff>
    </xdr:from>
    <xdr:to>
      <xdr:col>29</xdr:col>
      <xdr:colOff>156882</xdr:colOff>
      <xdr:row>28</xdr:row>
      <xdr:rowOff>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369794</xdr:colOff>
      <xdr:row>43</xdr:row>
      <xdr:rowOff>134470</xdr:rowOff>
    </xdr:from>
    <xdr:to>
      <xdr:col>28</xdr:col>
      <xdr:colOff>257735</xdr:colOff>
      <xdr:row>64</xdr:row>
      <xdr:rowOff>184286</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1</xdr:colOff>
      <xdr:row>9</xdr:row>
      <xdr:rowOff>0</xdr:rowOff>
    </xdr:from>
    <xdr:to>
      <xdr:col>41</xdr:col>
      <xdr:colOff>149088</xdr:colOff>
      <xdr:row>27</xdr:row>
      <xdr:rowOff>100853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323022</xdr:colOff>
      <xdr:row>13</xdr:row>
      <xdr:rowOff>165652</xdr:rowOff>
    </xdr:from>
    <xdr:to>
      <xdr:col>45</xdr:col>
      <xdr:colOff>538370</xdr:colOff>
      <xdr:row>24</xdr:row>
      <xdr:rowOff>49696</xdr:rowOff>
    </xdr:to>
    <xdr:sp macro="" textlink="">
      <xdr:nvSpPr>
        <xdr:cNvPr id="5" name="TextBox 4">
          <a:extLst>
            <a:ext uri="{FF2B5EF4-FFF2-40B4-BE49-F238E27FC236}">
              <a16:creationId xmlns:a16="http://schemas.microsoft.com/office/drawing/2014/main" id="{00000000-0008-0000-0C00-000005000000}"/>
            </a:ext>
          </a:extLst>
        </xdr:cNvPr>
        <xdr:cNvSpPr txBox="1"/>
      </xdr:nvSpPr>
      <xdr:spPr>
        <a:xfrm>
          <a:off x="25452457" y="3023152"/>
          <a:ext cx="2667000" cy="19795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CONCLUSIONS</a:t>
          </a:r>
        </a:p>
        <a:p>
          <a:r>
            <a:rPr lang="en-US" sz="1100"/>
            <a:t>IAC Cq</a:t>
          </a:r>
          <a:r>
            <a:rPr lang="en-US" sz="1100" baseline="0"/>
            <a:t> decreases ~1.5 Cq when Leg pneumo decreases from 1e6 copies/ul to ~10 copies/ul. This is statistically significant only at high concentrations of IAC. Leg pneumo concentration insignificant when IAC used at recommended concentration: 3e9 copies/ul.</a:t>
          </a:r>
        </a:p>
        <a:p>
          <a:endParaRPr lang="en-US" sz="1100" baseline="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672354</xdr:colOff>
      <xdr:row>48</xdr:row>
      <xdr:rowOff>67235</xdr:rowOff>
    </xdr:from>
    <xdr:to>
      <xdr:col>12</xdr:col>
      <xdr:colOff>212913</xdr:colOff>
      <xdr:row>60</xdr:row>
      <xdr:rowOff>15422</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672354" y="10186147"/>
          <a:ext cx="7687235" cy="223418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22</xdr:col>
      <xdr:colOff>490537</xdr:colOff>
      <xdr:row>32</xdr:row>
      <xdr:rowOff>76200</xdr:rowOff>
    </xdr:from>
    <xdr:to>
      <xdr:col>31</xdr:col>
      <xdr:colOff>19050</xdr:colOff>
      <xdr:row>48</xdr:row>
      <xdr:rowOff>171450</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466725</xdr:colOff>
      <xdr:row>49</xdr:row>
      <xdr:rowOff>190499</xdr:rowOff>
    </xdr:from>
    <xdr:to>
      <xdr:col>31</xdr:col>
      <xdr:colOff>590550</xdr:colOff>
      <xdr:row>83</xdr:row>
      <xdr:rowOff>28575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3877925" y="10667999"/>
          <a:ext cx="5610225" cy="63150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Background: The internal amplification control (IAC) serves</a:t>
          </a:r>
          <a:r>
            <a:rPr lang="en-US" sz="1100" baseline="0"/>
            <a:t> as a control in PCR. Ideally, the IAC should cross at a late Cq, greater than 30. In reactions containing Leg pneumophila F, R, P and pos control, the IAC pos control needs to be at a higher-than-expected concentration to generate fluorescence. Why? </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We designed an experiment using two master mixes. The question we hoped to answer: is the IAC positive control high because there's a problem with the master mix or is it due to Leg pneumo in the master mix?</a:t>
          </a:r>
        </a:p>
        <a:p>
          <a:endParaRPr lang="en-US" sz="1100"/>
        </a:p>
        <a:p>
          <a:r>
            <a:rPr lang="en-US" sz="1100"/>
            <a:t>Raquel created two master mixes. Both mixes contained IAC F, R</a:t>
          </a:r>
          <a:r>
            <a:rPr lang="en-US" sz="1100" baseline="0"/>
            <a:t> and P at the same optimized concentration (50, 50, 400). Both reactions included the same IAC positive control concentrations.</a:t>
          </a:r>
        </a:p>
        <a:p>
          <a:endParaRPr lang="en-US" sz="1100" baseline="0"/>
        </a:p>
        <a:p>
          <a:r>
            <a:rPr lang="en-US" sz="1100" baseline="0"/>
            <a:t>The "LEG" mastermix contained Leg spp F, R and P. </a:t>
          </a:r>
        </a:p>
        <a:p>
          <a:r>
            <a:rPr lang="en-US" sz="1100" baseline="0"/>
            <a:t>The "OPT" mastermix contained Leg pneumophila F, R and P. </a:t>
          </a:r>
        </a:p>
        <a:p>
          <a:endParaRPr lang="en-US" sz="1100" baseline="0"/>
        </a:p>
        <a:p>
          <a:r>
            <a:rPr lang="en-US" sz="1100" baseline="0"/>
            <a:t>IAC Cq is increased by ~20 cycles in reactions containing Leg pneumo F, R and positive controls. The IAC behaves as expected in reactions containing Leg spp F, R, P and positive controls. This data suggests that the IAC performance is not affected by reagents in the master mix, but is   affected by the presence of Leg pneumophila F, R primer or positive control. </a:t>
          </a:r>
        </a:p>
        <a:p>
          <a:endParaRPr lang="en-US" sz="1100" baseline="0"/>
        </a:p>
        <a:p>
          <a:r>
            <a:rPr lang="en-US" sz="1100" baseline="0"/>
            <a:t>This is crazy! How can a synthetically generated construct like IAC interfere with Leg pneumophila primer/probe or positive control? It's hard to believe, but the data suggests that there is a difference when the IAC is mixed with Leg pneumo.</a:t>
          </a:r>
        </a:p>
        <a:p>
          <a:endParaRPr lang="en-US" sz="1100" baseline="0"/>
        </a:p>
        <a:p>
          <a:r>
            <a:rPr lang="en-US" sz="1100" baseline="0"/>
            <a:t>Okay, decision time.</a:t>
          </a:r>
        </a:p>
        <a:p>
          <a:endParaRPr lang="en-US" sz="1100" baseline="0"/>
        </a:p>
        <a:p>
          <a:r>
            <a:rPr lang="en-US" sz="1100" baseline="0"/>
            <a:t>Decision 1: Select a new IAC for Leg pneumo. Repeat optimizations. Push deadline back 2-3 weeks. Ordering = 1st week. Experiments = 2nd week.</a:t>
          </a:r>
        </a:p>
        <a:p>
          <a:r>
            <a:rPr lang="en-US" sz="1100" baseline="0"/>
            <a:t>Decision 2: Use IAC with Leg pneumo at a higher concentration. This has a few benefits: 1) More resistant to IAC contamination. 2) higher conc = greater confidence in Cq i.e. (at </a:t>
          </a:r>
          <a:r>
            <a:rPr lang="en-US" sz="1100" baseline="0">
              <a:solidFill>
                <a:schemeClr val="dk1"/>
              </a:solidFill>
              <a:effectLst/>
              <a:latin typeface="+mn-lt"/>
              <a:ea typeface="+mn-ea"/>
              <a:cs typeface="+mn-cs"/>
            </a:rPr>
            <a:t>3x10</a:t>
          </a:r>
          <a:r>
            <a:rPr lang="en-US" sz="1100" baseline="30000">
              <a:solidFill>
                <a:schemeClr val="dk1"/>
              </a:solidFill>
              <a:effectLst/>
              <a:latin typeface="+mn-lt"/>
              <a:ea typeface="+mn-ea"/>
              <a:cs typeface="+mn-cs"/>
            </a:rPr>
            <a:t>9</a:t>
          </a:r>
          <a:r>
            <a:rPr lang="en-US" sz="1100" baseline="0">
              <a:solidFill>
                <a:schemeClr val="dk1"/>
              </a:solidFill>
              <a:effectLst/>
              <a:latin typeface="+mn-lt"/>
              <a:ea typeface="+mn-ea"/>
              <a:cs typeface="+mn-cs"/>
            </a:rPr>
            <a:t>copies/ul, 95% of the samples will have a Cq between 37 and 33) There are a</a:t>
          </a:r>
          <a:r>
            <a:rPr lang="en-US" sz="1100" baseline="0"/>
            <a:t> few drawbacks: 1) per rxn cost increase 2) unknown effects like crowding out issues with Leg pneumo samples?</a:t>
          </a:r>
        </a:p>
        <a:p>
          <a:endParaRPr lang="en-US" sz="1100" baseline="0"/>
        </a:p>
        <a:p>
          <a:r>
            <a:rPr lang="en-US" sz="1100" baseline="0"/>
            <a:t>I recommend Decision 2: use the IAC at a higher conc with Leg pneumo.</a:t>
          </a:r>
        </a:p>
      </xdr:txBody>
    </xdr:sp>
    <xdr:clientData/>
  </xdr:twoCellAnchor>
  <xdr:twoCellAnchor editAs="oneCell">
    <xdr:from>
      <xdr:col>23</xdr:col>
      <xdr:colOff>0</xdr:colOff>
      <xdr:row>86</xdr:row>
      <xdr:rowOff>0</xdr:rowOff>
    </xdr:from>
    <xdr:to>
      <xdr:col>23</xdr:col>
      <xdr:colOff>304800</xdr:colOff>
      <xdr:row>87</xdr:row>
      <xdr:rowOff>114300</xdr:rowOff>
    </xdr:to>
    <xdr:sp macro="" textlink="">
      <xdr:nvSpPr>
        <xdr:cNvPr id="29703" name="AutoShape 7">
          <a:extLst>
            <a:ext uri="{FF2B5EF4-FFF2-40B4-BE49-F238E27FC236}">
              <a16:creationId xmlns:a16="http://schemas.microsoft.com/office/drawing/2014/main" id="{00000000-0008-0000-0E00-000007740000}"/>
            </a:ext>
          </a:extLst>
        </xdr:cNvPr>
        <xdr:cNvSpPr>
          <a:spLocks noChangeAspect="1" noChangeArrowheads="1"/>
        </xdr:cNvSpPr>
      </xdr:nvSpPr>
      <xdr:spPr bwMode="auto">
        <a:xfrm>
          <a:off x="14020800" y="17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0</xdr:colOff>
      <xdr:row>86</xdr:row>
      <xdr:rowOff>0</xdr:rowOff>
    </xdr:from>
    <xdr:to>
      <xdr:col>38</xdr:col>
      <xdr:colOff>449014</xdr:colOff>
      <xdr:row>111</xdr:row>
      <xdr:rowOff>95928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4020800" y="17526000"/>
          <a:ext cx="9593014" cy="4858428"/>
        </a:xfrm>
        <a:prstGeom prst="rect">
          <a:avLst/>
        </a:prstGeom>
      </xdr:spPr>
    </xdr:pic>
    <xdr:clientData/>
  </xdr:twoCellAnchor>
  <xdr:twoCellAnchor editAs="oneCell">
    <xdr:from>
      <xdr:col>23</xdr:col>
      <xdr:colOff>0</xdr:colOff>
      <xdr:row>116</xdr:row>
      <xdr:rowOff>0</xdr:rowOff>
    </xdr:from>
    <xdr:to>
      <xdr:col>23</xdr:col>
      <xdr:colOff>304800</xdr:colOff>
      <xdr:row>117</xdr:row>
      <xdr:rowOff>114300</xdr:rowOff>
    </xdr:to>
    <xdr:sp macro="" textlink="">
      <xdr:nvSpPr>
        <xdr:cNvPr id="29704" name="AutoShape 8">
          <a:extLst>
            <a:ext uri="{FF2B5EF4-FFF2-40B4-BE49-F238E27FC236}">
              <a16:creationId xmlns:a16="http://schemas.microsoft.com/office/drawing/2014/main" id="{00000000-0008-0000-0E00-000008740000}"/>
            </a:ext>
          </a:extLst>
        </xdr:cNvPr>
        <xdr:cNvSpPr>
          <a:spLocks noChangeAspect="1" noChangeArrowheads="1"/>
        </xdr:cNvSpPr>
      </xdr:nvSpPr>
      <xdr:spPr bwMode="auto">
        <a:xfrm>
          <a:off x="14020800" y="3059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444954</xdr:colOff>
      <xdr:row>78</xdr:row>
      <xdr:rowOff>6804</xdr:rowOff>
    </xdr:from>
    <xdr:to>
      <xdr:col>17</xdr:col>
      <xdr:colOff>2370875</xdr:colOff>
      <xdr:row>95</xdr:row>
      <xdr:rowOff>140626</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9398454" y="15804697"/>
          <a:ext cx="5397343" cy="3385929"/>
        </a:xfrm>
        <a:prstGeom prst="rect">
          <a:avLst/>
        </a:prstGeom>
      </xdr:spPr>
    </xdr:pic>
    <xdr:clientData/>
  </xdr:twoCellAnchor>
  <xdr:twoCellAnchor editAs="oneCell">
    <xdr:from>
      <xdr:col>12</xdr:col>
      <xdr:colOff>492580</xdr:colOff>
      <xdr:row>95</xdr:row>
      <xdr:rowOff>27214</xdr:rowOff>
    </xdr:from>
    <xdr:to>
      <xdr:col>17</xdr:col>
      <xdr:colOff>2466132</xdr:colOff>
      <xdr:row>114</xdr:row>
      <xdr:rowOff>16820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2"/>
        <a:stretch>
          <a:fillRect/>
        </a:stretch>
      </xdr:blipFill>
      <xdr:spPr>
        <a:xfrm>
          <a:off x="9446080" y="19077214"/>
          <a:ext cx="5444974" cy="3609106"/>
        </a:xfrm>
        <a:prstGeom prst="rect">
          <a:avLst/>
        </a:prstGeom>
      </xdr:spPr>
    </xdr:pic>
    <xdr:clientData/>
  </xdr:twoCellAnchor>
  <xdr:twoCellAnchor editAs="oneCell">
    <xdr:from>
      <xdr:col>5</xdr:col>
      <xdr:colOff>217715</xdr:colOff>
      <xdr:row>95</xdr:row>
      <xdr:rowOff>13606</xdr:rowOff>
    </xdr:from>
    <xdr:to>
      <xdr:col>12</xdr:col>
      <xdr:colOff>472941</xdr:colOff>
      <xdr:row>113</xdr:row>
      <xdr:rowOff>33137</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3"/>
        <a:stretch>
          <a:fillRect/>
        </a:stretch>
      </xdr:blipFill>
      <xdr:spPr>
        <a:xfrm>
          <a:off x="3891644" y="19063606"/>
          <a:ext cx="5534797" cy="3448531"/>
        </a:xfrm>
        <a:prstGeom prst="rect">
          <a:avLst/>
        </a:prstGeom>
      </xdr:spPr>
    </xdr:pic>
    <xdr:clientData/>
  </xdr:twoCellAnchor>
  <xdr:twoCellAnchor editAs="oneCell">
    <xdr:from>
      <xdr:col>5</xdr:col>
      <xdr:colOff>217713</xdr:colOff>
      <xdr:row>77</xdr:row>
      <xdr:rowOff>149678</xdr:rowOff>
    </xdr:from>
    <xdr:to>
      <xdr:col>12</xdr:col>
      <xdr:colOff>453887</xdr:colOff>
      <xdr:row>95</xdr:row>
      <xdr:rowOff>165129</xdr:rowOff>
    </xdr:to>
    <xdr:pic>
      <xdr:nvPicPr>
        <xdr:cNvPr id="6" name="Picture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4"/>
        <a:stretch>
          <a:fillRect/>
        </a:stretch>
      </xdr:blipFill>
      <xdr:spPr>
        <a:xfrm>
          <a:off x="3891642" y="15757071"/>
          <a:ext cx="5515745" cy="3458058"/>
        </a:xfrm>
        <a:prstGeom prst="rect">
          <a:avLst/>
        </a:prstGeom>
      </xdr:spPr>
    </xdr:pic>
    <xdr:clientData/>
  </xdr:twoCellAnchor>
  <xdr:twoCellAnchor>
    <xdr:from>
      <xdr:col>0</xdr:col>
      <xdr:colOff>163286</xdr:colOff>
      <xdr:row>86</xdr:row>
      <xdr:rowOff>108857</xdr:rowOff>
    </xdr:from>
    <xdr:to>
      <xdr:col>4</xdr:col>
      <xdr:colOff>557893</xdr:colOff>
      <xdr:row>101</xdr:row>
      <xdr:rowOff>122464</xdr:rowOff>
    </xdr:to>
    <xdr:sp macro="" textlink="">
      <xdr:nvSpPr>
        <xdr:cNvPr id="7" name="TextBox 6">
          <a:extLst>
            <a:ext uri="{FF2B5EF4-FFF2-40B4-BE49-F238E27FC236}">
              <a16:creationId xmlns:a16="http://schemas.microsoft.com/office/drawing/2014/main" id="{00000000-0008-0000-0F00-000007000000}"/>
            </a:ext>
          </a:extLst>
        </xdr:cNvPr>
        <xdr:cNvSpPr txBox="1"/>
      </xdr:nvSpPr>
      <xdr:spPr>
        <a:xfrm>
          <a:off x="163286" y="17444357"/>
          <a:ext cx="3456214" cy="28711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a:t>
          </a:r>
        </a:p>
        <a:p>
          <a:r>
            <a:rPr lang="en-US" sz="1100"/>
            <a:t>Leg pneumo</a:t>
          </a:r>
          <a:r>
            <a:rPr lang="en-US" sz="1100" baseline="0"/>
            <a:t> forward primer interferes with IAC reaction. </a:t>
          </a:r>
        </a:p>
        <a:p>
          <a:endParaRPr lang="en-US" sz="1100" baseline="0"/>
        </a:p>
        <a:p>
          <a:r>
            <a:rPr lang="en-US" sz="1100" baseline="0"/>
            <a:t>Increasing concentration of Leg pneumo forward primer by 5x overcomes interaction.</a:t>
          </a:r>
        </a:p>
        <a:p>
          <a:endParaRPr lang="en-US" sz="1100" baseline="0"/>
        </a:p>
      </xdr:txBody>
    </xdr:sp>
    <xdr:clientData/>
  </xdr:twoCellAnchor>
  <xdr:twoCellAnchor editAs="oneCell">
    <xdr:from>
      <xdr:col>16</xdr:col>
      <xdr:colOff>0</xdr:colOff>
      <xdr:row>142</xdr:row>
      <xdr:rowOff>0</xdr:rowOff>
    </xdr:from>
    <xdr:to>
      <xdr:col>32</xdr:col>
      <xdr:colOff>103159</xdr:colOff>
      <xdr:row>154</xdr:row>
      <xdr:rowOff>46271</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5"/>
        <a:stretch>
          <a:fillRect/>
        </a:stretch>
      </xdr:blipFill>
      <xdr:spPr>
        <a:xfrm>
          <a:off x="11306735" y="27689735"/>
          <a:ext cx="12508071" cy="234347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16</xdr:col>
      <xdr:colOff>71437</xdr:colOff>
      <xdr:row>53</xdr:row>
      <xdr:rowOff>161924</xdr:rowOff>
    </xdr:from>
    <xdr:to>
      <xdr:col>25</xdr:col>
      <xdr:colOff>466725</xdr:colOff>
      <xdr:row>68</xdr:row>
      <xdr:rowOff>76199</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554182</xdr:colOff>
      <xdr:row>131</xdr:row>
      <xdr:rowOff>34637</xdr:rowOff>
    </xdr:from>
    <xdr:to>
      <xdr:col>21</xdr:col>
      <xdr:colOff>82434</xdr:colOff>
      <xdr:row>145</xdr:row>
      <xdr:rowOff>58882</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7827818" y="26237046"/>
          <a:ext cx="4983480" cy="2743200"/>
        </a:xfrm>
        <a:prstGeom prst="rect">
          <a:avLst/>
        </a:prstGeom>
      </xdr:spPr>
    </xdr:pic>
    <xdr:clientData/>
  </xdr:twoCellAnchor>
  <xdr:twoCellAnchor editAs="oneCell">
    <xdr:from>
      <xdr:col>9</xdr:col>
      <xdr:colOff>0</xdr:colOff>
      <xdr:row>165</xdr:row>
      <xdr:rowOff>0</xdr:rowOff>
    </xdr:from>
    <xdr:to>
      <xdr:col>14</xdr:col>
      <xdr:colOff>152169</xdr:colOff>
      <xdr:row>179</xdr:row>
      <xdr:rowOff>171718</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3"/>
        <a:stretch>
          <a:fillRect/>
        </a:stretch>
      </xdr:blipFill>
      <xdr:spPr>
        <a:xfrm>
          <a:off x="5446059" y="32709971"/>
          <a:ext cx="3177757" cy="2838718"/>
        </a:xfrm>
        <a:prstGeom prst="rect">
          <a:avLst/>
        </a:prstGeom>
      </xdr:spPr>
    </xdr:pic>
    <xdr:clientData/>
  </xdr:twoCellAnchor>
  <xdr:twoCellAnchor editAs="oneCell">
    <xdr:from>
      <xdr:col>14</xdr:col>
      <xdr:colOff>97709</xdr:colOff>
      <xdr:row>164</xdr:row>
      <xdr:rowOff>89899</xdr:rowOff>
    </xdr:from>
    <xdr:to>
      <xdr:col>20</xdr:col>
      <xdr:colOff>401206</xdr:colOff>
      <xdr:row>182</xdr:row>
      <xdr:rowOff>119385</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4"/>
        <a:stretch>
          <a:fillRect/>
        </a:stretch>
      </xdr:blipFill>
      <xdr:spPr>
        <a:xfrm>
          <a:off x="8611594" y="32562822"/>
          <a:ext cx="3952304" cy="3458486"/>
        </a:xfrm>
        <a:prstGeom prst="rect">
          <a:avLst/>
        </a:prstGeom>
      </xdr:spPr>
    </xdr:pic>
    <xdr:clientData/>
  </xdr:twoCellAnchor>
  <xdr:twoCellAnchor editAs="oneCell">
    <xdr:from>
      <xdr:col>7</xdr:col>
      <xdr:colOff>223514</xdr:colOff>
      <xdr:row>164</xdr:row>
      <xdr:rowOff>40557</xdr:rowOff>
    </xdr:from>
    <xdr:to>
      <xdr:col>14</xdr:col>
      <xdr:colOff>121939</xdr:colOff>
      <xdr:row>183</xdr:row>
      <xdr:rowOff>100853</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3"/>
        <a:stretch>
          <a:fillRect/>
        </a:stretch>
      </xdr:blipFill>
      <xdr:spPr>
        <a:xfrm>
          <a:off x="4459338" y="32560028"/>
          <a:ext cx="4134248" cy="3679796"/>
        </a:xfrm>
        <a:prstGeom prst="rect">
          <a:avLst/>
        </a:prstGeom>
      </xdr:spPr>
    </xdr:pic>
    <xdr:clientData/>
  </xdr:twoCellAnchor>
  <xdr:twoCellAnchor editAs="oneCell">
    <xdr:from>
      <xdr:col>7</xdr:col>
      <xdr:colOff>211448</xdr:colOff>
      <xdr:row>183</xdr:row>
      <xdr:rowOff>132769</xdr:rowOff>
    </xdr:from>
    <xdr:to>
      <xdr:col>14</xdr:col>
      <xdr:colOff>227997</xdr:colOff>
      <xdr:row>202</xdr:row>
      <xdr:rowOff>83333</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5"/>
        <a:stretch>
          <a:fillRect/>
        </a:stretch>
      </xdr:blipFill>
      <xdr:spPr>
        <a:xfrm>
          <a:off x="4468390" y="36225192"/>
          <a:ext cx="4273492" cy="3570064"/>
        </a:xfrm>
        <a:prstGeom prst="rect">
          <a:avLst/>
        </a:prstGeom>
      </xdr:spPr>
    </xdr:pic>
    <xdr:clientData/>
  </xdr:twoCellAnchor>
  <xdr:twoCellAnchor editAs="oneCell">
    <xdr:from>
      <xdr:col>14</xdr:col>
      <xdr:colOff>226781</xdr:colOff>
      <xdr:row>183</xdr:row>
      <xdr:rowOff>131884</xdr:rowOff>
    </xdr:from>
    <xdr:to>
      <xdr:col>19</xdr:col>
      <xdr:colOff>589504</xdr:colOff>
      <xdr:row>202</xdr:row>
      <xdr:rowOff>1118</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6"/>
        <a:stretch>
          <a:fillRect/>
        </a:stretch>
      </xdr:blipFill>
      <xdr:spPr>
        <a:xfrm>
          <a:off x="8740666" y="36224307"/>
          <a:ext cx="3403396" cy="348873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9</xdr:col>
      <xdr:colOff>14287</xdr:colOff>
      <xdr:row>5</xdr:row>
      <xdr:rowOff>152401</xdr:rowOff>
    </xdr:from>
    <xdr:to>
      <xdr:col>18</xdr:col>
      <xdr:colOff>361950</xdr:colOff>
      <xdr:row>37</xdr:row>
      <xdr:rowOff>171451</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460843</xdr:colOff>
      <xdr:row>7</xdr:row>
      <xdr:rowOff>9525</xdr:rowOff>
    </xdr:from>
    <xdr:to>
      <xdr:col>9</xdr:col>
      <xdr:colOff>321078</xdr:colOff>
      <xdr:row>36</xdr:row>
      <xdr:rowOff>134125</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460843" y="1285875"/>
          <a:ext cx="6346760" cy="56491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9</xdr:col>
      <xdr:colOff>661987</xdr:colOff>
      <xdr:row>5</xdr:row>
      <xdr:rowOff>28576</xdr:rowOff>
    </xdr:from>
    <xdr:to>
      <xdr:col>19</xdr:col>
      <xdr:colOff>342900</xdr:colOff>
      <xdr:row>37</xdr:row>
      <xdr:rowOff>47626</xdr:rowOff>
    </xdr:to>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209550</xdr:colOff>
      <xdr:row>6</xdr:row>
      <xdr:rowOff>38100</xdr:rowOff>
    </xdr:from>
    <xdr:to>
      <xdr:col>8</xdr:col>
      <xdr:colOff>648573</xdr:colOff>
      <xdr:row>35</xdr:row>
      <xdr:rowOff>19818</xdr:rowOff>
    </xdr:to>
    <xdr:pic>
      <xdr:nvPicPr>
        <xdr:cNvPr id="6" name="Picture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2"/>
        <a:stretch>
          <a:fillRect/>
        </a:stretch>
      </xdr:blipFill>
      <xdr:spPr>
        <a:xfrm>
          <a:off x="209550" y="1123950"/>
          <a:ext cx="6258798" cy="55062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504824</xdr:colOff>
      <xdr:row>8</xdr:row>
      <xdr:rowOff>14286</xdr:rowOff>
    </xdr:from>
    <xdr:to>
      <xdr:col>14</xdr:col>
      <xdr:colOff>523875</xdr:colOff>
      <xdr:row>41</xdr:row>
      <xdr:rowOff>161924</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304800</xdr:colOff>
      <xdr:row>7</xdr:row>
      <xdr:rowOff>133350</xdr:rowOff>
    </xdr:from>
    <xdr:to>
      <xdr:col>24</xdr:col>
      <xdr:colOff>181795</xdr:colOff>
      <xdr:row>38</xdr:row>
      <xdr:rowOff>48314</xdr:rowOff>
    </xdr:to>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10344150" y="1266825"/>
          <a:ext cx="5877745" cy="493463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5</xdr:col>
      <xdr:colOff>504824</xdr:colOff>
      <xdr:row>8</xdr:row>
      <xdr:rowOff>14287</xdr:rowOff>
    </xdr:from>
    <xdr:to>
      <xdr:col>13</xdr:col>
      <xdr:colOff>419099</xdr:colOff>
      <xdr:row>39</xdr:row>
      <xdr:rowOff>0</xdr:rowOff>
    </xdr:to>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9</xdr:row>
      <xdr:rowOff>0</xdr:rowOff>
    </xdr:from>
    <xdr:to>
      <xdr:col>22</xdr:col>
      <xdr:colOff>410284</xdr:colOff>
      <xdr:row>36</xdr:row>
      <xdr:rowOff>86455</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10077450" y="1657350"/>
          <a:ext cx="5077534" cy="522995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20</xdr:col>
      <xdr:colOff>262538</xdr:colOff>
      <xdr:row>8</xdr:row>
      <xdr:rowOff>42155</xdr:rowOff>
    </xdr:from>
    <xdr:to>
      <xdr:col>27</xdr:col>
      <xdr:colOff>605811</xdr:colOff>
      <xdr:row>19</xdr:row>
      <xdr:rowOff>70730</xdr:rowOff>
    </xdr:to>
    <xdr:pic>
      <xdr:nvPicPr>
        <xdr:cNvPr id="2" name="Picture 1" descr="Schematic Representation of the Primer Optimization Plate Layout.">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74413" y="1566155"/>
          <a:ext cx="4610473"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13</xdr:col>
      <xdr:colOff>554037</xdr:colOff>
      <xdr:row>41</xdr:row>
      <xdr:rowOff>123825</xdr:rowOff>
    </xdr:from>
    <xdr:to>
      <xdr:col>23</xdr:col>
      <xdr:colOff>282575</xdr:colOff>
      <xdr:row>56</xdr:row>
      <xdr:rowOff>149225</xdr:rowOff>
    </xdr:to>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141286</xdr:colOff>
      <xdr:row>41</xdr:row>
      <xdr:rowOff>120650</xdr:rowOff>
    </xdr:from>
    <xdr:to>
      <xdr:col>35</xdr:col>
      <xdr:colOff>12699</xdr:colOff>
      <xdr:row>56</xdr:row>
      <xdr:rowOff>152400</xdr:rowOff>
    </xdr:to>
    <xdr:graphicFrame macro="">
      <xdr:nvGraphicFramePr>
        <xdr:cNvPr id="3" name="Chart 2">
          <a:extLst>
            <a:ext uri="{FF2B5EF4-FFF2-40B4-BE49-F238E27FC236}">
              <a16:creationId xmlns:a16="http://schemas.microsoft.com/office/drawing/2014/main" id="{00000000-0008-0000-1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582612</xdr:colOff>
      <xdr:row>69</xdr:row>
      <xdr:rowOff>82550</xdr:rowOff>
    </xdr:from>
    <xdr:to>
      <xdr:col>21</xdr:col>
      <xdr:colOff>744537</xdr:colOff>
      <xdr:row>84</xdr:row>
      <xdr:rowOff>114300</xdr:rowOff>
    </xdr:to>
    <xdr:graphicFrame macro="">
      <xdr:nvGraphicFramePr>
        <xdr:cNvPr id="4" name="Chart 3">
          <a:extLst>
            <a:ext uri="{FF2B5EF4-FFF2-40B4-BE49-F238E27FC236}">
              <a16:creationId xmlns:a16="http://schemas.microsoft.com/office/drawing/2014/main" id="{00000000-0008-0000-1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477931</xdr:colOff>
      <xdr:row>78</xdr:row>
      <xdr:rowOff>109256</xdr:rowOff>
    </xdr:from>
    <xdr:to>
      <xdr:col>30</xdr:col>
      <xdr:colOff>515471</xdr:colOff>
      <xdr:row>87</xdr:row>
      <xdr:rowOff>549087</xdr:rowOff>
    </xdr:to>
    <xdr:sp macro="" textlink="">
      <xdr:nvSpPr>
        <xdr:cNvPr id="5" name="TextBox 4">
          <a:extLst>
            <a:ext uri="{FF2B5EF4-FFF2-40B4-BE49-F238E27FC236}">
              <a16:creationId xmlns:a16="http://schemas.microsoft.com/office/drawing/2014/main" id="{00000000-0008-0000-1600-000005000000}"/>
            </a:ext>
          </a:extLst>
        </xdr:cNvPr>
        <xdr:cNvSpPr txBox="1"/>
      </xdr:nvSpPr>
      <xdr:spPr>
        <a:xfrm>
          <a:off x="14709402" y="15349256"/>
          <a:ext cx="4273363" cy="21543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CONCLUSIONS:</a:t>
          </a:r>
        </a:p>
        <a:p>
          <a:r>
            <a:rPr lang="en-US" sz="1100"/>
            <a:t>Pattern suggests that 400nM F and 400nM</a:t>
          </a:r>
          <a:r>
            <a:rPr lang="en-US" sz="1100" baseline="0"/>
            <a:t> is sufficient for IAC amplification. Concentrations greater than 400nM will be superflous. </a:t>
          </a:r>
        </a:p>
        <a:p>
          <a:r>
            <a:rPr lang="en-US" sz="1100" baseline="0"/>
            <a:t>PCR efficiency okay, within recommended limits: 90 to 110%.</a:t>
          </a:r>
        </a:p>
        <a:p>
          <a:r>
            <a:rPr lang="en-US" sz="1100" baseline="0"/>
            <a:t>Leg pneumo fluorescence unaffected by IAC F2, R primer concentrations from 50 to 800nM. </a:t>
          </a:r>
        </a:p>
        <a:p>
          <a:endParaRPr lang="en-US" sz="1100" baseline="0"/>
        </a:p>
        <a:p>
          <a:r>
            <a:rPr lang="en-US" sz="1100" baseline="0"/>
            <a:t>20210521</a:t>
          </a:r>
        </a:p>
        <a:p>
          <a:r>
            <a:rPr lang="en-US" sz="1100" baseline="0"/>
            <a:t>After probe data, adopting 300nM concentration.</a:t>
          </a:r>
        </a:p>
      </xdr:txBody>
    </xdr:sp>
    <xdr:clientData/>
  </xdr:twoCellAnchor>
  <xdr:twoCellAnchor>
    <xdr:from>
      <xdr:col>32</xdr:col>
      <xdr:colOff>6778</xdr:colOff>
      <xdr:row>0</xdr:row>
      <xdr:rowOff>91786</xdr:rowOff>
    </xdr:from>
    <xdr:to>
      <xdr:col>40</xdr:col>
      <xdr:colOff>536865</xdr:colOff>
      <xdr:row>17</xdr:row>
      <xdr:rowOff>155864</xdr:rowOff>
    </xdr:to>
    <xdr:graphicFrame macro="">
      <xdr:nvGraphicFramePr>
        <xdr:cNvPr id="6" name="Chart 5">
          <a:extLst>
            <a:ext uri="{FF2B5EF4-FFF2-40B4-BE49-F238E27FC236}">
              <a16:creationId xmlns:a16="http://schemas.microsoft.com/office/drawing/2014/main" id="{00000000-0008-0000-1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368672</xdr:colOff>
      <xdr:row>101</xdr:row>
      <xdr:rowOff>103094</xdr:rowOff>
    </xdr:from>
    <xdr:to>
      <xdr:col>29</xdr:col>
      <xdr:colOff>419100</xdr:colOff>
      <xdr:row>119</xdr:row>
      <xdr:rowOff>38100</xdr:rowOff>
    </xdr:to>
    <xdr:graphicFrame macro="">
      <xdr:nvGraphicFramePr>
        <xdr:cNvPr id="7" name="Chart 6">
          <a:extLst>
            <a:ext uri="{FF2B5EF4-FFF2-40B4-BE49-F238E27FC236}">
              <a16:creationId xmlns:a16="http://schemas.microsoft.com/office/drawing/2014/main" id="{00000000-0008-0000-1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35</xdr:col>
      <xdr:colOff>352545</xdr:colOff>
      <xdr:row>23</xdr:row>
      <xdr:rowOff>2</xdr:rowOff>
    </xdr:from>
    <xdr:to>
      <xdr:col>45</xdr:col>
      <xdr:colOff>89646</xdr:colOff>
      <xdr:row>45</xdr:row>
      <xdr:rowOff>155110</xdr:rowOff>
    </xdr:to>
    <xdr:pic>
      <xdr:nvPicPr>
        <xdr:cNvPr id="8" name="Picture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6"/>
        <a:stretch>
          <a:fillRect/>
        </a:stretch>
      </xdr:blipFill>
      <xdr:spPr>
        <a:xfrm>
          <a:off x="21845427" y="4381502"/>
          <a:ext cx="5788278" cy="4346108"/>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14</xdr:col>
      <xdr:colOff>541337</xdr:colOff>
      <xdr:row>19</xdr:row>
      <xdr:rowOff>111125</xdr:rowOff>
    </xdr:from>
    <xdr:to>
      <xdr:col>23</xdr:col>
      <xdr:colOff>406400</xdr:colOff>
      <xdr:row>36</xdr:row>
      <xdr:rowOff>177800</xdr:rowOff>
    </xdr:to>
    <xdr:graphicFrame macro="">
      <xdr:nvGraphicFramePr>
        <xdr:cNvPr id="3" name="Chart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560386</xdr:colOff>
      <xdr:row>19</xdr:row>
      <xdr:rowOff>130175</xdr:rowOff>
    </xdr:from>
    <xdr:to>
      <xdr:col>33</xdr:col>
      <xdr:colOff>400049</xdr:colOff>
      <xdr:row>37</xdr:row>
      <xdr:rowOff>9525</xdr:rowOff>
    </xdr:to>
    <xdr:graphicFrame macro="">
      <xdr:nvGraphicFramePr>
        <xdr:cNvPr id="4" name="Chart 3">
          <a:extLst>
            <a:ext uri="{FF2B5EF4-FFF2-40B4-BE49-F238E27FC236}">
              <a16:creationId xmlns:a16="http://schemas.microsoft.com/office/drawing/2014/main" id="{00000000-0008-0000-1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19050</xdr:colOff>
      <xdr:row>37</xdr:row>
      <xdr:rowOff>149225</xdr:rowOff>
    </xdr:from>
    <xdr:to>
      <xdr:col>33</xdr:col>
      <xdr:colOff>285750</xdr:colOff>
      <xdr:row>52</xdr:row>
      <xdr:rowOff>67235</xdr:rowOff>
    </xdr:to>
    <xdr:sp macro="" textlink="">
      <xdr:nvSpPr>
        <xdr:cNvPr id="6" name="TextBox 5">
          <a:extLst>
            <a:ext uri="{FF2B5EF4-FFF2-40B4-BE49-F238E27FC236}">
              <a16:creationId xmlns:a16="http://schemas.microsoft.com/office/drawing/2014/main" id="{00000000-0008-0000-1700-000006000000}"/>
            </a:ext>
          </a:extLst>
        </xdr:cNvPr>
        <xdr:cNvSpPr txBox="1"/>
      </xdr:nvSpPr>
      <xdr:spPr>
        <a:xfrm>
          <a:off x="16906315" y="7197725"/>
          <a:ext cx="3897406" cy="2775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CONCLUSIONS</a:t>
          </a:r>
        </a:p>
        <a:p>
          <a:r>
            <a:rPr lang="en-US" sz="1100"/>
            <a:t>Previously</a:t>
          </a:r>
          <a:r>
            <a:rPr lang="en-US" sz="1100" baseline="0"/>
            <a:t> conclued in F2_matrix that optimized F, R primer concentrations would be ~400nM. However, this primer/probe data provides additional data suggestion that 300nM for primer concentrations may be more appropriate coupled with probe concentration between 200-400nM. </a:t>
          </a:r>
        </a:p>
        <a:p>
          <a:endParaRPr lang="en-US" sz="1100" baseline="0"/>
        </a:p>
        <a:p>
          <a:r>
            <a:rPr lang="en-US" sz="1100" baseline="0"/>
            <a:t>When used with Leg pneumo primers and probe, optimized IAC:</a:t>
          </a:r>
        </a:p>
        <a:p>
          <a:r>
            <a:rPr lang="en-US" sz="1100" baseline="0"/>
            <a:t>[F]:300nM</a:t>
          </a:r>
        </a:p>
        <a:p>
          <a:r>
            <a:rPr lang="en-US" sz="1100" baseline="0"/>
            <a:t>[R]:300nM</a:t>
          </a:r>
        </a:p>
        <a:p>
          <a:r>
            <a:rPr lang="en-US" sz="1100"/>
            <a:t>[P]:250nM</a:t>
          </a:r>
        </a:p>
        <a:p>
          <a:endParaRPr lang="en-US" sz="1100"/>
        </a:p>
        <a:p>
          <a:r>
            <a:rPr lang="en-US" sz="1100"/>
            <a:t>Also, remember that the error bars are 95% CI</a:t>
          </a:r>
          <a:r>
            <a:rPr lang="en-US" sz="1100" baseline="0"/>
            <a:t> so overlap between neighboring values informative. </a:t>
          </a:r>
          <a:endParaRPr lang="en-US" sz="1100"/>
        </a:p>
      </xdr:txBody>
    </xdr:sp>
    <xdr:clientData/>
  </xdr:twoCellAnchor>
  <xdr:twoCellAnchor>
    <xdr:from>
      <xdr:col>16</xdr:col>
      <xdr:colOff>0</xdr:colOff>
      <xdr:row>84</xdr:row>
      <xdr:rowOff>0</xdr:rowOff>
    </xdr:from>
    <xdr:to>
      <xdr:col>22</xdr:col>
      <xdr:colOff>603250</xdr:colOff>
      <xdr:row>99</xdr:row>
      <xdr:rowOff>28575</xdr:rowOff>
    </xdr:to>
    <xdr:graphicFrame macro="">
      <xdr:nvGraphicFramePr>
        <xdr:cNvPr id="7" name="Chart 6">
          <a:extLst>
            <a:ext uri="{FF2B5EF4-FFF2-40B4-BE49-F238E27FC236}">
              <a16:creationId xmlns:a16="http://schemas.microsoft.com/office/drawing/2014/main" id="{00000000-0008-0000-1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196103</xdr:colOff>
      <xdr:row>8</xdr:row>
      <xdr:rowOff>129988</xdr:rowOff>
    </xdr:from>
    <xdr:to>
      <xdr:col>41</xdr:col>
      <xdr:colOff>532279</xdr:colOff>
      <xdr:row>23</xdr:row>
      <xdr:rowOff>15688</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190500</xdr:colOff>
      <xdr:row>24</xdr:row>
      <xdr:rowOff>123265</xdr:rowOff>
    </xdr:from>
    <xdr:to>
      <xdr:col>42</xdr:col>
      <xdr:colOff>33618</xdr:colOff>
      <xdr:row>32</xdr:row>
      <xdr:rowOff>112059</xdr:rowOff>
    </xdr:to>
    <xdr:sp macro="" textlink="">
      <xdr:nvSpPr>
        <xdr:cNvPr id="8" name="TextBox 7">
          <a:extLst>
            <a:ext uri="{FF2B5EF4-FFF2-40B4-BE49-F238E27FC236}">
              <a16:creationId xmlns:a16="http://schemas.microsoft.com/office/drawing/2014/main" id="{00000000-0008-0000-1700-000008000000}"/>
            </a:ext>
          </a:extLst>
        </xdr:cNvPr>
        <xdr:cNvSpPr txBox="1"/>
      </xdr:nvSpPr>
      <xdr:spPr>
        <a:xfrm>
          <a:off x="21896294" y="4695265"/>
          <a:ext cx="4684059" cy="15127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chart above plots averaged Cq values when probe is held constant at 50, 100, 200nM etc while forward and reverse primers are allowed to vary between 500, 400 and 300nM. Standard deviation (stdev) is expected to be large as dramatic swings in F, R concentration occur. A reduction in stdev may reflect a saturation of probe. Another way of saying, at these three concentrations of F, R primer, the probe conc doesn't much matter. Does this reflect stability? Will need to keep thinking about this one. May also not be relevant figure. 	</a:t>
          </a:r>
          <a:endParaRPr lang="en-US" sz="1100"/>
        </a:p>
      </xdr:txBody>
    </xdr:sp>
    <xdr:clientData/>
  </xdr:twoCellAnchor>
  <xdr:twoCellAnchor>
    <xdr:from>
      <xdr:col>42</xdr:col>
      <xdr:colOff>521073</xdr:colOff>
      <xdr:row>8</xdr:row>
      <xdr:rowOff>96371</xdr:rowOff>
    </xdr:from>
    <xdr:to>
      <xdr:col>50</xdr:col>
      <xdr:colOff>252132</xdr:colOff>
      <xdr:row>22</xdr:row>
      <xdr:rowOff>172571</xdr:rowOff>
    </xdr:to>
    <xdr:graphicFrame macro="">
      <xdr:nvGraphicFramePr>
        <xdr:cNvPr id="9" name="Chart 8">
          <a:extLst>
            <a:ext uri="{FF2B5EF4-FFF2-40B4-BE49-F238E27FC236}">
              <a16:creationId xmlns:a16="http://schemas.microsoft.com/office/drawing/2014/main" id="{00000000-0008-0000-1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420220</xdr:colOff>
      <xdr:row>123</xdr:row>
      <xdr:rowOff>85165</xdr:rowOff>
    </xdr:from>
    <xdr:to>
      <xdr:col>23</xdr:col>
      <xdr:colOff>476249</xdr:colOff>
      <xdr:row>137</xdr:row>
      <xdr:rowOff>161365</xdr:rowOff>
    </xdr:to>
    <xdr:graphicFrame macro="">
      <xdr:nvGraphicFramePr>
        <xdr:cNvPr id="10" name="Chart 9">
          <a:extLst>
            <a:ext uri="{FF2B5EF4-FFF2-40B4-BE49-F238E27FC236}">
              <a16:creationId xmlns:a16="http://schemas.microsoft.com/office/drawing/2014/main" id="{00000000-0008-0000-1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448236</xdr:colOff>
      <xdr:row>138</xdr:row>
      <xdr:rowOff>100853</xdr:rowOff>
    </xdr:from>
    <xdr:to>
      <xdr:col>23</xdr:col>
      <xdr:colOff>493059</xdr:colOff>
      <xdr:row>148</xdr:row>
      <xdr:rowOff>89647</xdr:rowOff>
    </xdr:to>
    <xdr:sp macro="" textlink="">
      <xdr:nvSpPr>
        <xdr:cNvPr id="11" name="TextBox 10">
          <a:extLst>
            <a:ext uri="{FF2B5EF4-FFF2-40B4-BE49-F238E27FC236}">
              <a16:creationId xmlns:a16="http://schemas.microsoft.com/office/drawing/2014/main" id="{00000000-0008-0000-1700-00000B000000}"/>
            </a:ext>
          </a:extLst>
        </xdr:cNvPr>
        <xdr:cNvSpPr txBox="1"/>
      </xdr:nvSpPr>
      <xdr:spPr>
        <a:xfrm>
          <a:off x="10130118" y="26770853"/>
          <a:ext cx="4560794" cy="18937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a:t>
          </a:r>
          <a:r>
            <a:rPr lang="en-US" sz="1100" baseline="0"/>
            <a:t> a lot of variability in Leg pneumo amplificaiton when IAC primer and probe allowed to vary. Data supports no interplay between Leg pneumo F and IAC F2 or R. </a:t>
          </a:r>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42</xdr:row>
      <xdr:rowOff>0</xdr:rowOff>
    </xdr:from>
    <xdr:to>
      <xdr:col>12</xdr:col>
      <xdr:colOff>200734</xdr:colOff>
      <xdr:row>54</xdr:row>
      <xdr:rowOff>171793</xdr:rowOff>
    </xdr:to>
    <xdr:pic>
      <xdr:nvPicPr>
        <xdr:cNvPr id="4" name="Picture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1"/>
        <a:stretch>
          <a:fillRect/>
        </a:stretch>
      </xdr:blipFill>
      <xdr:spPr>
        <a:xfrm>
          <a:off x="2438400" y="9201150"/>
          <a:ext cx="5077534" cy="2457793"/>
        </a:xfrm>
        <a:prstGeom prst="rect">
          <a:avLst/>
        </a:prstGeom>
      </xdr:spPr>
    </xdr:pic>
    <xdr:clientData/>
  </xdr:twoCellAnchor>
  <xdr:twoCellAnchor editAs="oneCell">
    <xdr:from>
      <xdr:col>4</xdr:col>
      <xdr:colOff>19049</xdr:colOff>
      <xdr:row>54</xdr:row>
      <xdr:rowOff>152400</xdr:rowOff>
    </xdr:from>
    <xdr:to>
      <xdr:col>12</xdr:col>
      <xdr:colOff>231576</xdr:colOff>
      <xdr:row>67</xdr:row>
      <xdr:rowOff>47625</xdr:rowOff>
    </xdr:to>
    <xdr:pic>
      <xdr:nvPicPr>
        <xdr:cNvPr id="6" name="Picture 5">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2"/>
        <a:stretch>
          <a:fillRect/>
        </a:stretch>
      </xdr:blipFill>
      <xdr:spPr>
        <a:xfrm>
          <a:off x="2457449" y="11639550"/>
          <a:ext cx="5089327" cy="2371725"/>
        </a:xfrm>
        <a:prstGeom prst="rect">
          <a:avLst/>
        </a:prstGeom>
      </xdr:spPr>
    </xdr:pic>
    <xdr:clientData/>
  </xdr:twoCellAnchor>
  <xdr:twoCellAnchor editAs="oneCell">
    <xdr:from>
      <xdr:col>12</xdr:col>
      <xdr:colOff>590550</xdr:colOff>
      <xdr:row>41</xdr:row>
      <xdr:rowOff>161925</xdr:rowOff>
    </xdr:from>
    <xdr:to>
      <xdr:col>21</xdr:col>
      <xdr:colOff>19753</xdr:colOff>
      <xdr:row>66</xdr:row>
      <xdr:rowOff>86379</xdr:rowOff>
    </xdr:to>
    <xdr:pic>
      <xdr:nvPicPr>
        <xdr:cNvPr id="7" name="Picture 6">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3"/>
        <a:stretch>
          <a:fillRect/>
        </a:stretch>
      </xdr:blipFill>
      <xdr:spPr>
        <a:xfrm>
          <a:off x="7905750" y="9172575"/>
          <a:ext cx="5039428" cy="468695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22</xdr:col>
      <xdr:colOff>152045</xdr:colOff>
      <xdr:row>200</xdr:row>
      <xdr:rowOff>169853</xdr:rowOff>
    </xdr:from>
    <xdr:to>
      <xdr:col>29</xdr:col>
      <xdr:colOff>437795</xdr:colOff>
      <xdr:row>211</xdr:row>
      <xdr:rowOff>436553</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285750</xdr:colOff>
      <xdr:row>200</xdr:row>
      <xdr:rowOff>115128</xdr:rowOff>
    </xdr:from>
    <xdr:to>
      <xdr:col>37</xdr:col>
      <xdr:colOff>567358</xdr:colOff>
      <xdr:row>211</xdr:row>
      <xdr:rowOff>381828</xdr:rowOff>
    </xdr:to>
    <xdr:graphicFrame macro="">
      <xdr:nvGraphicFramePr>
        <xdr:cNvPr id="5" name="Chart 4">
          <a:extLst>
            <a:ext uri="{FF2B5EF4-FFF2-40B4-BE49-F238E27FC236}">
              <a16:creationId xmlns:a16="http://schemas.microsoft.com/office/drawing/2014/main" id="{00000000-0008-0000-1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579782</xdr:colOff>
      <xdr:row>212</xdr:row>
      <xdr:rowOff>57978</xdr:rowOff>
    </xdr:from>
    <xdr:to>
      <xdr:col>24</xdr:col>
      <xdr:colOff>455543</xdr:colOff>
      <xdr:row>219</xdr:row>
      <xdr:rowOff>124239</xdr:rowOff>
    </xdr:to>
    <xdr:sp macro="" textlink="">
      <xdr:nvSpPr>
        <xdr:cNvPr id="6" name="TextBox 5">
          <a:extLst>
            <a:ext uri="{FF2B5EF4-FFF2-40B4-BE49-F238E27FC236}">
              <a16:creationId xmlns:a16="http://schemas.microsoft.com/office/drawing/2014/main" id="{00000000-0008-0000-1900-000006000000}"/>
            </a:ext>
          </a:extLst>
        </xdr:cNvPr>
        <xdr:cNvSpPr txBox="1"/>
      </xdr:nvSpPr>
      <xdr:spPr>
        <a:xfrm>
          <a:off x="12904304" y="42348978"/>
          <a:ext cx="2940326" cy="13997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Conclusions</a:t>
          </a:r>
        </a:p>
        <a:p>
          <a:r>
            <a:rPr lang="en-US" sz="1100"/>
            <a:t>LOQ</a:t>
          </a:r>
          <a:r>
            <a:rPr lang="en-US" sz="1100" baseline="0"/>
            <a:t> doesn't look so straight. Want to repeat with new set of Leg pneumo stds. Also, having Raquel spin down samples before lyophilization may have made a difference. Used stds2-8 to generate linear curve and determine LOQ. Will repeat. </a:t>
          </a:r>
        </a:p>
        <a:p>
          <a:endParaRPr 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7</xdr:col>
      <xdr:colOff>352425</xdr:colOff>
      <xdr:row>12</xdr:row>
      <xdr:rowOff>161924</xdr:rowOff>
    </xdr:from>
    <xdr:to>
      <xdr:col>17</xdr:col>
      <xdr:colOff>395287</xdr:colOff>
      <xdr:row>31</xdr:row>
      <xdr:rowOff>161925</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editAs="oneCell">
    <xdr:from>
      <xdr:col>17</xdr:col>
      <xdr:colOff>325080</xdr:colOff>
      <xdr:row>0</xdr:row>
      <xdr:rowOff>65690</xdr:rowOff>
    </xdr:from>
    <xdr:to>
      <xdr:col>26</xdr:col>
      <xdr:colOff>27522</xdr:colOff>
      <xdr:row>18</xdr:row>
      <xdr:rowOff>66363</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0935930" y="65690"/>
          <a:ext cx="5188842" cy="3810673"/>
        </a:xfrm>
        <a:prstGeom prst="rect">
          <a:avLst/>
        </a:prstGeom>
      </xdr:spPr>
    </xdr:pic>
    <xdr:clientData/>
  </xdr:twoCellAnchor>
  <xdr:twoCellAnchor>
    <xdr:from>
      <xdr:col>9</xdr:col>
      <xdr:colOff>210371</xdr:colOff>
      <xdr:row>22</xdr:row>
      <xdr:rowOff>137933</xdr:rowOff>
    </xdr:from>
    <xdr:to>
      <xdr:col>16</xdr:col>
      <xdr:colOff>461334</xdr:colOff>
      <xdr:row>37</xdr:row>
      <xdr:rowOff>23633</xdr:rowOff>
    </xdr:to>
    <xdr:graphicFrame macro="">
      <xdr:nvGraphicFramePr>
        <xdr:cNvPr id="3" name="Chart 2">
          <a:extLst>
            <a:ext uri="{FF2B5EF4-FFF2-40B4-BE49-F238E27FC236}">
              <a16:creationId xmlns:a16="http://schemas.microsoft.com/office/drawing/2014/main" id="{00000000-0008-0000-1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504265</xdr:colOff>
      <xdr:row>25</xdr:row>
      <xdr:rowOff>134471</xdr:rowOff>
    </xdr:from>
    <xdr:to>
      <xdr:col>25</xdr:col>
      <xdr:colOff>246530</xdr:colOff>
      <xdr:row>40</xdr:row>
      <xdr:rowOff>179294</xdr:rowOff>
    </xdr:to>
    <xdr:sp macro="" textlink="">
      <xdr:nvSpPr>
        <xdr:cNvPr id="4" name="TextBox 3">
          <a:extLst>
            <a:ext uri="{FF2B5EF4-FFF2-40B4-BE49-F238E27FC236}">
              <a16:creationId xmlns:a16="http://schemas.microsoft.com/office/drawing/2014/main" id="{00000000-0008-0000-1B00-000004000000}"/>
            </a:ext>
          </a:extLst>
        </xdr:cNvPr>
        <xdr:cNvSpPr txBox="1"/>
      </xdr:nvSpPr>
      <xdr:spPr>
        <a:xfrm>
          <a:off x="11654118" y="5277971"/>
          <a:ext cx="3978088" cy="29023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Conclusions:</a:t>
          </a:r>
        </a:p>
        <a:p>
          <a:r>
            <a:rPr lang="en-US" sz="1100"/>
            <a:t>This plate was started and then a power outage shut</a:t>
          </a:r>
          <a:r>
            <a:rPr lang="en-US" sz="1100" baseline="0"/>
            <a:t> off the power about 10-15min into start. I began the program anew after deleting the 3min init denaturation. Turned cycles down from 45 to 40. Not being too critical of the data or stressing over the curves. In fact, not doing them. </a:t>
          </a:r>
        </a:p>
        <a:p>
          <a:endParaRPr lang="en-US" sz="1100" baseline="0"/>
        </a:p>
        <a:p>
          <a:r>
            <a:rPr lang="en-US" sz="1100" baseline="0"/>
            <a:t>Instead, this plate was run to validate the hypothesis that the reason I keep detecting DNA in tubes with fewer than 1 copy of DNA is because I"m using the same tip. Re-wrote the dilution protocol to shuck tips and use new ones to perform dilution. This plate and it's failures above std_11 suggest that the tip does matter and can contaminate. </a:t>
          </a:r>
        </a:p>
        <a:p>
          <a:endParaRPr lang="en-US" sz="1100" baseline="0"/>
        </a:p>
        <a:p>
          <a:r>
            <a:rPr lang="en-US" sz="1100" baseline="0"/>
            <a:t>Moving on to next test: sample with std curve using std9..std14 to calculate LOD. </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20</xdr:col>
      <xdr:colOff>13607</xdr:colOff>
      <xdr:row>62</xdr:row>
      <xdr:rowOff>118381</xdr:rowOff>
    </xdr:from>
    <xdr:to>
      <xdr:col>27</xdr:col>
      <xdr:colOff>299357</xdr:colOff>
      <xdr:row>74</xdr:row>
      <xdr:rowOff>4081</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258535</xdr:colOff>
      <xdr:row>79</xdr:row>
      <xdr:rowOff>57604</xdr:rowOff>
    </xdr:from>
    <xdr:to>
      <xdr:col>29</xdr:col>
      <xdr:colOff>187173</xdr:colOff>
      <xdr:row>95</xdr:row>
      <xdr:rowOff>73904</xdr:rowOff>
    </xdr:to>
    <xdr:pic>
      <xdr:nvPicPr>
        <xdr:cNvPr id="5" name="Picture 4">
          <a:extLst>
            <a:ext uri="{FF2B5EF4-FFF2-40B4-BE49-F238E27FC236}">
              <a16:creationId xmlns:a16="http://schemas.microsoft.com/office/drawing/2014/main" id="{00000000-0008-0000-1C00-000005000000}"/>
            </a:ext>
          </a:extLst>
        </xdr:cNvPr>
        <xdr:cNvPicPr>
          <a:picLocks noChangeAspect="1"/>
        </xdr:cNvPicPr>
      </xdr:nvPicPr>
      <xdr:blipFill>
        <a:blip xmlns:r="http://schemas.openxmlformats.org/officeDocument/2006/relationships" r:embed="rId2"/>
        <a:stretch>
          <a:fillRect/>
        </a:stretch>
      </xdr:blipFill>
      <xdr:spPr>
        <a:xfrm>
          <a:off x="13475606" y="16513175"/>
          <a:ext cx="5392359" cy="3054775"/>
        </a:xfrm>
        <a:prstGeom prst="rect">
          <a:avLst/>
        </a:prstGeom>
      </xdr:spPr>
    </xdr:pic>
    <xdr:clientData/>
  </xdr:twoCellAnchor>
  <xdr:twoCellAnchor editAs="oneCell">
    <xdr:from>
      <xdr:col>21</xdr:col>
      <xdr:colOff>0</xdr:colOff>
      <xdr:row>99</xdr:row>
      <xdr:rowOff>0</xdr:rowOff>
    </xdr:from>
    <xdr:to>
      <xdr:col>33</xdr:col>
      <xdr:colOff>530413</xdr:colOff>
      <xdr:row>110</xdr:row>
      <xdr:rowOff>130485</xdr:rowOff>
    </xdr:to>
    <xdr:pic>
      <xdr:nvPicPr>
        <xdr:cNvPr id="6" name="Picture 5">
          <a:extLst>
            <a:ext uri="{FF2B5EF4-FFF2-40B4-BE49-F238E27FC236}">
              <a16:creationId xmlns:a16="http://schemas.microsoft.com/office/drawing/2014/main" id="{00000000-0008-0000-1C00-000006000000}"/>
            </a:ext>
          </a:extLst>
        </xdr:cNvPr>
        <xdr:cNvPicPr>
          <a:picLocks noChangeAspect="1"/>
        </xdr:cNvPicPr>
      </xdr:nvPicPr>
      <xdr:blipFill>
        <a:blip xmlns:r="http://schemas.openxmlformats.org/officeDocument/2006/relationships" r:embed="rId3"/>
        <a:stretch>
          <a:fillRect/>
        </a:stretch>
      </xdr:blipFill>
      <xdr:spPr>
        <a:xfrm>
          <a:off x="12899571" y="20301857"/>
          <a:ext cx="7868748" cy="2219635"/>
        </a:xfrm>
        <a:prstGeom prst="rect">
          <a:avLst/>
        </a:prstGeom>
      </xdr:spPr>
    </xdr:pic>
    <xdr:clientData/>
  </xdr:twoCellAnchor>
  <xdr:twoCellAnchor editAs="oneCell">
    <xdr:from>
      <xdr:col>36</xdr:col>
      <xdr:colOff>0</xdr:colOff>
      <xdr:row>84</xdr:row>
      <xdr:rowOff>0</xdr:rowOff>
    </xdr:from>
    <xdr:to>
      <xdr:col>44</xdr:col>
      <xdr:colOff>455225</xdr:colOff>
      <xdr:row>117</xdr:row>
      <xdr:rowOff>96141</xdr:rowOff>
    </xdr:to>
    <xdr:pic>
      <xdr:nvPicPr>
        <xdr:cNvPr id="7" name="Picture 6">
          <a:extLst>
            <a:ext uri="{FF2B5EF4-FFF2-40B4-BE49-F238E27FC236}">
              <a16:creationId xmlns:a16="http://schemas.microsoft.com/office/drawing/2014/main" id="{00000000-0008-0000-1C00-000007000000}"/>
            </a:ext>
          </a:extLst>
        </xdr:cNvPr>
        <xdr:cNvPicPr>
          <a:picLocks noChangeAspect="1"/>
        </xdr:cNvPicPr>
      </xdr:nvPicPr>
      <xdr:blipFill>
        <a:blip xmlns:r="http://schemas.openxmlformats.org/officeDocument/2006/relationships" r:embed="rId4"/>
        <a:stretch>
          <a:fillRect/>
        </a:stretch>
      </xdr:blipFill>
      <xdr:spPr>
        <a:xfrm>
          <a:off x="22084393" y="17444357"/>
          <a:ext cx="5344271" cy="6382641"/>
        </a:xfrm>
        <a:prstGeom prst="rect">
          <a:avLst/>
        </a:prstGeom>
      </xdr:spPr>
    </xdr:pic>
    <xdr:clientData/>
  </xdr:twoCellAnchor>
  <xdr:twoCellAnchor editAs="oneCell">
    <xdr:from>
      <xdr:col>19</xdr:col>
      <xdr:colOff>354239</xdr:colOff>
      <xdr:row>116</xdr:row>
      <xdr:rowOff>163740</xdr:rowOff>
    </xdr:from>
    <xdr:to>
      <xdr:col>33</xdr:col>
      <xdr:colOff>2443</xdr:colOff>
      <xdr:row>151</xdr:row>
      <xdr:rowOff>53608</xdr:rowOff>
    </xdr:to>
    <xdr:pic>
      <xdr:nvPicPr>
        <xdr:cNvPr id="8" name="Picture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5"/>
        <a:stretch>
          <a:fillRect/>
        </a:stretch>
      </xdr:blipFill>
      <xdr:spPr>
        <a:xfrm>
          <a:off x="12963525" y="23667811"/>
          <a:ext cx="8145010" cy="7125693"/>
        </a:xfrm>
        <a:prstGeom prst="rect">
          <a:avLst/>
        </a:prstGeom>
      </xdr:spPr>
    </xdr:pic>
    <xdr:clientData/>
  </xdr:twoCellAnchor>
  <xdr:twoCellAnchor editAs="oneCell">
    <xdr:from>
      <xdr:col>17</xdr:col>
      <xdr:colOff>454</xdr:colOff>
      <xdr:row>57</xdr:row>
      <xdr:rowOff>9071</xdr:rowOff>
    </xdr:from>
    <xdr:to>
      <xdr:col>27</xdr:col>
      <xdr:colOff>222545</xdr:colOff>
      <xdr:row>78</xdr:row>
      <xdr:rowOff>134007</xdr:rowOff>
    </xdr:to>
    <xdr:pic>
      <xdr:nvPicPr>
        <xdr:cNvPr id="9" name="Picture 8">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6"/>
        <a:stretch>
          <a:fillRect/>
        </a:stretch>
      </xdr:blipFill>
      <xdr:spPr>
        <a:xfrm>
          <a:off x="11013168" y="11693071"/>
          <a:ext cx="6693835" cy="4706007"/>
        </a:xfrm>
        <a:prstGeom prst="rect">
          <a:avLst/>
        </a:prstGeom>
      </xdr:spPr>
    </xdr:pic>
    <xdr:clientData/>
  </xdr:twoCellAnchor>
  <xdr:twoCellAnchor>
    <xdr:from>
      <xdr:col>8</xdr:col>
      <xdr:colOff>376465</xdr:colOff>
      <xdr:row>93</xdr:row>
      <xdr:rowOff>5898</xdr:rowOff>
    </xdr:from>
    <xdr:to>
      <xdr:col>15</xdr:col>
      <xdr:colOff>264886</xdr:colOff>
      <xdr:row>107</xdr:row>
      <xdr:rowOff>82098</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23</xdr:col>
      <xdr:colOff>369796</xdr:colOff>
      <xdr:row>155</xdr:row>
      <xdr:rowOff>179293</xdr:rowOff>
    </xdr:from>
    <xdr:to>
      <xdr:col>32</xdr:col>
      <xdr:colOff>334693</xdr:colOff>
      <xdr:row>168</xdr:row>
      <xdr:rowOff>84455</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8"/>
        <a:stretch>
          <a:fillRect/>
        </a:stretch>
      </xdr:blipFill>
      <xdr:spPr>
        <a:xfrm>
          <a:off x="15340855" y="31701440"/>
          <a:ext cx="5410955" cy="2953162"/>
        </a:xfrm>
        <a:prstGeom prst="rect">
          <a:avLst/>
        </a:prstGeom>
      </xdr:spPr>
    </xdr:pic>
    <xdr:clientData/>
  </xdr:twoCellAnchor>
  <xdr:twoCellAnchor>
    <xdr:from>
      <xdr:col>19</xdr:col>
      <xdr:colOff>560294</xdr:colOff>
      <xdr:row>172</xdr:row>
      <xdr:rowOff>174812</xdr:rowOff>
    </xdr:from>
    <xdr:to>
      <xdr:col>27</xdr:col>
      <xdr:colOff>291353</xdr:colOff>
      <xdr:row>187</xdr:row>
      <xdr:rowOff>60512</xdr:rowOff>
    </xdr:to>
    <xdr:graphicFrame macro="">
      <xdr:nvGraphicFramePr>
        <xdr:cNvPr id="4" name="Chart 3">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28</xdr:col>
      <xdr:colOff>371475</xdr:colOff>
      <xdr:row>27</xdr:row>
      <xdr:rowOff>85725</xdr:rowOff>
    </xdr:from>
    <xdr:to>
      <xdr:col>35</xdr:col>
      <xdr:colOff>66675</xdr:colOff>
      <xdr:row>44</xdr:row>
      <xdr:rowOff>22225</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179294</xdr:colOff>
      <xdr:row>46</xdr:row>
      <xdr:rowOff>56030</xdr:rowOff>
    </xdr:from>
    <xdr:to>
      <xdr:col>35</xdr:col>
      <xdr:colOff>437029</xdr:colOff>
      <xdr:row>60</xdr:row>
      <xdr:rowOff>11206</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15912353" y="8034618"/>
          <a:ext cx="6331323" cy="21515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discussion continued</a:t>
          </a:r>
          <a:r>
            <a:rPr lang="en-US" sz="1100" baseline="0"/>
            <a:t> in analysis LOD under fold production run. Refer to that. 13 copies is incorrect.	20210706 HJK</a:t>
          </a:r>
          <a:endParaRPr 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11</xdr:col>
      <xdr:colOff>285749</xdr:colOff>
      <xdr:row>3</xdr:row>
      <xdr:rowOff>190499</xdr:rowOff>
    </xdr:from>
    <xdr:to>
      <xdr:col>24</xdr:col>
      <xdr:colOff>447675</xdr:colOff>
      <xdr:row>27</xdr:row>
      <xdr:rowOff>180974</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11</xdr:col>
      <xdr:colOff>285749</xdr:colOff>
      <xdr:row>3</xdr:row>
      <xdr:rowOff>190499</xdr:rowOff>
    </xdr:from>
    <xdr:to>
      <xdr:col>24</xdr:col>
      <xdr:colOff>447675</xdr:colOff>
      <xdr:row>27</xdr:row>
      <xdr:rowOff>180974</xdr:rowOff>
    </xdr:to>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11</xdr:col>
      <xdr:colOff>285749</xdr:colOff>
      <xdr:row>3</xdr:row>
      <xdr:rowOff>190499</xdr:rowOff>
    </xdr:from>
    <xdr:to>
      <xdr:col>24</xdr:col>
      <xdr:colOff>447675</xdr:colOff>
      <xdr:row>27</xdr:row>
      <xdr:rowOff>180974</xdr:rowOff>
    </xdr:to>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32</xdr:col>
      <xdr:colOff>419100</xdr:colOff>
      <xdr:row>103</xdr:row>
      <xdr:rowOff>149225</xdr:rowOff>
    </xdr:from>
    <xdr:to>
      <xdr:col>40</xdr:col>
      <xdr:colOff>514350</xdr:colOff>
      <xdr:row>115</xdr:row>
      <xdr:rowOff>142875</xdr:rowOff>
    </xdr:to>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117475</xdr:colOff>
      <xdr:row>137</xdr:row>
      <xdr:rowOff>12700</xdr:rowOff>
    </xdr:from>
    <xdr:to>
      <xdr:col>38</xdr:col>
      <xdr:colOff>422275</xdr:colOff>
      <xdr:row>154</xdr:row>
      <xdr:rowOff>57150</xdr:rowOff>
    </xdr:to>
    <xdr:graphicFrame macro="">
      <xdr:nvGraphicFramePr>
        <xdr:cNvPr id="3" name="Chart 2">
          <a:extLst>
            <a:ext uri="{FF2B5EF4-FFF2-40B4-BE49-F238E27FC236}">
              <a16:creationId xmlns:a16="http://schemas.microsoft.com/office/drawing/2014/main" id="{00000000-0008-0000-2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606425</xdr:colOff>
      <xdr:row>84</xdr:row>
      <xdr:rowOff>31750</xdr:rowOff>
    </xdr:from>
    <xdr:to>
      <xdr:col>39</xdr:col>
      <xdr:colOff>301625</xdr:colOff>
      <xdr:row>101</xdr:row>
      <xdr:rowOff>76200</xdr:rowOff>
    </xdr:to>
    <xdr:graphicFrame macro="">
      <xdr:nvGraphicFramePr>
        <xdr:cNvPr id="4" name="Chart 3">
          <a:extLst>
            <a:ext uri="{FF2B5EF4-FFF2-40B4-BE49-F238E27FC236}">
              <a16:creationId xmlns:a16="http://schemas.microsoft.com/office/drawing/2014/main" id="{00000000-0008-0000-2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11</xdr:col>
      <xdr:colOff>285749</xdr:colOff>
      <xdr:row>3</xdr:row>
      <xdr:rowOff>190499</xdr:rowOff>
    </xdr:from>
    <xdr:to>
      <xdr:col>24</xdr:col>
      <xdr:colOff>447675</xdr:colOff>
      <xdr:row>27</xdr:row>
      <xdr:rowOff>180974</xdr:rowOff>
    </xdr:to>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editAs="oneCell">
    <xdr:from>
      <xdr:col>29</xdr:col>
      <xdr:colOff>542925</xdr:colOff>
      <xdr:row>24</xdr:row>
      <xdr:rowOff>114300</xdr:rowOff>
    </xdr:from>
    <xdr:to>
      <xdr:col>37</xdr:col>
      <xdr:colOff>462911</xdr:colOff>
      <xdr:row>53</xdr:row>
      <xdr:rowOff>79538</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20412075" y="4133850"/>
          <a:ext cx="4796786" cy="4987715"/>
        </a:xfrm>
        <a:prstGeom prst="rect">
          <a:avLst/>
        </a:prstGeom>
      </xdr:spPr>
    </xdr:pic>
    <xdr:clientData/>
  </xdr:twoCellAnchor>
  <xdr:twoCellAnchor editAs="oneCell">
    <xdr:from>
      <xdr:col>47</xdr:col>
      <xdr:colOff>123825</xdr:colOff>
      <xdr:row>7</xdr:row>
      <xdr:rowOff>152400</xdr:rowOff>
    </xdr:from>
    <xdr:to>
      <xdr:col>56</xdr:col>
      <xdr:colOff>29326</xdr:colOff>
      <xdr:row>25</xdr:row>
      <xdr:rowOff>36288</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2"/>
        <a:stretch>
          <a:fillRect/>
        </a:stretch>
      </xdr:blipFill>
      <xdr:spPr>
        <a:xfrm>
          <a:off x="32546925" y="1390650"/>
          <a:ext cx="5391901" cy="3067478"/>
        </a:xfrm>
        <a:prstGeom prst="rect">
          <a:avLst/>
        </a:prstGeom>
      </xdr:spPr>
    </xdr:pic>
    <xdr:clientData/>
  </xdr:twoCellAnchor>
  <xdr:twoCellAnchor editAs="oneCell">
    <xdr:from>
      <xdr:col>48</xdr:col>
      <xdr:colOff>53148</xdr:colOff>
      <xdr:row>26</xdr:row>
      <xdr:rowOff>152815</xdr:rowOff>
    </xdr:from>
    <xdr:to>
      <xdr:col>54</xdr:col>
      <xdr:colOff>61912</xdr:colOff>
      <xdr:row>39</xdr:row>
      <xdr:rowOff>19051</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33085848" y="4496215"/>
          <a:ext cx="3666364" cy="1999836"/>
        </a:xfrm>
        <a:prstGeom prst="rect">
          <a:avLst/>
        </a:prstGeom>
      </xdr:spPr>
    </xdr:pic>
    <xdr:clientData/>
  </xdr:twoCellAnchor>
  <xdr:twoCellAnchor editAs="oneCell">
    <xdr:from>
      <xdr:col>48</xdr:col>
      <xdr:colOff>0</xdr:colOff>
      <xdr:row>44</xdr:row>
      <xdr:rowOff>0</xdr:rowOff>
    </xdr:from>
    <xdr:to>
      <xdr:col>56</xdr:col>
      <xdr:colOff>579068</xdr:colOff>
      <xdr:row>60</xdr:row>
      <xdr:rowOff>116002</xdr:rowOff>
    </xdr:to>
    <xdr:pic>
      <xdr:nvPicPr>
        <xdr:cNvPr id="5" name="Picture 4">
          <a:extLst>
            <a:ext uri="{FF2B5EF4-FFF2-40B4-BE49-F238E27FC236}">
              <a16:creationId xmlns:a16="http://schemas.microsoft.com/office/drawing/2014/main" id="{00000000-0008-0000-2400-000005000000}"/>
            </a:ext>
          </a:extLst>
        </xdr:cNvPr>
        <xdr:cNvPicPr>
          <a:picLocks noChangeAspect="1"/>
        </xdr:cNvPicPr>
      </xdr:nvPicPr>
      <xdr:blipFill>
        <a:blip xmlns:r="http://schemas.openxmlformats.org/officeDocument/2006/relationships" r:embed="rId4"/>
        <a:stretch>
          <a:fillRect/>
        </a:stretch>
      </xdr:blipFill>
      <xdr:spPr>
        <a:xfrm>
          <a:off x="33032700" y="7305675"/>
          <a:ext cx="5455868" cy="2985827"/>
        </a:xfrm>
        <a:prstGeom prst="rect">
          <a:avLst/>
        </a:prstGeom>
      </xdr:spPr>
    </xdr:pic>
    <xdr:clientData/>
  </xdr:twoCellAnchor>
  <xdr:twoCellAnchor editAs="oneCell">
    <xdr:from>
      <xdr:col>39</xdr:col>
      <xdr:colOff>347383</xdr:colOff>
      <xdr:row>87</xdr:row>
      <xdr:rowOff>22412</xdr:rowOff>
    </xdr:from>
    <xdr:to>
      <xdr:col>40</xdr:col>
      <xdr:colOff>1163395</xdr:colOff>
      <xdr:row>92</xdr:row>
      <xdr:rowOff>104896</xdr:rowOff>
    </xdr:to>
    <xdr:pic>
      <xdr:nvPicPr>
        <xdr:cNvPr id="6" name="Picture 5">
          <a:extLst>
            <a:ext uri="{FF2B5EF4-FFF2-40B4-BE49-F238E27FC236}">
              <a16:creationId xmlns:a16="http://schemas.microsoft.com/office/drawing/2014/main" id="{00000000-0008-0000-2400-000006000000}"/>
            </a:ext>
          </a:extLst>
        </xdr:cNvPr>
        <xdr:cNvPicPr>
          <a:picLocks noChangeAspect="1"/>
        </xdr:cNvPicPr>
      </xdr:nvPicPr>
      <xdr:blipFill>
        <a:blip xmlns:r="http://schemas.openxmlformats.org/officeDocument/2006/relationships" r:embed="rId5"/>
        <a:stretch>
          <a:fillRect/>
        </a:stretch>
      </xdr:blipFill>
      <xdr:spPr>
        <a:xfrm>
          <a:off x="26722108" y="14309912"/>
          <a:ext cx="1597062" cy="89210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41</xdr:col>
          <xdr:colOff>171450</xdr:colOff>
          <xdr:row>68</xdr:row>
          <xdr:rowOff>133350</xdr:rowOff>
        </xdr:from>
        <xdr:to>
          <xdr:col>47</xdr:col>
          <xdr:colOff>152400</xdr:colOff>
          <xdr:row>87</xdr:row>
          <xdr:rowOff>38100</xdr:rowOff>
        </xdr:to>
        <xdr:sp macro="" textlink="">
          <xdr:nvSpPr>
            <xdr:cNvPr id="62465" name="Object 1" hidden="1">
              <a:extLst>
                <a:ext uri="{63B3BB69-23CF-44E3-9099-C40C66FF867C}">
                  <a14:compatExt spid="_x0000_s62465"/>
                </a:ext>
                <a:ext uri="{FF2B5EF4-FFF2-40B4-BE49-F238E27FC236}">
                  <a16:creationId xmlns:a16="http://schemas.microsoft.com/office/drawing/2014/main" id="{00000000-0008-0000-2400-000001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447675</xdr:colOff>
          <xdr:row>99</xdr:row>
          <xdr:rowOff>76200</xdr:rowOff>
        </xdr:from>
        <xdr:to>
          <xdr:col>53</xdr:col>
          <xdr:colOff>133350</xdr:colOff>
          <xdr:row>115</xdr:row>
          <xdr:rowOff>9525</xdr:rowOff>
        </xdr:to>
        <xdr:sp macro="" textlink="">
          <xdr:nvSpPr>
            <xdr:cNvPr id="62466" name="Object 2" hidden="1">
              <a:extLst>
                <a:ext uri="{63B3BB69-23CF-44E3-9099-C40C66FF867C}">
                  <a14:compatExt spid="_x0000_s62466"/>
                </a:ext>
                <a:ext uri="{FF2B5EF4-FFF2-40B4-BE49-F238E27FC236}">
                  <a16:creationId xmlns:a16="http://schemas.microsoft.com/office/drawing/2014/main" id="{00000000-0008-0000-2400-000002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39</xdr:col>
      <xdr:colOff>123265</xdr:colOff>
      <xdr:row>100</xdr:row>
      <xdr:rowOff>67235</xdr:rowOff>
    </xdr:from>
    <xdr:to>
      <xdr:col>40</xdr:col>
      <xdr:colOff>1225067</xdr:colOff>
      <xdr:row>109</xdr:row>
      <xdr:rowOff>65191</xdr:rowOff>
    </xdr:to>
    <xdr:pic>
      <xdr:nvPicPr>
        <xdr:cNvPr id="9" name="Picture 8">
          <a:extLst>
            <a:ext uri="{FF2B5EF4-FFF2-40B4-BE49-F238E27FC236}">
              <a16:creationId xmlns:a16="http://schemas.microsoft.com/office/drawing/2014/main" id="{00000000-0008-0000-2400-000009000000}"/>
            </a:ext>
          </a:extLst>
        </xdr:cNvPr>
        <xdr:cNvPicPr>
          <a:picLocks noChangeAspect="1"/>
        </xdr:cNvPicPr>
      </xdr:nvPicPr>
      <xdr:blipFill>
        <a:blip xmlns:r="http://schemas.openxmlformats.org/officeDocument/2006/relationships" r:embed="rId6"/>
        <a:stretch>
          <a:fillRect/>
        </a:stretch>
      </xdr:blipFill>
      <xdr:spPr>
        <a:xfrm>
          <a:off x="26497990" y="16469285"/>
          <a:ext cx="1882852" cy="1455281"/>
        </a:xfrm>
        <a:prstGeom prst="rect">
          <a:avLst/>
        </a:prstGeom>
      </xdr:spPr>
    </xdr:pic>
    <xdr:clientData/>
  </xdr:twoCellAnchor>
  <xdr:twoCellAnchor editAs="oneCell">
    <xdr:from>
      <xdr:col>39</xdr:col>
      <xdr:colOff>0</xdr:colOff>
      <xdr:row>111</xdr:row>
      <xdr:rowOff>0</xdr:rowOff>
    </xdr:from>
    <xdr:to>
      <xdr:col>42</xdr:col>
      <xdr:colOff>688525</xdr:colOff>
      <xdr:row>120</xdr:row>
      <xdr:rowOff>83693</xdr:rowOff>
    </xdr:to>
    <xdr:pic>
      <xdr:nvPicPr>
        <xdr:cNvPr id="10" name="Picture 9">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7"/>
        <a:stretch>
          <a:fillRect/>
        </a:stretch>
      </xdr:blipFill>
      <xdr:spPr>
        <a:xfrm>
          <a:off x="26374725" y="18183225"/>
          <a:ext cx="3469825" cy="1541018"/>
        </a:xfrm>
        <a:prstGeom prst="rect">
          <a:avLst/>
        </a:prstGeom>
      </xdr:spPr>
    </xdr:pic>
    <xdr:clientData/>
  </xdr:twoCellAnchor>
  <xdr:twoCellAnchor editAs="oneCell">
    <xdr:from>
      <xdr:col>39</xdr:col>
      <xdr:colOff>11206</xdr:colOff>
      <xdr:row>133</xdr:row>
      <xdr:rowOff>78440</xdr:rowOff>
    </xdr:from>
    <xdr:to>
      <xdr:col>44</xdr:col>
      <xdr:colOff>83265</xdr:colOff>
      <xdr:row>145</xdr:row>
      <xdr:rowOff>56028</xdr:rowOff>
    </xdr:to>
    <xdr:pic>
      <xdr:nvPicPr>
        <xdr:cNvPr id="11" name="Picture 10">
          <a:extLst>
            <a:ext uri="{FF2B5EF4-FFF2-40B4-BE49-F238E27FC236}">
              <a16:creationId xmlns:a16="http://schemas.microsoft.com/office/drawing/2014/main" id="{00000000-0008-0000-2400-00000B000000}"/>
            </a:ext>
          </a:extLst>
        </xdr:cNvPr>
        <xdr:cNvPicPr>
          <a:picLocks noChangeAspect="1"/>
        </xdr:cNvPicPr>
      </xdr:nvPicPr>
      <xdr:blipFill>
        <a:blip xmlns:r="http://schemas.openxmlformats.org/officeDocument/2006/relationships" r:embed="rId8"/>
        <a:stretch>
          <a:fillRect/>
        </a:stretch>
      </xdr:blipFill>
      <xdr:spPr>
        <a:xfrm>
          <a:off x="26385931" y="21824015"/>
          <a:ext cx="4291634" cy="1920688"/>
        </a:xfrm>
        <a:prstGeom prst="rect">
          <a:avLst/>
        </a:prstGeom>
      </xdr:spPr>
    </xdr:pic>
    <xdr:clientData/>
  </xdr:twoCellAnchor>
  <xdr:twoCellAnchor editAs="oneCell">
    <xdr:from>
      <xdr:col>39</xdr:col>
      <xdr:colOff>0</xdr:colOff>
      <xdr:row>147</xdr:row>
      <xdr:rowOff>156882</xdr:rowOff>
    </xdr:from>
    <xdr:to>
      <xdr:col>44</xdr:col>
      <xdr:colOff>53395</xdr:colOff>
      <xdr:row>156</xdr:row>
      <xdr:rowOff>123263</xdr:rowOff>
    </xdr:to>
    <xdr:pic>
      <xdr:nvPicPr>
        <xdr:cNvPr id="12" name="Picture 11">
          <a:extLst>
            <a:ext uri="{FF2B5EF4-FFF2-40B4-BE49-F238E27FC236}">
              <a16:creationId xmlns:a16="http://schemas.microsoft.com/office/drawing/2014/main" id="{00000000-0008-0000-2400-00000C000000}"/>
            </a:ext>
          </a:extLst>
        </xdr:cNvPr>
        <xdr:cNvPicPr>
          <a:picLocks noChangeAspect="1"/>
        </xdr:cNvPicPr>
      </xdr:nvPicPr>
      <xdr:blipFill>
        <a:blip xmlns:r="http://schemas.openxmlformats.org/officeDocument/2006/relationships" r:embed="rId9"/>
        <a:stretch>
          <a:fillRect/>
        </a:stretch>
      </xdr:blipFill>
      <xdr:spPr>
        <a:xfrm>
          <a:off x="26374725" y="24169407"/>
          <a:ext cx="4272970" cy="1423706"/>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24</xdr:col>
      <xdr:colOff>0</xdr:colOff>
      <xdr:row>24</xdr:row>
      <xdr:rowOff>0</xdr:rowOff>
    </xdr:from>
    <xdr:to>
      <xdr:col>27</xdr:col>
      <xdr:colOff>225542</xdr:colOff>
      <xdr:row>26</xdr:row>
      <xdr:rowOff>41325</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4954250" y="3886200"/>
          <a:ext cx="2273417" cy="965250"/>
        </a:xfrm>
        <a:prstGeom prst="rect">
          <a:avLst/>
        </a:prstGeom>
      </xdr:spPr>
    </xdr:pic>
    <xdr:clientData/>
  </xdr:twoCellAnchor>
  <xdr:twoCellAnchor editAs="oneCell">
    <xdr:from>
      <xdr:col>24</xdr:col>
      <xdr:colOff>175016</xdr:colOff>
      <xdr:row>34</xdr:row>
      <xdr:rowOff>133531</xdr:rowOff>
    </xdr:from>
    <xdr:to>
      <xdr:col>29</xdr:col>
      <xdr:colOff>596781</xdr:colOff>
      <xdr:row>49</xdr:row>
      <xdr:rowOff>142876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15129266" y="6239056"/>
          <a:ext cx="3650740" cy="2438220"/>
        </a:xfrm>
        <a:prstGeom prst="rect">
          <a:avLst/>
        </a:prstGeom>
      </xdr:spPr>
    </xdr:pic>
    <xdr:clientData/>
  </xdr:twoCellAnchor>
  <xdr:twoCellAnchor editAs="oneCell">
    <xdr:from>
      <xdr:col>29</xdr:col>
      <xdr:colOff>19050</xdr:colOff>
      <xdr:row>24</xdr:row>
      <xdr:rowOff>66675</xdr:rowOff>
    </xdr:from>
    <xdr:to>
      <xdr:col>32</xdr:col>
      <xdr:colOff>406514</xdr:colOff>
      <xdr:row>25</xdr:row>
      <xdr:rowOff>54014</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18202275" y="3952875"/>
          <a:ext cx="2216264" cy="749339"/>
        </a:xfrm>
        <a:prstGeom prst="rect">
          <a:avLst/>
        </a:prstGeom>
      </xdr:spPr>
    </xdr:pic>
    <xdr:clientData/>
  </xdr:twoCellAnchor>
  <xdr:twoCellAnchor editAs="oneCell">
    <xdr:from>
      <xdr:col>28</xdr:col>
      <xdr:colOff>533400</xdr:colOff>
      <xdr:row>28</xdr:row>
      <xdr:rowOff>85725</xdr:rowOff>
    </xdr:from>
    <xdr:to>
      <xdr:col>32</xdr:col>
      <xdr:colOff>292213</xdr:colOff>
      <xdr:row>32</xdr:row>
      <xdr:rowOff>152438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18107025" y="5219700"/>
          <a:ext cx="2197213" cy="742988"/>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22</xdr:col>
      <xdr:colOff>561975</xdr:colOff>
      <xdr:row>1</xdr:row>
      <xdr:rowOff>9525</xdr:rowOff>
    </xdr:from>
    <xdr:to>
      <xdr:col>28</xdr:col>
      <xdr:colOff>57590</xdr:colOff>
      <xdr:row>8</xdr:row>
      <xdr:rowOff>19259</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14192250" y="171450"/>
          <a:ext cx="3153215" cy="1495634"/>
        </a:xfrm>
        <a:prstGeom prst="rect">
          <a:avLst/>
        </a:prstGeom>
      </xdr:spPr>
    </xdr:pic>
    <xdr:clientData/>
  </xdr:twoCellAnchor>
  <xdr:twoCellAnchor editAs="oneCell">
    <xdr:from>
      <xdr:col>22</xdr:col>
      <xdr:colOff>238125</xdr:colOff>
      <xdr:row>8</xdr:row>
      <xdr:rowOff>152400</xdr:rowOff>
    </xdr:from>
    <xdr:to>
      <xdr:col>29</xdr:col>
      <xdr:colOff>361950</xdr:colOff>
      <xdr:row>20</xdr:row>
      <xdr:rowOff>76200</xdr:rowOff>
    </xdr:to>
    <xdr:pic>
      <xdr:nvPicPr>
        <xdr:cNvPr id="3" name="Picture 2">
          <a:extLst>
            <a:ext uri="{FF2B5EF4-FFF2-40B4-BE49-F238E27FC236}">
              <a16:creationId xmlns:a16="http://schemas.microsoft.com/office/drawing/2014/main" id="{00000000-0008-0000-2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68400" y="1800225"/>
          <a:ext cx="4391025" cy="252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xml><?xml version="1.0" encoding="utf-8"?>
<xdr:wsDr xmlns:xdr="http://schemas.openxmlformats.org/drawingml/2006/spreadsheetDrawing" xmlns:a="http://schemas.openxmlformats.org/drawingml/2006/main">
  <xdr:twoCellAnchor>
    <xdr:from>
      <xdr:col>6</xdr:col>
      <xdr:colOff>338137</xdr:colOff>
      <xdr:row>6</xdr:row>
      <xdr:rowOff>95250</xdr:rowOff>
    </xdr:from>
    <xdr:to>
      <xdr:col>14</xdr:col>
      <xdr:colOff>33337</xdr:colOff>
      <xdr:row>20</xdr:row>
      <xdr:rowOff>171450</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harley_king_luminultra_com/Documents/Documents/Exp800-automation/Exp800.11%20Testing%204%20amoA%20primer%20sets/Exp800.11_Testing_4_amoA_primer_se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f"/>
      <sheetName val="std_curve_Pair_5"/>
      <sheetName val="std_curve_Pair_6"/>
      <sheetName val="std_curve_Pair_7"/>
      <sheetName val="std_curve_Pair_8"/>
      <sheetName val="melt_curve"/>
      <sheetName val="Dextran_vs_None"/>
      <sheetName val="melt_no_dextran"/>
      <sheetName val="primer_opt"/>
      <sheetName val="melt_curves"/>
      <sheetName val="melt_w_dextran"/>
      <sheetName val="p5_matrix"/>
      <sheetName val="row A vs B"/>
      <sheetName val="row A vs D"/>
      <sheetName val="row A vs E F G"/>
      <sheetName val="p6_50_vs_800"/>
      <sheetName val="p6_50_vs_300"/>
    </sheetNames>
    <sheetDataSet>
      <sheetData sheetId="0"/>
      <sheetData sheetId="1"/>
      <sheetData sheetId="2"/>
      <sheetData sheetId="3"/>
      <sheetData sheetId="4"/>
      <sheetData sheetId="5"/>
      <sheetData sheetId="6"/>
      <sheetData sheetId="7"/>
      <sheetData sheetId="8"/>
      <sheetData sheetId="9">
        <row r="4">
          <cell r="C4">
            <v>10</v>
          </cell>
        </row>
        <row r="30">
          <cell r="C30">
            <v>12</v>
          </cell>
        </row>
        <row r="32">
          <cell r="C32">
            <v>100</v>
          </cell>
        </row>
      </sheetData>
      <sheetData sheetId="10"/>
      <sheetData sheetId="11"/>
      <sheetData sheetId="12"/>
      <sheetData sheetId="13"/>
      <sheetData sheetId="14"/>
      <sheetData sheetId="15"/>
      <sheetData sheetId="16"/>
      <sheetData sheetId="17"/>
    </sheetDataSet>
  </externalBook>
</externalLink>
</file>

<file path=xl/persons/person.xml><?xml version="1.0" encoding="utf-8"?>
<personList xmlns="http://schemas.microsoft.com/office/spreadsheetml/2018/threadedcomments" xmlns:x="http://schemas.openxmlformats.org/spreadsheetml/2006/main">
  <person displayName="Harley King" id="{C036E568-2483-44DB-BB40-AA55BED6ED1F}" userId="S::harley.king@luminultra.com::2c254dfb-e2a7-4e50-8474-ae320d9382e0" providerId="AD"/>
</personList>
</file>

<file path=xl/pivotCache/_rels/pivotCacheDefinition1.xml.rels><?xml version="1.0" encoding="UTF-8" standalone="yes"?>
<Relationships xmlns="http://schemas.openxmlformats.org/package/2006/relationships"><Relationship Id="rId3" Type="http://schemas.microsoft.com/office/2019/04/relationships/externalLinkLongPath" Target="qPCR/20210518_071058_Exp800.10_IAC_F_vs_F2_with_Lp_F.xls?E2C60C1F" TargetMode="External"/><Relationship Id="rId2" Type="http://schemas.openxmlformats.org/officeDocument/2006/relationships/externalLinkPath" Target="file:///\\E2C60C1F\20210518_071058_Exp800.10_IAC_F_vs_F2_with_Lp_F.xls"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3" Type="http://schemas.microsoft.com/office/2019/04/relationships/externalLinkLongPath" Target="qPCR/20210518_071058_Exp800.10_IAC_F_vs_F2_with_Lp_F.xls?E2C60C1F" TargetMode="External"/><Relationship Id="rId2" Type="http://schemas.openxmlformats.org/officeDocument/2006/relationships/externalLinkPath" Target="file:///\\E2C60C1F\20210518_071058_Exp800.10_IAC_F_vs_F2_with_Lp_F.xls"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ley King" refreshedDate="44334.587031828705" createdVersion="1" refreshedVersion="7" recordCount="11329" xr:uid="{337ACC07-F95C-4B43-B177-6CF96883E066}">
  <cacheSource type="worksheet">
    <worksheetSource ref="A1:E65536" sheet="Detail Melt Result" r:id="rId2"/>
  </cacheSource>
  <cacheFields count="5">
    <cacheField name="Well" numFmtId="0">
      <sharedItems containsBlank="1" count="97">
        <s v="A01"/>
        <s v="A02"/>
        <s v="A03"/>
        <s v="A04"/>
        <s v="A05"/>
        <s v="A06"/>
        <s v="A07"/>
        <s v="A08"/>
        <s v="A09"/>
        <s v="A10"/>
        <s v="A11"/>
        <s v="A12"/>
        <s v="B01"/>
        <s v="B02"/>
        <s v="B03"/>
        <s v="B04"/>
        <s v="B05"/>
        <s v="B06"/>
        <s v="B07"/>
        <s v="B08"/>
        <s v="B09"/>
        <s v="B10"/>
        <s v="B11"/>
        <s v="B12"/>
        <s v="C01"/>
        <s v="C02"/>
        <s v="C03"/>
        <s v="C04"/>
        <s v="C05"/>
        <s v="C06"/>
        <s v="C07"/>
        <s v="C08"/>
        <s v="C09"/>
        <s v="C10"/>
        <s v="C11"/>
        <s v="C12"/>
        <s v="D01"/>
        <s v="D02"/>
        <s v="D03"/>
        <s v="D04"/>
        <s v="D05"/>
        <s v="D06"/>
        <s v="D07"/>
        <s v="D08"/>
        <s v="D09"/>
        <s v="D10"/>
        <s v="D11"/>
        <s v="D12"/>
        <s v="E01"/>
        <s v="E02"/>
        <s v="E03"/>
        <s v="E04"/>
        <s v="E05"/>
        <s v="E06"/>
        <s v="E07"/>
        <s v="E08"/>
        <s v="E09"/>
        <s v="E10"/>
        <s v="E11"/>
        <s v="E12"/>
        <s v="F01"/>
        <s v="F02"/>
        <s v="F03"/>
        <s v="F04"/>
        <s v="F05"/>
        <s v="F06"/>
        <s v="F07"/>
        <s v="F08"/>
        <s v="F09"/>
        <s v="F10"/>
        <s v="F11"/>
        <s v="F12"/>
        <s v="G01"/>
        <s v="G02"/>
        <s v="G03"/>
        <s v="G04"/>
        <s v="G05"/>
        <s v="G06"/>
        <s v="G07"/>
        <s v="G08"/>
        <s v="G09"/>
        <s v="G10"/>
        <s v="G11"/>
        <s v="G12"/>
        <s v="H01"/>
        <s v="H02"/>
        <s v="H03"/>
        <s v="H04"/>
        <s v="H05"/>
        <s v="H06"/>
        <s v="H07"/>
        <s v="H08"/>
        <s v="H09"/>
        <s v="H10"/>
        <s v="H11"/>
        <s v="H12"/>
        <m/>
      </sharedItems>
    </cacheField>
    <cacheField name="Sampling Count" numFmtId="0">
      <sharedItems containsString="0" containsBlank="1" containsNumber="1" containsInteger="1" minValue="1" maxValue="118" count="11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m/>
      </sharedItems>
    </cacheField>
    <cacheField name="Temp." numFmtId="0">
      <sharedItems containsString="0" containsBlank="1" containsNumber="1" minValue="60" maxValue="95"/>
    </cacheField>
    <cacheField name="F1" numFmtId="0">
      <sharedItems containsString="0" containsBlank="1" containsNumber="1" minValue="-992.22" maxValue="13632.81"/>
    </cacheField>
    <cacheField name="F4" numFmtId="0">
      <sharedItems containsString="0" containsBlank="1" containsNumber="1" minValue="-1802.86" maxValue="1153.0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ley King" refreshedDate="44334.616125462962" createdVersion="1" refreshedVersion="7" recordCount="4321" xr:uid="{BEBA8067-3A9F-4851-A6FA-B9872C238247}">
  <cacheSource type="worksheet">
    <worksheetSource ref="A1:E65536" sheet="Quan. Raw Data" r:id="rId2"/>
  </cacheSource>
  <cacheFields count="5">
    <cacheField name="Well" numFmtId="0">
      <sharedItems containsBlank="1" count="97">
        <s v="A01"/>
        <s v="A02"/>
        <s v="A03"/>
        <s v="A04"/>
        <s v="A05"/>
        <s v="A06"/>
        <s v="A07"/>
        <s v="A08"/>
        <s v="A09"/>
        <s v="A10"/>
        <s v="A11"/>
        <s v="A12"/>
        <s v="B01"/>
        <s v="B02"/>
        <s v="B03"/>
        <s v="B04"/>
        <s v="B05"/>
        <s v="B06"/>
        <s v="B07"/>
        <s v="B08"/>
        <s v="B09"/>
        <s v="B10"/>
        <s v="B11"/>
        <s v="B12"/>
        <s v="C01"/>
        <s v="C02"/>
        <s v="C03"/>
        <s v="C04"/>
        <s v="C05"/>
        <s v="C06"/>
        <s v="C07"/>
        <s v="C08"/>
        <s v="C09"/>
        <s v="C10"/>
        <s v="C11"/>
        <s v="C12"/>
        <s v="D01"/>
        <s v="D02"/>
        <s v="D03"/>
        <s v="D04"/>
        <s v="D05"/>
        <s v="D06"/>
        <s v="D07"/>
        <s v="D08"/>
        <s v="D09"/>
        <s v="D10"/>
        <s v="D11"/>
        <s v="D12"/>
        <s v="E01"/>
        <s v="E02"/>
        <s v="E03"/>
        <s v="E04"/>
        <s v="E05"/>
        <s v="E06"/>
        <s v="E07"/>
        <s v="E08"/>
        <s v="E09"/>
        <s v="E10"/>
        <s v="E11"/>
        <s v="E12"/>
        <s v="F01"/>
        <s v="F02"/>
        <s v="F03"/>
        <s v="F04"/>
        <s v="F05"/>
        <s v="F06"/>
        <s v="F07"/>
        <s v="F08"/>
        <s v="F09"/>
        <s v="F10"/>
        <s v="F11"/>
        <s v="F12"/>
        <s v="G01"/>
        <s v="G02"/>
        <s v="G03"/>
        <s v="G04"/>
        <s v="G05"/>
        <s v="G06"/>
        <s v="G07"/>
        <s v="G08"/>
        <s v="G09"/>
        <s v="G10"/>
        <s v="G11"/>
        <s v="G12"/>
        <s v="H01"/>
        <s v="H02"/>
        <s v="H03"/>
        <s v="H04"/>
        <s v="H05"/>
        <s v="H06"/>
        <s v="H07"/>
        <s v="H08"/>
        <s v="H09"/>
        <s v="H10"/>
        <s v="H11"/>
        <s v="H12"/>
        <m/>
      </sharedItems>
    </cacheField>
    <cacheField name="Run Stage" numFmtId="0">
      <sharedItems containsString="0" containsBlank="1" containsNumber="1" containsInteger="1" minValue="2" maxValue="2"/>
    </cacheField>
    <cacheField name="Cycles" numFmtId="0">
      <sharedItems containsString="0" containsBlank="1" containsNumber="1" containsInteger="1" minValue="1" maxValue="45" count="46">
        <n v="1"/>
        <n v="2"/>
        <n v="3"/>
        <n v="4"/>
        <n v="5"/>
        <n v="6"/>
        <n v="7"/>
        <n v="8"/>
        <n v="9"/>
        <n v="10"/>
        <n v="11"/>
        <n v="12"/>
        <n v="13"/>
        <n v="14"/>
        <n v="15"/>
        <n v="16"/>
        <n v="17"/>
        <n v="18"/>
        <n v="19"/>
        <n v="20"/>
        <n v="21"/>
        <n v="22"/>
        <n v="23"/>
        <n v="24"/>
        <n v="25"/>
        <n v="26"/>
        <n v="27"/>
        <n v="28"/>
        <n v="29"/>
        <n v="30"/>
        <n v="31"/>
        <n v="32"/>
        <n v="33"/>
        <n v="34"/>
        <n v="35"/>
        <n v="36"/>
        <n v="37"/>
        <n v="38"/>
        <n v="39"/>
        <n v="40"/>
        <n v="41"/>
        <n v="42"/>
        <n v="43"/>
        <n v="44"/>
        <n v="45"/>
        <m/>
      </sharedItems>
    </cacheField>
    <cacheField name="F1" numFmtId="0">
      <sharedItems containsString="0" containsBlank="1" containsNumber="1" minValue="512.70000000000005" maxValue="57108.58"/>
    </cacheField>
    <cacheField name="F4" numFmtId="0">
      <sharedItems containsString="0" containsBlank="1" containsNumber="1" minValue="117.3" maxValue="33273.9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ley King" refreshedDate="44343.306492824071" createdVersion="7" refreshedVersion="7" minRefreshableVersion="3" recordCount="48" xr:uid="{F7194D71-4989-446E-9855-0635040262B6}">
  <cacheSource type="worksheet">
    <worksheetSource ref="H202:K250" sheet="lyophilized"/>
  </cacheSource>
  <cacheFields count="4">
    <cacheField name="ThermalCycler" numFmtId="0">
      <sharedItems count="3">
        <s v="miniS"/>
        <s v="Q16"/>
        <s v="Q96"/>
      </sharedItems>
    </cacheField>
    <cacheField name="Well" numFmtId="0">
      <sharedItems containsSemiMixedTypes="0" containsString="0" containsNumber="1" containsInteger="1" minValue="1" maxValue="8" count="8">
        <n v="1"/>
        <n v="2"/>
        <n v="3"/>
        <n v="4"/>
        <n v="5"/>
        <n v="6"/>
        <n v="7"/>
        <n v="8"/>
      </sharedItems>
    </cacheField>
    <cacheField name="Dye" numFmtId="0">
      <sharedItems count="2">
        <s v="CY5"/>
        <s v="FAM"/>
      </sharedItems>
    </cacheField>
    <cacheField name="Ct_AVG" numFmtId="0">
      <sharedItems containsSemiMixedTypes="0" containsString="0" containsNumber="1" minValue="0" maxValue="41.45999999999999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ley King" refreshedDate="44351.667223379627" createdVersion="7" refreshedVersion="7" minRefreshableVersion="3" recordCount="192" xr:uid="{28E71D79-811F-4B1E-8544-DF47400AB563}">
  <cacheSource type="worksheet">
    <worksheetSource ref="A16:G208" sheet="run5_LOD_vs_LOD"/>
  </cacheSource>
  <cacheFields count="7">
    <cacheField name="ThermalCycler" numFmtId="0">
      <sharedItems count="3">
        <s v="Q96"/>
        <s v="miniS"/>
        <s v="Q16"/>
      </sharedItems>
    </cacheField>
    <cacheField name="Well" numFmtId="0">
      <sharedItems/>
    </cacheField>
    <cacheField name="SampleName" numFmtId="0">
      <sharedItems count="8">
        <s v="gDNA (1e5)"/>
        <s v="gDNA (1e4)"/>
        <s v="gDNA (1e3)"/>
        <s v="gDNA (1e2)"/>
        <s v="gDNA (1e1)"/>
        <s v="gDNA (1e0)"/>
        <s v="pos"/>
        <s v="NTC"/>
      </sharedItems>
    </cacheField>
    <cacheField name="Target" numFmtId="0">
      <sharedItems/>
    </cacheField>
    <cacheField name="Type" numFmtId="0">
      <sharedItems count="2">
        <s v="Leg spp"/>
        <s v="Leg pneumo"/>
      </sharedItems>
    </cacheField>
    <cacheField name="Dye" numFmtId="0">
      <sharedItems count="2">
        <s v="CY5"/>
        <s v="FAM"/>
      </sharedItems>
    </cacheField>
    <cacheField name="Ct" numFmtId="0">
      <sharedItems containsBlank="1" containsMixedTypes="1" containsNumber="1" minValue="20.420000000000002" maxValue="41.15" count="147">
        <n v="38.79"/>
        <n v="23.45"/>
        <n v="36.53"/>
        <n v="25.84"/>
        <n v="36.700000000000003"/>
        <n v="29.29"/>
        <n v="36.67"/>
        <n v="34.9"/>
        <s v=""/>
        <n v="27.49"/>
        <n v="36.26"/>
        <n v="34.71"/>
        <n v="20.440000000000001"/>
        <n v="35.79"/>
        <n v="23.74"/>
        <n v="33.880000000000003"/>
        <n v="27.54"/>
        <n v="31.58"/>
        <n v="34.6"/>
        <n v="31.6"/>
        <n v="31"/>
        <n v="33.659999999999997"/>
        <n v="25.6"/>
        <n v="31.07"/>
        <n v="24.16"/>
        <n v="35.590000000000003"/>
        <n v="24.83"/>
        <n v="36.159999999999997"/>
        <n v="29.33"/>
        <n v="38.42"/>
        <n v="34.39"/>
        <n v="35.58"/>
        <n v="25.93"/>
        <n v="41.15"/>
        <n v="22.16"/>
        <n v="36.119999999999997"/>
        <n v="24.15"/>
        <n v="32.200000000000003"/>
        <n v="27.21"/>
        <n v="31.19"/>
        <n v="34.04"/>
        <n v="31.33"/>
        <n v="38.99"/>
        <n v="31.09"/>
        <n v="33.979999999999997"/>
        <n v="25.27"/>
        <n v="30.99"/>
        <n v="39.39"/>
        <n v="22.98"/>
        <n v="37.5"/>
        <n v="25.59"/>
        <n v="36.369999999999997"/>
        <n v="28.92"/>
        <n v="35.21"/>
        <n v="34.520000000000003"/>
        <n v="37.56"/>
        <n v="37.04"/>
        <n v="35.909999999999997"/>
        <n v="25.96"/>
        <n v="34.619999999999997"/>
        <n v="21.71"/>
        <n v="34.79"/>
        <n v="23.86"/>
        <n v="32.99"/>
        <n v="27.45"/>
        <n v="30.85"/>
        <n v="34.49"/>
        <n v="31.04"/>
        <n v="37.75"/>
        <n v="33.619999999999997"/>
        <n v="25.41"/>
        <n v="31.62"/>
        <n v="39.82"/>
        <n v="23.94"/>
        <n v="37.39"/>
        <n v="25.53"/>
        <n v="36.200000000000003"/>
        <n v="28.03"/>
        <n v="35.72"/>
        <n v="38.229999999999997"/>
        <n v="36.479999999999997"/>
        <n v="27.79"/>
        <n v="35.94"/>
        <n v="38"/>
        <n v="22.22"/>
        <n v="35.26"/>
        <n v="24.84"/>
        <n v="32.49"/>
        <n v="27.48"/>
        <n v="30.82"/>
        <n v="33.56"/>
        <n v="30.91"/>
        <n v="31.42"/>
        <n v="40.619999999999997"/>
        <n v="33.700000000000003"/>
        <n v="24.09"/>
        <n v="31.11"/>
        <n v="35.799999999999997"/>
        <n v="23.02"/>
        <n v="37.340000000000003"/>
        <n v="26.76"/>
        <n v="36.549999999999997"/>
        <n v="29.71"/>
        <n v="35.700000000000003"/>
        <n v="35.299999999999997"/>
        <n v="36.78"/>
        <n v="40.65"/>
        <n v="37.590000000000003"/>
        <n v="26.94"/>
        <n v="36.130000000000003"/>
        <n v="34.21"/>
        <n v="20.420000000000002"/>
        <n v="35.409999999999997"/>
        <n v="24.93"/>
        <n v="32.21"/>
        <n v="27.62"/>
        <n v="31.44"/>
        <n v="34.99"/>
        <n v="31.16"/>
        <n v="36.630000000000003"/>
        <n v="30.9"/>
        <n v="38.049999999999997"/>
        <n v="32.68"/>
        <n v="25.49"/>
        <n v="31.24"/>
        <n v="38.39"/>
        <n v="24.45"/>
        <m/>
        <n v="26.95"/>
        <n v="34.909999999999997"/>
        <n v="30.57"/>
        <n v="34.590000000000003"/>
        <n v="36.75"/>
        <n v="21.63"/>
        <n v="39.4"/>
        <n v="26.11"/>
        <n v="34.57"/>
        <n v="29.8"/>
        <n v="33.76"/>
        <n v="36.590000000000003"/>
        <n v="32.96"/>
        <n v="32.86"/>
        <n v="39.67"/>
        <n v="33.119999999999997"/>
        <n v="28.12"/>
        <n v="34.44"/>
        <n v="34.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29">
  <r>
    <x v="0"/>
    <x v="0"/>
    <n v="60"/>
    <n v="552.52"/>
    <n v="295.89999999999998"/>
  </r>
  <r>
    <x v="1"/>
    <x v="0"/>
    <n v="60"/>
    <n v="224.8"/>
    <n v="90.09"/>
  </r>
  <r>
    <x v="2"/>
    <x v="0"/>
    <n v="60"/>
    <n v="225.31"/>
    <n v="96.41"/>
  </r>
  <r>
    <x v="3"/>
    <x v="0"/>
    <n v="60"/>
    <n v="183.89"/>
    <n v="69.61"/>
  </r>
  <r>
    <x v="4"/>
    <x v="0"/>
    <n v="60"/>
    <n v="206.62"/>
    <n v="90.62"/>
  </r>
  <r>
    <x v="5"/>
    <x v="0"/>
    <n v="60"/>
    <n v="210.79"/>
    <n v="86.95"/>
  </r>
  <r>
    <x v="6"/>
    <x v="0"/>
    <n v="60"/>
    <n v="141.44999999999999"/>
    <n v="28.63"/>
  </r>
  <r>
    <x v="7"/>
    <x v="0"/>
    <n v="60"/>
    <n v="245.55"/>
    <n v="110.43"/>
  </r>
  <r>
    <x v="8"/>
    <x v="0"/>
    <n v="60"/>
    <n v="159.49"/>
    <n v="36.51"/>
  </r>
  <r>
    <x v="9"/>
    <x v="0"/>
    <n v="60"/>
    <n v="160.71"/>
    <n v="32.36"/>
  </r>
  <r>
    <x v="10"/>
    <x v="0"/>
    <n v="60"/>
    <n v="152.55000000000001"/>
    <n v="19.440000000000001"/>
  </r>
  <r>
    <x v="11"/>
    <x v="0"/>
    <n v="60"/>
    <n v="565.02"/>
    <n v="-83.76"/>
  </r>
  <r>
    <x v="12"/>
    <x v="0"/>
    <n v="60"/>
    <n v="405.54"/>
    <n v="0.71"/>
  </r>
  <r>
    <x v="13"/>
    <x v="0"/>
    <n v="60"/>
    <n v="113.99"/>
    <n v="-67.27"/>
  </r>
  <r>
    <x v="14"/>
    <x v="0"/>
    <n v="60"/>
    <n v="163.56"/>
    <n v="-54.16"/>
  </r>
  <r>
    <x v="15"/>
    <x v="0"/>
    <n v="60"/>
    <n v="159.63999999999999"/>
    <n v="-54.37"/>
  </r>
  <r>
    <x v="16"/>
    <x v="0"/>
    <n v="60"/>
    <n v="136.74"/>
    <n v="-65.55"/>
  </r>
  <r>
    <x v="17"/>
    <x v="0"/>
    <n v="60"/>
    <n v="171.61"/>
    <n v="-44.46"/>
  </r>
  <r>
    <x v="18"/>
    <x v="0"/>
    <n v="60"/>
    <n v="168.2"/>
    <n v="-37.700000000000003"/>
  </r>
  <r>
    <x v="19"/>
    <x v="0"/>
    <n v="60"/>
    <n v="222.93"/>
    <n v="-18.989999999999998"/>
  </r>
  <r>
    <x v="20"/>
    <x v="0"/>
    <n v="60"/>
    <n v="198.37"/>
    <n v="-19.73"/>
  </r>
  <r>
    <x v="21"/>
    <x v="0"/>
    <n v="60"/>
    <n v="173.25"/>
    <n v="-29.02"/>
  </r>
  <r>
    <x v="22"/>
    <x v="0"/>
    <n v="60"/>
    <n v="153.5"/>
    <n v="-53.27"/>
  </r>
  <r>
    <x v="23"/>
    <x v="0"/>
    <n v="60"/>
    <n v="61.07"/>
    <n v="-118.4"/>
  </r>
  <r>
    <x v="24"/>
    <x v="0"/>
    <n v="60"/>
    <n v="620.17999999999995"/>
    <n v="459.99"/>
  </r>
  <r>
    <x v="25"/>
    <x v="0"/>
    <n v="60"/>
    <n v="234.77"/>
    <n v="180.83"/>
  </r>
  <r>
    <x v="26"/>
    <x v="0"/>
    <n v="60"/>
    <n v="234.68"/>
    <n v="179.58"/>
  </r>
  <r>
    <x v="27"/>
    <x v="0"/>
    <n v="60"/>
    <n v="148.41999999999999"/>
    <n v="152.69"/>
  </r>
  <r>
    <x v="28"/>
    <x v="0"/>
    <n v="60"/>
    <n v="219.54"/>
    <n v="177.16"/>
  </r>
  <r>
    <x v="29"/>
    <x v="0"/>
    <n v="60"/>
    <n v="300.91000000000003"/>
    <n v="236.86"/>
  </r>
  <r>
    <x v="30"/>
    <x v="0"/>
    <n v="60"/>
    <n v="269.08999999999997"/>
    <n v="221.11"/>
  </r>
  <r>
    <x v="31"/>
    <x v="0"/>
    <n v="60"/>
    <n v="307.91000000000003"/>
    <n v="250.26"/>
  </r>
  <r>
    <x v="32"/>
    <x v="0"/>
    <n v="60"/>
    <n v="235.35"/>
    <n v="203.78"/>
  </r>
  <r>
    <x v="33"/>
    <x v="0"/>
    <n v="60"/>
    <n v="250.62"/>
    <n v="203.77"/>
  </r>
  <r>
    <x v="34"/>
    <x v="0"/>
    <n v="60"/>
    <n v="287"/>
    <n v="226.89"/>
  </r>
  <r>
    <x v="35"/>
    <x v="0"/>
    <n v="60"/>
    <n v="170.47"/>
    <n v="139.74"/>
  </r>
  <r>
    <x v="36"/>
    <x v="0"/>
    <n v="60"/>
    <n v="857.73"/>
    <n v="561.80999999999995"/>
  </r>
  <r>
    <x v="37"/>
    <x v="0"/>
    <n v="60"/>
    <n v="287.04000000000002"/>
    <n v="190.85"/>
  </r>
  <r>
    <x v="38"/>
    <x v="0"/>
    <n v="60"/>
    <n v="337.78"/>
    <n v="227.14"/>
  </r>
  <r>
    <x v="39"/>
    <x v="0"/>
    <n v="60"/>
    <n v="278.97000000000003"/>
    <n v="0"/>
  </r>
  <r>
    <x v="40"/>
    <x v="0"/>
    <n v="60"/>
    <n v="384.21"/>
    <n v="0"/>
  </r>
  <r>
    <x v="41"/>
    <x v="0"/>
    <n v="60"/>
    <n v="350.59"/>
    <n v="244.39"/>
  </r>
  <r>
    <x v="42"/>
    <x v="0"/>
    <n v="60"/>
    <n v="359"/>
    <n v="0"/>
  </r>
  <r>
    <x v="43"/>
    <x v="0"/>
    <n v="60"/>
    <n v="435.68"/>
    <n v="0"/>
  </r>
  <r>
    <x v="44"/>
    <x v="0"/>
    <n v="60"/>
    <n v="412.3"/>
    <n v="0"/>
  </r>
  <r>
    <x v="45"/>
    <x v="0"/>
    <n v="60"/>
    <n v="393.94"/>
    <n v="0"/>
  </r>
  <r>
    <x v="46"/>
    <x v="0"/>
    <n v="60"/>
    <n v="316.27999999999997"/>
    <n v="0"/>
  </r>
  <r>
    <x v="47"/>
    <x v="0"/>
    <n v="60"/>
    <n v="206.48"/>
    <n v="105.85"/>
  </r>
  <r>
    <x v="48"/>
    <x v="0"/>
    <n v="60"/>
    <n v="898.32"/>
    <n v="592.79999999999995"/>
  </r>
  <r>
    <x v="49"/>
    <x v="0"/>
    <n v="60"/>
    <n v="296.33999999999997"/>
    <n v="187.11"/>
  </r>
  <r>
    <x v="50"/>
    <x v="0"/>
    <n v="60"/>
    <n v="250.68"/>
    <n v="179.41"/>
  </r>
  <r>
    <x v="51"/>
    <x v="0"/>
    <n v="60"/>
    <n v="244.16"/>
    <n v="170.75"/>
  </r>
  <r>
    <x v="52"/>
    <x v="0"/>
    <n v="60"/>
    <n v="288.69"/>
    <n v="213.29"/>
  </r>
  <r>
    <x v="53"/>
    <x v="0"/>
    <n v="60"/>
    <n v="350.13"/>
    <n v="0"/>
  </r>
  <r>
    <x v="54"/>
    <x v="0"/>
    <n v="60"/>
    <n v="273.22000000000003"/>
    <n v="0"/>
  </r>
  <r>
    <x v="55"/>
    <x v="0"/>
    <n v="60"/>
    <n v="375.75"/>
    <n v="0"/>
  </r>
  <r>
    <x v="56"/>
    <x v="0"/>
    <n v="60"/>
    <n v="326.93"/>
    <n v="0"/>
  </r>
  <r>
    <x v="57"/>
    <x v="0"/>
    <n v="60"/>
    <n v="353.86"/>
    <n v="0"/>
  </r>
  <r>
    <x v="58"/>
    <x v="0"/>
    <n v="60"/>
    <n v="331.98"/>
    <n v="0"/>
  </r>
  <r>
    <x v="59"/>
    <x v="0"/>
    <n v="60"/>
    <n v="240.51"/>
    <n v="158.12"/>
  </r>
  <r>
    <x v="60"/>
    <x v="0"/>
    <n v="60"/>
    <n v="758.08"/>
    <n v="494.4"/>
  </r>
  <r>
    <x v="61"/>
    <x v="0"/>
    <n v="60"/>
    <n v="303.82"/>
    <n v="179.56"/>
  </r>
  <r>
    <x v="62"/>
    <x v="0"/>
    <n v="60"/>
    <n v="299.11"/>
    <n v="219.78"/>
  </r>
  <r>
    <x v="63"/>
    <x v="0"/>
    <n v="60"/>
    <n v="281.76"/>
    <n v="197.27"/>
  </r>
  <r>
    <x v="64"/>
    <x v="0"/>
    <n v="60"/>
    <n v="387.13"/>
    <n v="0"/>
  </r>
  <r>
    <x v="65"/>
    <x v="0"/>
    <n v="60"/>
    <n v="360.94"/>
    <n v="0"/>
  </r>
  <r>
    <x v="66"/>
    <x v="0"/>
    <n v="60"/>
    <n v="341.62"/>
    <n v="0"/>
  </r>
  <r>
    <x v="67"/>
    <x v="0"/>
    <n v="60"/>
    <n v="443.98"/>
    <n v="0"/>
  </r>
  <r>
    <x v="68"/>
    <x v="0"/>
    <n v="60"/>
    <n v="341.28"/>
    <n v="0"/>
  </r>
  <r>
    <x v="69"/>
    <x v="0"/>
    <n v="60"/>
    <n v="295.07"/>
    <n v="167.76"/>
  </r>
  <r>
    <x v="70"/>
    <x v="0"/>
    <n v="60"/>
    <n v="391.96"/>
    <n v="252.52"/>
  </r>
  <r>
    <x v="71"/>
    <x v="0"/>
    <n v="60"/>
    <n v="238.66"/>
    <n v="116.27"/>
  </r>
  <r>
    <x v="72"/>
    <x v="0"/>
    <n v="60"/>
    <n v="0"/>
    <n v="0"/>
  </r>
  <r>
    <x v="73"/>
    <x v="0"/>
    <n v="60"/>
    <n v="0"/>
    <n v="0"/>
  </r>
  <r>
    <x v="74"/>
    <x v="0"/>
    <n v="60"/>
    <n v="0"/>
    <n v="0"/>
  </r>
  <r>
    <x v="75"/>
    <x v="0"/>
    <n v="60"/>
    <n v="0"/>
    <n v="0"/>
  </r>
  <r>
    <x v="76"/>
    <x v="0"/>
    <n v="60"/>
    <n v="0"/>
    <n v="0"/>
  </r>
  <r>
    <x v="77"/>
    <x v="0"/>
    <n v="60"/>
    <n v="0"/>
    <n v="0"/>
  </r>
  <r>
    <x v="78"/>
    <x v="0"/>
    <n v="60"/>
    <n v="0"/>
    <n v="0"/>
  </r>
  <r>
    <x v="79"/>
    <x v="0"/>
    <n v="60"/>
    <n v="0"/>
    <n v="0"/>
  </r>
  <r>
    <x v="80"/>
    <x v="0"/>
    <n v="60"/>
    <n v="0"/>
    <n v="0"/>
  </r>
  <r>
    <x v="81"/>
    <x v="0"/>
    <n v="60"/>
    <n v="0"/>
    <n v="0"/>
  </r>
  <r>
    <x v="82"/>
    <x v="0"/>
    <n v="60"/>
    <n v="0"/>
    <n v="0"/>
  </r>
  <r>
    <x v="83"/>
    <x v="0"/>
    <n v="60"/>
    <n v="0"/>
    <n v="0"/>
  </r>
  <r>
    <x v="84"/>
    <x v="0"/>
    <n v="60"/>
    <n v="0"/>
    <n v="0"/>
  </r>
  <r>
    <x v="85"/>
    <x v="0"/>
    <n v="60"/>
    <n v="0"/>
    <n v="0"/>
  </r>
  <r>
    <x v="86"/>
    <x v="0"/>
    <n v="60"/>
    <n v="0"/>
    <n v="0"/>
  </r>
  <r>
    <x v="87"/>
    <x v="0"/>
    <n v="60"/>
    <n v="0"/>
    <n v="0"/>
  </r>
  <r>
    <x v="88"/>
    <x v="0"/>
    <n v="60"/>
    <n v="0"/>
    <n v="0"/>
  </r>
  <r>
    <x v="89"/>
    <x v="0"/>
    <n v="60"/>
    <n v="0"/>
    <n v="0"/>
  </r>
  <r>
    <x v="90"/>
    <x v="0"/>
    <n v="60"/>
    <n v="0"/>
    <n v="0"/>
  </r>
  <r>
    <x v="91"/>
    <x v="0"/>
    <n v="60"/>
    <n v="0"/>
    <n v="0"/>
  </r>
  <r>
    <x v="92"/>
    <x v="0"/>
    <n v="60"/>
    <n v="0"/>
    <n v="0"/>
  </r>
  <r>
    <x v="93"/>
    <x v="0"/>
    <n v="60"/>
    <n v="0"/>
    <n v="0"/>
  </r>
  <r>
    <x v="94"/>
    <x v="0"/>
    <n v="60"/>
    <n v="0"/>
    <n v="0"/>
  </r>
  <r>
    <x v="95"/>
    <x v="0"/>
    <n v="60"/>
    <n v="0"/>
    <n v="0"/>
  </r>
  <r>
    <x v="0"/>
    <x v="1"/>
    <n v="60.3"/>
    <n v="556.37"/>
    <n v="297.81"/>
  </r>
  <r>
    <x v="1"/>
    <x v="1"/>
    <n v="60.3"/>
    <n v="226.99"/>
    <n v="90.47"/>
  </r>
  <r>
    <x v="2"/>
    <x v="1"/>
    <n v="60.3"/>
    <n v="227.5"/>
    <n v="96.86"/>
  </r>
  <r>
    <x v="3"/>
    <x v="1"/>
    <n v="60.3"/>
    <n v="186.02"/>
    <n v="70.08"/>
  </r>
  <r>
    <x v="4"/>
    <x v="1"/>
    <n v="60.3"/>
    <n v="208.68"/>
    <n v="91.07"/>
  </r>
  <r>
    <x v="5"/>
    <x v="1"/>
    <n v="60.3"/>
    <n v="212.91"/>
    <n v="87.37"/>
  </r>
  <r>
    <x v="6"/>
    <x v="1"/>
    <n v="60.3"/>
    <n v="143.32"/>
    <n v="28.74"/>
  </r>
  <r>
    <x v="7"/>
    <x v="1"/>
    <n v="60.3"/>
    <n v="247.85"/>
    <n v="111.02"/>
  </r>
  <r>
    <x v="8"/>
    <x v="1"/>
    <n v="60.3"/>
    <n v="161.5"/>
    <n v="36.78"/>
  </r>
  <r>
    <x v="9"/>
    <x v="1"/>
    <n v="60.3"/>
    <n v="162.75"/>
    <n v="32.770000000000003"/>
  </r>
  <r>
    <x v="10"/>
    <x v="1"/>
    <n v="60.3"/>
    <n v="154.51"/>
    <n v="19.61"/>
  </r>
  <r>
    <x v="11"/>
    <x v="1"/>
    <n v="60.3"/>
    <n v="568.41999999999996"/>
    <n v="-87.52"/>
  </r>
  <r>
    <x v="12"/>
    <x v="1"/>
    <n v="60.3"/>
    <n v="408.43"/>
    <n v="1.03"/>
  </r>
  <r>
    <x v="13"/>
    <x v="1"/>
    <n v="60.3"/>
    <n v="114.58"/>
    <n v="-67.64"/>
  </r>
  <r>
    <x v="14"/>
    <x v="1"/>
    <n v="60.3"/>
    <n v="164.56"/>
    <n v="-54.48"/>
  </r>
  <r>
    <x v="15"/>
    <x v="1"/>
    <n v="60.3"/>
    <n v="160.91999999999999"/>
    <n v="-54.56"/>
  </r>
  <r>
    <x v="16"/>
    <x v="1"/>
    <n v="60.3"/>
    <n v="137.61000000000001"/>
    <n v="-65.930000000000007"/>
  </r>
  <r>
    <x v="17"/>
    <x v="1"/>
    <n v="60.3"/>
    <n v="173.03"/>
    <n v="-44.59"/>
  </r>
  <r>
    <x v="18"/>
    <x v="1"/>
    <n v="60.3"/>
    <n v="169.52"/>
    <n v="-37.76"/>
  </r>
  <r>
    <x v="19"/>
    <x v="1"/>
    <n v="60.3"/>
    <n v="224.56"/>
    <n v="-19.010000000000002"/>
  </r>
  <r>
    <x v="20"/>
    <x v="1"/>
    <n v="60.3"/>
    <n v="199.9"/>
    <n v="-19.62"/>
  </r>
  <r>
    <x v="21"/>
    <x v="1"/>
    <n v="60.3"/>
    <n v="174.66"/>
    <n v="-29.03"/>
  </r>
  <r>
    <x v="22"/>
    <x v="1"/>
    <n v="60.3"/>
    <n v="154.68"/>
    <n v="-53.47"/>
  </r>
  <r>
    <x v="23"/>
    <x v="1"/>
    <n v="60.3"/>
    <n v="61.99"/>
    <n v="-118.33"/>
  </r>
  <r>
    <x v="24"/>
    <x v="1"/>
    <n v="60.3"/>
    <n v="625.03"/>
    <n v="461.82"/>
  </r>
  <r>
    <x v="25"/>
    <x v="1"/>
    <n v="60.3"/>
    <n v="237.26"/>
    <n v="181.18"/>
  </r>
  <r>
    <x v="26"/>
    <x v="1"/>
    <n v="60.3"/>
    <n v="237.02"/>
    <n v="180.15"/>
  </r>
  <r>
    <x v="27"/>
    <x v="1"/>
    <n v="60.3"/>
    <n v="150.22"/>
    <n v="152.88"/>
  </r>
  <r>
    <x v="28"/>
    <x v="1"/>
    <n v="60.3"/>
    <n v="221.83"/>
    <n v="177.54"/>
  </r>
  <r>
    <x v="29"/>
    <x v="1"/>
    <n v="60.3"/>
    <n v="303.72000000000003"/>
    <n v="237.66"/>
  </r>
  <r>
    <x v="30"/>
    <x v="1"/>
    <n v="60.3"/>
    <n v="271.68"/>
    <n v="221.69"/>
  </r>
  <r>
    <x v="31"/>
    <x v="1"/>
    <n v="60.3"/>
    <n v="310.69"/>
    <n v="251.01"/>
  </r>
  <r>
    <x v="32"/>
    <x v="1"/>
    <n v="60.3"/>
    <n v="237.56"/>
    <n v="204.31"/>
  </r>
  <r>
    <x v="33"/>
    <x v="1"/>
    <n v="60.3"/>
    <n v="253.14"/>
    <n v="204.35"/>
  </r>
  <r>
    <x v="34"/>
    <x v="1"/>
    <n v="60.3"/>
    <n v="289.82"/>
    <n v="227.45"/>
  </r>
  <r>
    <x v="35"/>
    <x v="1"/>
    <n v="60.3"/>
    <n v="172.55"/>
    <n v="139.85"/>
  </r>
  <r>
    <x v="36"/>
    <x v="1"/>
    <n v="60.3"/>
    <n v="863.14"/>
    <n v="564.36"/>
  </r>
  <r>
    <x v="37"/>
    <x v="1"/>
    <n v="60.3"/>
    <n v="289.47000000000003"/>
    <n v="191.52"/>
  </r>
  <r>
    <x v="38"/>
    <x v="1"/>
    <n v="60.3"/>
    <n v="340.45"/>
    <n v="227.74"/>
  </r>
  <r>
    <x v="39"/>
    <x v="1"/>
    <n v="60.3"/>
    <n v="281.16000000000003"/>
    <n v="0"/>
  </r>
  <r>
    <x v="40"/>
    <x v="1"/>
    <n v="60.3"/>
    <n v="387"/>
    <n v="0"/>
  </r>
  <r>
    <x v="41"/>
    <x v="1"/>
    <n v="60.3"/>
    <n v="353.09"/>
    <n v="245.02"/>
  </r>
  <r>
    <x v="42"/>
    <x v="1"/>
    <n v="60.3"/>
    <n v="361.56"/>
    <n v="0"/>
  </r>
  <r>
    <x v="43"/>
    <x v="1"/>
    <n v="60.3"/>
    <n v="438.64"/>
    <n v="0"/>
  </r>
  <r>
    <x v="44"/>
    <x v="1"/>
    <n v="60.3"/>
    <n v="415.24"/>
    <n v="0"/>
  </r>
  <r>
    <x v="45"/>
    <x v="1"/>
    <n v="60.3"/>
    <n v="396.89"/>
    <n v="0"/>
  </r>
  <r>
    <x v="46"/>
    <x v="1"/>
    <n v="60.3"/>
    <n v="318.81"/>
    <n v="0"/>
  </r>
  <r>
    <x v="47"/>
    <x v="1"/>
    <n v="60.3"/>
    <n v="208.8"/>
    <n v="106.12"/>
  </r>
  <r>
    <x v="48"/>
    <x v="1"/>
    <n v="60.3"/>
    <n v="904.06"/>
    <n v="595.5"/>
  </r>
  <r>
    <x v="49"/>
    <x v="1"/>
    <n v="60.3"/>
    <n v="298.89"/>
    <n v="187.71"/>
  </r>
  <r>
    <x v="50"/>
    <x v="1"/>
    <n v="60.3"/>
    <n v="252.92"/>
    <n v="179.93"/>
  </r>
  <r>
    <x v="51"/>
    <x v="1"/>
    <n v="60.3"/>
    <n v="246.32"/>
    <n v="171.23"/>
  </r>
  <r>
    <x v="52"/>
    <x v="1"/>
    <n v="60.3"/>
    <n v="290.94"/>
    <n v="214"/>
  </r>
  <r>
    <x v="53"/>
    <x v="1"/>
    <n v="60.3"/>
    <n v="352.89"/>
    <n v="0"/>
  </r>
  <r>
    <x v="54"/>
    <x v="1"/>
    <n v="60.3"/>
    <n v="275.33"/>
    <n v="0"/>
  </r>
  <r>
    <x v="55"/>
    <x v="1"/>
    <n v="60.3"/>
    <n v="378.62"/>
    <n v="0"/>
  </r>
  <r>
    <x v="56"/>
    <x v="1"/>
    <n v="60.3"/>
    <n v="329.52"/>
    <n v="0"/>
  </r>
  <r>
    <x v="57"/>
    <x v="1"/>
    <n v="60.3"/>
    <n v="356.64"/>
    <n v="0"/>
  </r>
  <r>
    <x v="58"/>
    <x v="1"/>
    <n v="60.3"/>
    <n v="334.89"/>
    <n v="0"/>
  </r>
  <r>
    <x v="59"/>
    <x v="1"/>
    <n v="60.3"/>
    <n v="242.71"/>
    <n v="158.94999999999999"/>
  </r>
  <r>
    <x v="60"/>
    <x v="1"/>
    <n v="60.3"/>
    <n v="762.79"/>
    <n v="496.47"/>
  </r>
  <r>
    <x v="61"/>
    <x v="1"/>
    <n v="60.3"/>
    <n v="306.42"/>
    <n v="179.92"/>
  </r>
  <r>
    <x v="62"/>
    <x v="1"/>
    <n v="60.3"/>
    <n v="301.45"/>
    <n v="220.44"/>
  </r>
  <r>
    <x v="63"/>
    <x v="1"/>
    <n v="60.3"/>
    <n v="284.05"/>
    <n v="197.91"/>
  </r>
  <r>
    <x v="64"/>
    <x v="1"/>
    <n v="60.3"/>
    <n v="390.08"/>
    <n v="0"/>
  </r>
  <r>
    <x v="65"/>
    <x v="1"/>
    <n v="60.3"/>
    <n v="363.81"/>
    <n v="0"/>
  </r>
  <r>
    <x v="66"/>
    <x v="1"/>
    <n v="60.3"/>
    <n v="344.26"/>
    <n v="0"/>
  </r>
  <r>
    <x v="67"/>
    <x v="1"/>
    <n v="60.3"/>
    <n v="447.12"/>
    <n v="0"/>
  </r>
  <r>
    <x v="68"/>
    <x v="1"/>
    <n v="60.3"/>
    <n v="343.63"/>
    <n v="0"/>
  </r>
  <r>
    <x v="69"/>
    <x v="1"/>
    <n v="60.3"/>
    <n v="298.26"/>
    <n v="168.56"/>
  </r>
  <r>
    <x v="70"/>
    <x v="1"/>
    <n v="60.3"/>
    <n v="395.35"/>
    <n v="253.51"/>
  </r>
  <r>
    <x v="71"/>
    <x v="1"/>
    <n v="60.3"/>
    <n v="241.77"/>
    <n v="116.6"/>
  </r>
  <r>
    <x v="72"/>
    <x v="1"/>
    <n v="60.3"/>
    <n v="0"/>
    <n v="0"/>
  </r>
  <r>
    <x v="73"/>
    <x v="1"/>
    <n v="60.3"/>
    <n v="0"/>
    <n v="0"/>
  </r>
  <r>
    <x v="74"/>
    <x v="1"/>
    <n v="60.3"/>
    <n v="0"/>
    <n v="0"/>
  </r>
  <r>
    <x v="75"/>
    <x v="1"/>
    <n v="60.3"/>
    <n v="0"/>
    <n v="0"/>
  </r>
  <r>
    <x v="76"/>
    <x v="1"/>
    <n v="60.3"/>
    <n v="0"/>
    <n v="0"/>
  </r>
  <r>
    <x v="77"/>
    <x v="1"/>
    <n v="60.3"/>
    <n v="0"/>
    <n v="0"/>
  </r>
  <r>
    <x v="78"/>
    <x v="1"/>
    <n v="60.3"/>
    <n v="0"/>
    <n v="0"/>
  </r>
  <r>
    <x v="79"/>
    <x v="1"/>
    <n v="60.3"/>
    <n v="0"/>
    <n v="0"/>
  </r>
  <r>
    <x v="80"/>
    <x v="1"/>
    <n v="60.3"/>
    <n v="0"/>
    <n v="0"/>
  </r>
  <r>
    <x v="81"/>
    <x v="1"/>
    <n v="60.3"/>
    <n v="0"/>
    <n v="0"/>
  </r>
  <r>
    <x v="82"/>
    <x v="1"/>
    <n v="60.3"/>
    <n v="0"/>
    <n v="0"/>
  </r>
  <r>
    <x v="83"/>
    <x v="1"/>
    <n v="60.3"/>
    <n v="0"/>
    <n v="0"/>
  </r>
  <r>
    <x v="84"/>
    <x v="1"/>
    <n v="60.3"/>
    <n v="0"/>
    <n v="0"/>
  </r>
  <r>
    <x v="85"/>
    <x v="1"/>
    <n v="60.3"/>
    <n v="0"/>
    <n v="0"/>
  </r>
  <r>
    <x v="86"/>
    <x v="1"/>
    <n v="60.3"/>
    <n v="0"/>
    <n v="0"/>
  </r>
  <r>
    <x v="87"/>
    <x v="1"/>
    <n v="60.3"/>
    <n v="0"/>
    <n v="0"/>
  </r>
  <r>
    <x v="88"/>
    <x v="1"/>
    <n v="60.3"/>
    <n v="0"/>
    <n v="0"/>
  </r>
  <r>
    <x v="89"/>
    <x v="1"/>
    <n v="60.3"/>
    <n v="0"/>
    <n v="0"/>
  </r>
  <r>
    <x v="90"/>
    <x v="1"/>
    <n v="60.3"/>
    <n v="0"/>
    <n v="0"/>
  </r>
  <r>
    <x v="91"/>
    <x v="1"/>
    <n v="60.3"/>
    <n v="0"/>
    <n v="0"/>
  </r>
  <r>
    <x v="92"/>
    <x v="1"/>
    <n v="60.3"/>
    <n v="0"/>
    <n v="0"/>
  </r>
  <r>
    <x v="93"/>
    <x v="1"/>
    <n v="60.3"/>
    <n v="0"/>
    <n v="0"/>
  </r>
  <r>
    <x v="94"/>
    <x v="1"/>
    <n v="60.3"/>
    <n v="0"/>
    <n v="0"/>
  </r>
  <r>
    <x v="95"/>
    <x v="1"/>
    <n v="60.3"/>
    <n v="0"/>
    <n v="0"/>
  </r>
  <r>
    <x v="0"/>
    <x v="2"/>
    <n v="60.6"/>
    <n v="560.85"/>
    <n v="299.99"/>
  </r>
  <r>
    <x v="1"/>
    <x v="2"/>
    <n v="60.6"/>
    <n v="229.81"/>
    <n v="90.82"/>
  </r>
  <r>
    <x v="2"/>
    <x v="2"/>
    <n v="60.6"/>
    <n v="230.33"/>
    <n v="97.3"/>
  </r>
  <r>
    <x v="3"/>
    <x v="2"/>
    <n v="60.6"/>
    <n v="188.88"/>
    <n v="70.650000000000006"/>
  </r>
  <r>
    <x v="4"/>
    <x v="2"/>
    <n v="60.6"/>
    <n v="211.34"/>
    <n v="91.54"/>
  </r>
  <r>
    <x v="5"/>
    <x v="2"/>
    <n v="60.6"/>
    <n v="215.67"/>
    <n v="87.79"/>
  </r>
  <r>
    <x v="6"/>
    <x v="2"/>
    <n v="60.6"/>
    <n v="145.88999999999999"/>
    <n v="28.86"/>
  </r>
  <r>
    <x v="7"/>
    <x v="2"/>
    <n v="60.6"/>
    <n v="250.79"/>
    <n v="111.66"/>
  </r>
  <r>
    <x v="8"/>
    <x v="2"/>
    <n v="60.6"/>
    <n v="164.24"/>
    <n v="37.130000000000003"/>
  </r>
  <r>
    <x v="9"/>
    <x v="2"/>
    <n v="60.6"/>
    <n v="165.51"/>
    <n v="33.369999999999997"/>
  </r>
  <r>
    <x v="10"/>
    <x v="2"/>
    <n v="60.6"/>
    <n v="157.18"/>
    <n v="19.86"/>
  </r>
  <r>
    <x v="11"/>
    <x v="2"/>
    <n v="60.6"/>
    <n v="572.14"/>
    <n v="-93.2"/>
  </r>
  <r>
    <x v="12"/>
    <x v="2"/>
    <n v="60.6"/>
    <n v="411.9"/>
    <n v="1.55"/>
  </r>
  <r>
    <x v="13"/>
    <x v="2"/>
    <n v="60.6"/>
    <n v="115.24"/>
    <n v="-68.02"/>
  </r>
  <r>
    <x v="14"/>
    <x v="2"/>
    <n v="60.6"/>
    <n v="165.7"/>
    <n v="-54.81"/>
  </r>
  <r>
    <x v="15"/>
    <x v="2"/>
    <n v="60.6"/>
    <n v="162.54"/>
    <n v="-54.69"/>
  </r>
  <r>
    <x v="16"/>
    <x v="2"/>
    <n v="60.6"/>
    <n v="138.63999999999999"/>
    <n v="-66.319999999999993"/>
  </r>
  <r>
    <x v="17"/>
    <x v="2"/>
    <n v="60.6"/>
    <n v="174.82"/>
    <n v="-44.66"/>
  </r>
  <r>
    <x v="18"/>
    <x v="2"/>
    <n v="60.6"/>
    <n v="171.18"/>
    <n v="-37.72"/>
  </r>
  <r>
    <x v="19"/>
    <x v="2"/>
    <n v="60.6"/>
    <n v="226.55"/>
    <n v="-18.989999999999998"/>
  </r>
  <r>
    <x v="20"/>
    <x v="2"/>
    <n v="60.6"/>
    <n v="201.8"/>
    <n v="-19.37"/>
  </r>
  <r>
    <x v="21"/>
    <x v="2"/>
    <n v="60.6"/>
    <n v="176.45"/>
    <n v="-28.98"/>
  </r>
  <r>
    <x v="22"/>
    <x v="2"/>
    <n v="60.6"/>
    <n v="156.16"/>
    <n v="-53.63"/>
  </r>
  <r>
    <x v="23"/>
    <x v="2"/>
    <n v="60.6"/>
    <n v="63.35"/>
    <n v="-117.82"/>
  </r>
  <r>
    <x v="24"/>
    <x v="2"/>
    <n v="60.6"/>
    <n v="630.89"/>
    <n v="463.35"/>
  </r>
  <r>
    <x v="25"/>
    <x v="2"/>
    <n v="60.6"/>
    <n v="240.52"/>
    <n v="181.21"/>
  </r>
  <r>
    <x v="26"/>
    <x v="2"/>
    <n v="60.6"/>
    <n v="240.05"/>
    <n v="180.47"/>
  </r>
  <r>
    <x v="27"/>
    <x v="2"/>
    <n v="60.6"/>
    <n v="152.65"/>
    <n v="152.63999999999999"/>
  </r>
  <r>
    <x v="28"/>
    <x v="2"/>
    <n v="60.6"/>
    <n v="224.82"/>
    <n v="177.61"/>
  </r>
  <r>
    <x v="29"/>
    <x v="2"/>
    <n v="60.6"/>
    <n v="307.29000000000002"/>
    <n v="238.22"/>
  </r>
  <r>
    <x v="30"/>
    <x v="2"/>
    <n v="60.6"/>
    <n v="275"/>
    <n v="221.95"/>
  </r>
  <r>
    <x v="31"/>
    <x v="2"/>
    <n v="60.6"/>
    <n v="314.19"/>
    <n v="251.45"/>
  </r>
  <r>
    <x v="32"/>
    <x v="2"/>
    <n v="60.6"/>
    <n v="240.39"/>
    <n v="204.55"/>
  </r>
  <r>
    <x v="33"/>
    <x v="2"/>
    <n v="60.6"/>
    <n v="256.39999999999998"/>
    <n v="204.67"/>
  </r>
  <r>
    <x v="34"/>
    <x v="2"/>
    <n v="60.6"/>
    <n v="293.45"/>
    <n v="227.67"/>
  </r>
  <r>
    <x v="35"/>
    <x v="2"/>
    <n v="60.6"/>
    <n v="175.36"/>
    <n v="139.6"/>
  </r>
  <r>
    <x v="36"/>
    <x v="2"/>
    <n v="60.6"/>
    <n v="869.21"/>
    <n v="566.73"/>
  </r>
  <r>
    <x v="37"/>
    <x v="2"/>
    <n v="60.6"/>
    <n v="292.49"/>
    <n v="192"/>
  </r>
  <r>
    <x v="38"/>
    <x v="2"/>
    <n v="60.6"/>
    <n v="343.7"/>
    <n v="227.95"/>
  </r>
  <r>
    <x v="39"/>
    <x v="2"/>
    <n v="60.6"/>
    <n v="283.82"/>
    <n v="0"/>
  </r>
  <r>
    <x v="40"/>
    <x v="2"/>
    <n v="60.6"/>
    <n v="390.32"/>
    <n v="0"/>
  </r>
  <r>
    <x v="41"/>
    <x v="2"/>
    <n v="60.6"/>
    <n v="356.04"/>
    <n v="245.27"/>
  </r>
  <r>
    <x v="42"/>
    <x v="2"/>
    <n v="60.6"/>
    <n v="364.58"/>
    <n v="0"/>
  </r>
  <r>
    <x v="43"/>
    <x v="2"/>
    <n v="60.6"/>
    <n v="442.06"/>
    <n v="0"/>
  </r>
  <r>
    <x v="44"/>
    <x v="2"/>
    <n v="60.6"/>
    <n v="418.69"/>
    <n v="0"/>
  </r>
  <r>
    <x v="45"/>
    <x v="2"/>
    <n v="60.6"/>
    <n v="400.42"/>
    <n v="0"/>
  </r>
  <r>
    <x v="46"/>
    <x v="2"/>
    <n v="60.6"/>
    <n v="321.91000000000003"/>
    <n v="0"/>
  </r>
  <r>
    <x v="47"/>
    <x v="2"/>
    <n v="60.6"/>
    <n v="211.9"/>
    <n v="106.24"/>
  </r>
  <r>
    <x v="48"/>
    <x v="2"/>
    <n v="60.6"/>
    <n v="910.51"/>
    <n v="598.03"/>
  </r>
  <r>
    <x v="49"/>
    <x v="2"/>
    <n v="60.6"/>
    <n v="302.08"/>
    <n v="188.12"/>
  </r>
  <r>
    <x v="50"/>
    <x v="2"/>
    <n v="60.6"/>
    <n v="255.76"/>
    <n v="180.29"/>
  </r>
  <r>
    <x v="51"/>
    <x v="2"/>
    <n v="60.6"/>
    <n v="249.05"/>
    <n v="171.54"/>
  </r>
  <r>
    <x v="52"/>
    <x v="2"/>
    <n v="60.6"/>
    <n v="293.68"/>
    <n v="214.55"/>
  </r>
  <r>
    <x v="53"/>
    <x v="2"/>
    <n v="60.6"/>
    <n v="356.24"/>
    <n v="0"/>
  </r>
  <r>
    <x v="54"/>
    <x v="2"/>
    <n v="60.6"/>
    <n v="277.87"/>
    <n v="0"/>
  </r>
  <r>
    <x v="55"/>
    <x v="2"/>
    <n v="60.6"/>
    <n v="382.07"/>
    <n v="0"/>
  </r>
  <r>
    <x v="56"/>
    <x v="2"/>
    <n v="60.6"/>
    <n v="332.69"/>
    <n v="0"/>
  </r>
  <r>
    <x v="57"/>
    <x v="2"/>
    <n v="60.6"/>
    <n v="360.01"/>
    <n v="0"/>
  </r>
  <r>
    <x v="58"/>
    <x v="2"/>
    <n v="60.6"/>
    <n v="338.53"/>
    <n v="0"/>
  </r>
  <r>
    <x v="59"/>
    <x v="2"/>
    <n v="60.6"/>
    <n v="245.5"/>
    <n v="159.80000000000001"/>
  </r>
  <r>
    <x v="60"/>
    <x v="2"/>
    <n v="60.6"/>
    <n v="768.05"/>
    <n v="498.26"/>
  </r>
  <r>
    <x v="61"/>
    <x v="2"/>
    <n v="60.6"/>
    <n v="309.67"/>
    <n v="179.96"/>
  </r>
  <r>
    <x v="62"/>
    <x v="2"/>
    <n v="60.6"/>
    <n v="304.3"/>
    <n v="220.89"/>
  </r>
  <r>
    <x v="63"/>
    <x v="2"/>
    <n v="60.6"/>
    <n v="286.88"/>
    <n v="198.4"/>
  </r>
  <r>
    <x v="64"/>
    <x v="2"/>
    <n v="60.6"/>
    <n v="393.64"/>
    <n v="0"/>
  </r>
  <r>
    <x v="65"/>
    <x v="2"/>
    <n v="60.6"/>
    <n v="367.32"/>
    <n v="0"/>
  </r>
  <r>
    <x v="66"/>
    <x v="2"/>
    <n v="60.6"/>
    <n v="347.47"/>
    <n v="0"/>
  </r>
  <r>
    <x v="67"/>
    <x v="2"/>
    <n v="60.6"/>
    <n v="450.81"/>
    <n v="0"/>
  </r>
  <r>
    <x v="68"/>
    <x v="2"/>
    <n v="60.6"/>
    <n v="346.36"/>
    <n v="0"/>
  </r>
  <r>
    <x v="69"/>
    <x v="2"/>
    <n v="60.6"/>
    <n v="302.45"/>
    <n v="169.35"/>
  </r>
  <r>
    <x v="70"/>
    <x v="2"/>
    <n v="60.6"/>
    <n v="399.58"/>
    <n v="254.36"/>
  </r>
  <r>
    <x v="71"/>
    <x v="2"/>
    <n v="60.6"/>
    <n v="246"/>
    <n v="116.83"/>
  </r>
  <r>
    <x v="72"/>
    <x v="2"/>
    <n v="60.6"/>
    <n v="0"/>
    <n v="0"/>
  </r>
  <r>
    <x v="73"/>
    <x v="2"/>
    <n v="60.6"/>
    <n v="0"/>
    <n v="0"/>
  </r>
  <r>
    <x v="74"/>
    <x v="2"/>
    <n v="60.6"/>
    <n v="0"/>
    <n v="0"/>
  </r>
  <r>
    <x v="75"/>
    <x v="2"/>
    <n v="60.6"/>
    <n v="0"/>
    <n v="0"/>
  </r>
  <r>
    <x v="76"/>
    <x v="2"/>
    <n v="60.6"/>
    <n v="0"/>
    <n v="0"/>
  </r>
  <r>
    <x v="77"/>
    <x v="2"/>
    <n v="60.6"/>
    <n v="0"/>
    <n v="0"/>
  </r>
  <r>
    <x v="78"/>
    <x v="2"/>
    <n v="60.6"/>
    <n v="0"/>
    <n v="0"/>
  </r>
  <r>
    <x v="79"/>
    <x v="2"/>
    <n v="60.6"/>
    <n v="0"/>
    <n v="0"/>
  </r>
  <r>
    <x v="80"/>
    <x v="2"/>
    <n v="60.6"/>
    <n v="0"/>
    <n v="0"/>
  </r>
  <r>
    <x v="81"/>
    <x v="2"/>
    <n v="60.6"/>
    <n v="0"/>
    <n v="0"/>
  </r>
  <r>
    <x v="82"/>
    <x v="2"/>
    <n v="60.6"/>
    <n v="0"/>
    <n v="0"/>
  </r>
  <r>
    <x v="83"/>
    <x v="2"/>
    <n v="60.6"/>
    <n v="0"/>
    <n v="0"/>
  </r>
  <r>
    <x v="84"/>
    <x v="2"/>
    <n v="60.6"/>
    <n v="0"/>
    <n v="0"/>
  </r>
  <r>
    <x v="85"/>
    <x v="2"/>
    <n v="60.6"/>
    <n v="0"/>
    <n v="0"/>
  </r>
  <r>
    <x v="86"/>
    <x v="2"/>
    <n v="60.6"/>
    <n v="0"/>
    <n v="0"/>
  </r>
  <r>
    <x v="87"/>
    <x v="2"/>
    <n v="60.6"/>
    <n v="0"/>
    <n v="0"/>
  </r>
  <r>
    <x v="88"/>
    <x v="2"/>
    <n v="60.6"/>
    <n v="0"/>
    <n v="0"/>
  </r>
  <r>
    <x v="89"/>
    <x v="2"/>
    <n v="60.6"/>
    <n v="0"/>
    <n v="0"/>
  </r>
  <r>
    <x v="90"/>
    <x v="2"/>
    <n v="60.6"/>
    <n v="0"/>
    <n v="0"/>
  </r>
  <r>
    <x v="91"/>
    <x v="2"/>
    <n v="60.6"/>
    <n v="0"/>
    <n v="0"/>
  </r>
  <r>
    <x v="92"/>
    <x v="2"/>
    <n v="60.6"/>
    <n v="0"/>
    <n v="0"/>
  </r>
  <r>
    <x v="93"/>
    <x v="2"/>
    <n v="60.6"/>
    <n v="0"/>
    <n v="0"/>
  </r>
  <r>
    <x v="94"/>
    <x v="2"/>
    <n v="60.6"/>
    <n v="0"/>
    <n v="0"/>
  </r>
  <r>
    <x v="95"/>
    <x v="2"/>
    <n v="60.6"/>
    <n v="0"/>
    <n v="0"/>
  </r>
  <r>
    <x v="0"/>
    <x v="3"/>
    <n v="60.9"/>
    <n v="565.54999999999995"/>
    <n v="302.27999999999997"/>
  </r>
  <r>
    <x v="1"/>
    <x v="3"/>
    <n v="60.9"/>
    <n v="232.88"/>
    <n v="91.19"/>
  </r>
  <r>
    <x v="2"/>
    <x v="3"/>
    <n v="60.9"/>
    <n v="233.39"/>
    <n v="97.76"/>
  </r>
  <r>
    <x v="3"/>
    <x v="3"/>
    <n v="60.9"/>
    <n v="192"/>
    <n v="71.290000000000006"/>
  </r>
  <r>
    <x v="4"/>
    <x v="3"/>
    <n v="60.9"/>
    <n v="214.24"/>
    <n v="92.04"/>
  </r>
  <r>
    <x v="5"/>
    <x v="3"/>
    <n v="60.9"/>
    <n v="218.66"/>
    <n v="88.24"/>
  </r>
  <r>
    <x v="6"/>
    <x v="3"/>
    <n v="60.9"/>
    <n v="148.72"/>
    <n v="29.02"/>
  </r>
  <r>
    <x v="7"/>
    <x v="3"/>
    <n v="60.9"/>
    <n v="253.96"/>
    <n v="112.34"/>
  </r>
  <r>
    <x v="8"/>
    <x v="3"/>
    <n v="60.9"/>
    <n v="167.24"/>
    <n v="37.57"/>
  </r>
  <r>
    <x v="9"/>
    <x v="3"/>
    <n v="60.9"/>
    <n v="168.54"/>
    <n v="34.08"/>
  </r>
  <r>
    <x v="10"/>
    <x v="3"/>
    <n v="60.9"/>
    <n v="160.11000000000001"/>
    <n v="20.170000000000002"/>
  </r>
  <r>
    <x v="11"/>
    <x v="3"/>
    <n v="60.9"/>
    <n v="575.94000000000005"/>
    <n v="-99.49"/>
  </r>
  <r>
    <x v="12"/>
    <x v="3"/>
    <n v="60.9"/>
    <n v="415.65"/>
    <n v="2.15"/>
  </r>
  <r>
    <x v="13"/>
    <x v="3"/>
    <n v="60.9"/>
    <n v="115.99"/>
    <n v="-68.42"/>
  </r>
  <r>
    <x v="14"/>
    <x v="3"/>
    <n v="60.9"/>
    <n v="166.95"/>
    <n v="-55.16"/>
  </r>
  <r>
    <x v="15"/>
    <x v="3"/>
    <n v="60.9"/>
    <n v="164.37"/>
    <n v="-54.8"/>
  </r>
  <r>
    <x v="16"/>
    <x v="3"/>
    <n v="60.9"/>
    <n v="139.79"/>
    <n v="-66.739999999999995"/>
  </r>
  <r>
    <x v="17"/>
    <x v="3"/>
    <n v="60.9"/>
    <n v="176.84"/>
    <n v="-44.65"/>
  </r>
  <r>
    <x v="18"/>
    <x v="3"/>
    <n v="60.9"/>
    <n v="173.04"/>
    <n v="-37.630000000000003"/>
  </r>
  <r>
    <x v="19"/>
    <x v="3"/>
    <n v="60.9"/>
    <n v="228.73"/>
    <n v="-18.920000000000002"/>
  </r>
  <r>
    <x v="20"/>
    <x v="3"/>
    <n v="60.9"/>
    <n v="203.92"/>
    <n v="-19.079999999999998"/>
  </r>
  <r>
    <x v="21"/>
    <x v="3"/>
    <n v="60.9"/>
    <n v="178.46"/>
    <n v="-28.85"/>
  </r>
  <r>
    <x v="22"/>
    <x v="3"/>
    <n v="60.9"/>
    <n v="157.82"/>
    <n v="-53.76"/>
  </r>
  <r>
    <x v="23"/>
    <x v="3"/>
    <n v="60.9"/>
    <n v="64.989999999999995"/>
    <n v="-117.09"/>
  </r>
  <r>
    <x v="24"/>
    <x v="3"/>
    <n v="60.9"/>
    <n v="637.1"/>
    <n v="464.74"/>
  </r>
  <r>
    <x v="25"/>
    <x v="3"/>
    <n v="60.9"/>
    <n v="244.07"/>
    <n v="181.09"/>
  </r>
  <r>
    <x v="26"/>
    <x v="3"/>
    <n v="60.9"/>
    <n v="243.33"/>
    <n v="180.58"/>
  </r>
  <r>
    <x v="27"/>
    <x v="3"/>
    <n v="60.9"/>
    <n v="155.32"/>
    <n v="152.04"/>
  </r>
  <r>
    <x v="28"/>
    <x v="3"/>
    <n v="60.9"/>
    <n v="228.07"/>
    <n v="177.57"/>
  </r>
  <r>
    <x v="29"/>
    <x v="3"/>
    <n v="60.9"/>
    <n v="311.13"/>
    <n v="238.67"/>
  </r>
  <r>
    <x v="30"/>
    <x v="3"/>
    <n v="60.9"/>
    <n v="278.58999999999997"/>
    <n v="222.06"/>
  </r>
  <r>
    <x v="31"/>
    <x v="3"/>
    <n v="60.9"/>
    <n v="317.95999999999998"/>
    <n v="251.76"/>
  </r>
  <r>
    <x v="32"/>
    <x v="3"/>
    <n v="60.9"/>
    <n v="243.44"/>
    <n v="204.66"/>
  </r>
  <r>
    <x v="33"/>
    <x v="3"/>
    <n v="60.9"/>
    <n v="259.93"/>
    <n v="204.88"/>
  </r>
  <r>
    <x v="34"/>
    <x v="3"/>
    <n v="60.9"/>
    <n v="297.37"/>
    <n v="227.75"/>
  </r>
  <r>
    <x v="35"/>
    <x v="3"/>
    <n v="60.9"/>
    <n v="178.44"/>
    <n v="139.22"/>
  </r>
  <r>
    <x v="36"/>
    <x v="3"/>
    <n v="60.9"/>
    <n v="875.5"/>
    <n v="568.89"/>
  </r>
  <r>
    <x v="37"/>
    <x v="3"/>
    <n v="60.9"/>
    <n v="295.74"/>
    <n v="192.25"/>
  </r>
  <r>
    <x v="38"/>
    <x v="3"/>
    <n v="60.9"/>
    <n v="347.17"/>
    <n v="227.81"/>
  </r>
  <r>
    <x v="39"/>
    <x v="3"/>
    <n v="60.9"/>
    <n v="286.67"/>
    <n v="0"/>
  </r>
  <r>
    <x v="40"/>
    <x v="3"/>
    <n v="60.9"/>
    <n v="393.83"/>
    <n v="0"/>
  </r>
  <r>
    <x v="41"/>
    <x v="3"/>
    <n v="60.9"/>
    <n v="359.16"/>
    <n v="245.34"/>
  </r>
  <r>
    <x v="42"/>
    <x v="3"/>
    <n v="60.9"/>
    <n v="367.77"/>
    <n v="0"/>
  </r>
  <r>
    <x v="43"/>
    <x v="3"/>
    <n v="60.9"/>
    <n v="445.65"/>
    <n v="0"/>
  </r>
  <r>
    <x v="44"/>
    <x v="3"/>
    <n v="60.9"/>
    <n v="422.33"/>
    <n v="0"/>
  </r>
  <r>
    <x v="45"/>
    <x v="3"/>
    <n v="60.9"/>
    <n v="404.16"/>
    <n v="0"/>
  </r>
  <r>
    <x v="46"/>
    <x v="3"/>
    <n v="60.9"/>
    <n v="325.23"/>
    <n v="0"/>
  </r>
  <r>
    <x v="47"/>
    <x v="3"/>
    <n v="60.9"/>
    <n v="215.28"/>
    <n v="106.18"/>
  </r>
  <r>
    <x v="48"/>
    <x v="3"/>
    <n v="60.9"/>
    <n v="917.21"/>
    <n v="600.46"/>
  </r>
  <r>
    <x v="49"/>
    <x v="3"/>
    <n v="60.9"/>
    <n v="305.51"/>
    <n v="188.28"/>
  </r>
  <r>
    <x v="50"/>
    <x v="3"/>
    <n v="60.9"/>
    <n v="258.83999999999997"/>
    <n v="180.44"/>
  </r>
  <r>
    <x v="51"/>
    <x v="3"/>
    <n v="60.9"/>
    <n v="252"/>
    <n v="171.64"/>
  </r>
  <r>
    <x v="52"/>
    <x v="3"/>
    <n v="60.9"/>
    <n v="296.60000000000002"/>
    <n v="214.91"/>
  </r>
  <r>
    <x v="53"/>
    <x v="3"/>
    <n v="60.9"/>
    <n v="359.81"/>
    <n v="0"/>
  </r>
  <r>
    <x v="54"/>
    <x v="3"/>
    <n v="60.9"/>
    <n v="280.58"/>
    <n v="0"/>
  </r>
  <r>
    <x v="55"/>
    <x v="3"/>
    <n v="60.9"/>
    <n v="385.75"/>
    <n v="0"/>
  </r>
  <r>
    <x v="56"/>
    <x v="3"/>
    <n v="60.9"/>
    <n v="336.06"/>
    <n v="0"/>
  </r>
  <r>
    <x v="57"/>
    <x v="3"/>
    <n v="60.9"/>
    <n v="363.6"/>
    <n v="0"/>
  </r>
  <r>
    <x v="58"/>
    <x v="3"/>
    <n v="60.9"/>
    <n v="342.46"/>
    <n v="0"/>
  </r>
  <r>
    <x v="59"/>
    <x v="3"/>
    <n v="60.9"/>
    <n v="248.53"/>
    <n v="160.69999999999999"/>
  </r>
  <r>
    <x v="60"/>
    <x v="3"/>
    <n v="60.9"/>
    <n v="773.49"/>
    <n v="499.92"/>
  </r>
  <r>
    <x v="61"/>
    <x v="3"/>
    <n v="60.9"/>
    <n v="313.17"/>
    <n v="179.87"/>
  </r>
  <r>
    <x v="62"/>
    <x v="3"/>
    <n v="60.9"/>
    <n v="307.35000000000002"/>
    <n v="221.06"/>
  </r>
  <r>
    <x v="63"/>
    <x v="3"/>
    <n v="60.9"/>
    <n v="289.89999999999998"/>
    <n v="198.7"/>
  </r>
  <r>
    <x v="64"/>
    <x v="3"/>
    <n v="60.9"/>
    <n v="397.42"/>
    <n v="0"/>
  </r>
  <r>
    <x v="65"/>
    <x v="3"/>
    <n v="60.9"/>
    <n v="371.07"/>
    <n v="0"/>
  </r>
  <r>
    <x v="66"/>
    <x v="3"/>
    <n v="60.9"/>
    <n v="350.88"/>
    <n v="0"/>
  </r>
  <r>
    <x v="67"/>
    <x v="3"/>
    <n v="60.9"/>
    <n v="454.7"/>
    <n v="0"/>
  </r>
  <r>
    <x v="68"/>
    <x v="3"/>
    <n v="60.9"/>
    <n v="349.24"/>
    <n v="0"/>
  </r>
  <r>
    <x v="69"/>
    <x v="3"/>
    <n v="60.9"/>
    <n v="307.02"/>
    <n v="170.14"/>
  </r>
  <r>
    <x v="70"/>
    <x v="3"/>
    <n v="60.9"/>
    <n v="404.13"/>
    <n v="255.05"/>
  </r>
  <r>
    <x v="71"/>
    <x v="3"/>
    <n v="60.9"/>
    <n v="250.67"/>
    <n v="116.95"/>
  </r>
  <r>
    <x v="72"/>
    <x v="3"/>
    <n v="60.9"/>
    <n v="0"/>
    <n v="0"/>
  </r>
  <r>
    <x v="73"/>
    <x v="3"/>
    <n v="60.9"/>
    <n v="0"/>
    <n v="0"/>
  </r>
  <r>
    <x v="74"/>
    <x v="3"/>
    <n v="60.9"/>
    <n v="0"/>
    <n v="0"/>
  </r>
  <r>
    <x v="75"/>
    <x v="3"/>
    <n v="60.9"/>
    <n v="0"/>
    <n v="0"/>
  </r>
  <r>
    <x v="76"/>
    <x v="3"/>
    <n v="60.9"/>
    <n v="0"/>
    <n v="0"/>
  </r>
  <r>
    <x v="77"/>
    <x v="3"/>
    <n v="60.9"/>
    <n v="0"/>
    <n v="0"/>
  </r>
  <r>
    <x v="78"/>
    <x v="3"/>
    <n v="60.9"/>
    <n v="0"/>
    <n v="0"/>
  </r>
  <r>
    <x v="79"/>
    <x v="3"/>
    <n v="60.9"/>
    <n v="0"/>
    <n v="0"/>
  </r>
  <r>
    <x v="80"/>
    <x v="3"/>
    <n v="60.9"/>
    <n v="0"/>
    <n v="0"/>
  </r>
  <r>
    <x v="81"/>
    <x v="3"/>
    <n v="60.9"/>
    <n v="0"/>
    <n v="0"/>
  </r>
  <r>
    <x v="82"/>
    <x v="3"/>
    <n v="60.9"/>
    <n v="0"/>
    <n v="0"/>
  </r>
  <r>
    <x v="83"/>
    <x v="3"/>
    <n v="60.9"/>
    <n v="0"/>
    <n v="0"/>
  </r>
  <r>
    <x v="84"/>
    <x v="3"/>
    <n v="60.9"/>
    <n v="0"/>
    <n v="0"/>
  </r>
  <r>
    <x v="85"/>
    <x v="3"/>
    <n v="60.9"/>
    <n v="0"/>
    <n v="0"/>
  </r>
  <r>
    <x v="86"/>
    <x v="3"/>
    <n v="60.9"/>
    <n v="0"/>
    <n v="0"/>
  </r>
  <r>
    <x v="87"/>
    <x v="3"/>
    <n v="60.9"/>
    <n v="0"/>
    <n v="0"/>
  </r>
  <r>
    <x v="88"/>
    <x v="3"/>
    <n v="60.9"/>
    <n v="0"/>
    <n v="0"/>
  </r>
  <r>
    <x v="89"/>
    <x v="3"/>
    <n v="60.9"/>
    <n v="0"/>
    <n v="0"/>
  </r>
  <r>
    <x v="90"/>
    <x v="3"/>
    <n v="60.9"/>
    <n v="0"/>
    <n v="0"/>
  </r>
  <r>
    <x v="91"/>
    <x v="3"/>
    <n v="60.9"/>
    <n v="0"/>
    <n v="0"/>
  </r>
  <r>
    <x v="92"/>
    <x v="3"/>
    <n v="60.9"/>
    <n v="0"/>
    <n v="0"/>
  </r>
  <r>
    <x v="93"/>
    <x v="3"/>
    <n v="60.9"/>
    <n v="0"/>
    <n v="0"/>
  </r>
  <r>
    <x v="94"/>
    <x v="3"/>
    <n v="60.9"/>
    <n v="0"/>
    <n v="0"/>
  </r>
  <r>
    <x v="95"/>
    <x v="3"/>
    <n v="60.9"/>
    <n v="0"/>
    <n v="0"/>
  </r>
  <r>
    <x v="0"/>
    <x v="4"/>
    <n v="61.2"/>
    <n v="570.36"/>
    <n v="304.64999999999998"/>
  </r>
  <r>
    <x v="1"/>
    <x v="4"/>
    <n v="61.2"/>
    <n v="236.09"/>
    <n v="91.57"/>
  </r>
  <r>
    <x v="2"/>
    <x v="4"/>
    <n v="61.2"/>
    <n v="236.6"/>
    <n v="98.25"/>
  </r>
  <r>
    <x v="3"/>
    <x v="4"/>
    <n v="61.2"/>
    <n v="195.3"/>
    <n v="72.010000000000005"/>
  </r>
  <r>
    <x v="4"/>
    <x v="4"/>
    <n v="61.2"/>
    <n v="217.28"/>
    <n v="92.58"/>
  </r>
  <r>
    <x v="5"/>
    <x v="4"/>
    <n v="61.2"/>
    <n v="221.81"/>
    <n v="88.71"/>
  </r>
  <r>
    <x v="6"/>
    <x v="4"/>
    <n v="61.2"/>
    <n v="151.72"/>
    <n v="29.23"/>
  </r>
  <r>
    <x v="7"/>
    <x v="4"/>
    <n v="61.2"/>
    <n v="257.27999999999997"/>
    <n v="113.07"/>
  </r>
  <r>
    <x v="8"/>
    <x v="4"/>
    <n v="61.2"/>
    <n v="170.42"/>
    <n v="38.08"/>
  </r>
  <r>
    <x v="9"/>
    <x v="4"/>
    <n v="61.2"/>
    <n v="171.75"/>
    <n v="34.9"/>
  </r>
  <r>
    <x v="10"/>
    <x v="4"/>
    <n v="61.2"/>
    <n v="163.22"/>
    <n v="20.56"/>
  </r>
  <r>
    <x v="11"/>
    <x v="4"/>
    <n v="61.2"/>
    <n v="579.77"/>
    <n v="-106.13"/>
  </r>
  <r>
    <x v="12"/>
    <x v="4"/>
    <n v="61.2"/>
    <n v="419.64"/>
    <n v="2.82"/>
  </r>
  <r>
    <x v="13"/>
    <x v="4"/>
    <n v="61.2"/>
    <n v="116.84"/>
    <n v="-68.819999999999993"/>
  </r>
  <r>
    <x v="14"/>
    <x v="4"/>
    <n v="61.2"/>
    <n v="168.3"/>
    <n v="-55.5"/>
  </r>
  <r>
    <x v="15"/>
    <x v="4"/>
    <n v="61.2"/>
    <n v="166.37"/>
    <n v="-54.87"/>
  </r>
  <r>
    <x v="16"/>
    <x v="4"/>
    <n v="61.2"/>
    <n v="141.04"/>
    <n v="-67.19"/>
  </r>
  <r>
    <x v="17"/>
    <x v="4"/>
    <n v="61.2"/>
    <n v="179.05"/>
    <n v="-44.57"/>
  </r>
  <r>
    <x v="18"/>
    <x v="4"/>
    <n v="61.2"/>
    <n v="175.07"/>
    <n v="-37.51"/>
  </r>
  <r>
    <x v="19"/>
    <x v="4"/>
    <n v="61.2"/>
    <n v="231.08"/>
    <n v="-18.8"/>
  </r>
  <r>
    <x v="20"/>
    <x v="4"/>
    <n v="61.2"/>
    <n v="206.23"/>
    <n v="-18.739999999999998"/>
  </r>
  <r>
    <x v="21"/>
    <x v="4"/>
    <n v="61.2"/>
    <n v="180.67"/>
    <n v="-28.64"/>
  </r>
  <r>
    <x v="22"/>
    <x v="4"/>
    <n v="61.2"/>
    <n v="159.65"/>
    <n v="-53.86"/>
  </r>
  <r>
    <x v="23"/>
    <x v="4"/>
    <n v="61.2"/>
    <n v="66.89"/>
    <n v="-116.19"/>
  </r>
  <r>
    <x v="24"/>
    <x v="4"/>
    <n v="61.2"/>
    <n v="643.51"/>
    <n v="466.01"/>
  </r>
  <r>
    <x v="25"/>
    <x v="4"/>
    <n v="61.2"/>
    <n v="247.81"/>
    <n v="180.88"/>
  </r>
  <r>
    <x v="26"/>
    <x v="4"/>
    <n v="61.2"/>
    <n v="246.77"/>
    <n v="180.58"/>
  </r>
  <r>
    <x v="27"/>
    <x v="4"/>
    <n v="61.2"/>
    <n v="158.15"/>
    <n v="151.21"/>
  </r>
  <r>
    <x v="28"/>
    <x v="4"/>
    <n v="61.2"/>
    <n v="231.48"/>
    <n v="177.45"/>
  </r>
  <r>
    <x v="29"/>
    <x v="4"/>
    <n v="61.2"/>
    <n v="315.14999999999998"/>
    <n v="239.04"/>
  </r>
  <r>
    <x v="30"/>
    <x v="4"/>
    <n v="61.2"/>
    <n v="282.33999999999997"/>
    <n v="222.07"/>
  </r>
  <r>
    <x v="31"/>
    <x v="4"/>
    <n v="61.2"/>
    <n v="321.89999999999998"/>
    <n v="251.95"/>
  </r>
  <r>
    <x v="32"/>
    <x v="4"/>
    <n v="61.2"/>
    <n v="246.63"/>
    <n v="204.68"/>
  </r>
  <r>
    <x v="33"/>
    <x v="4"/>
    <n v="61.2"/>
    <n v="263.63"/>
    <n v="205"/>
  </r>
  <r>
    <x v="34"/>
    <x v="4"/>
    <n v="61.2"/>
    <n v="301.49"/>
    <n v="227.72"/>
  </r>
  <r>
    <x v="35"/>
    <x v="4"/>
    <n v="61.2"/>
    <n v="181.7"/>
    <n v="138.72999999999999"/>
  </r>
  <r>
    <x v="36"/>
    <x v="4"/>
    <n v="61.2"/>
    <n v="881.91"/>
    <n v="570.86"/>
  </r>
  <r>
    <x v="37"/>
    <x v="4"/>
    <n v="61.2"/>
    <n v="299.14"/>
    <n v="192.33"/>
  </r>
  <r>
    <x v="38"/>
    <x v="4"/>
    <n v="61.2"/>
    <n v="350.8"/>
    <n v="227.47"/>
  </r>
  <r>
    <x v="39"/>
    <x v="4"/>
    <n v="61.2"/>
    <n v="289.64"/>
    <n v="0"/>
  </r>
  <r>
    <x v="40"/>
    <x v="4"/>
    <n v="61.2"/>
    <n v="397.47"/>
    <n v="0"/>
  </r>
  <r>
    <x v="41"/>
    <x v="4"/>
    <n v="61.2"/>
    <n v="362.41"/>
    <n v="245.26"/>
  </r>
  <r>
    <x v="42"/>
    <x v="4"/>
    <n v="61.2"/>
    <n v="371.08"/>
    <n v="0"/>
  </r>
  <r>
    <x v="43"/>
    <x v="4"/>
    <n v="61.2"/>
    <n v="449.34"/>
    <n v="0"/>
  </r>
  <r>
    <x v="44"/>
    <x v="4"/>
    <n v="61.2"/>
    <n v="426.08"/>
    <n v="0"/>
  </r>
  <r>
    <x v="45"/>
    <x v="4"/>
    <n v="61.2"/>
    <n v="408.03"/>
    <n v="0"/>
  </r>
  <r>
    <x v="46"/>
    <x v="4"/>
    <n v="61.2"/>
    <n v="328.68"/>
    <n v="0"/>
  </r>
  <r>
    <x v="47"/>
    <x v="4"/>
    <n v="61.2"/>
    <n v="218.86"/>
    <n v="105.96"/>
  </r>
  <r>
    <x v="48"/>
    <x v="4"/>
    <n v="61.2"/>
    <n v="924.06"/>
    <n v="602.79"/>
  </r>
  <r>
    <x v="49"/>
    <x v="4"/>
    <n v="61.2"/>
    <n v="309.10000000000002"/>
    <n v="188.19"/>
  </r>
  <r>
    <x v="50"/>
    <x v="4"/>
    <n v="61.2"/>
    <n v="262.07"/>
    <n v="180.35"/>
  </r>
  <r>
    <x v="51"/>
    <x v="4"/>
    <n v="61.2"/>
    <n v="255.1"/>
    <n v="171.49"/>
  </r>
  <r>
    <x v="52"/>
    <x v="4"/>
    <n v="61.2"/>
    <n v="299.64999999999998"/>
    <n v="215.03"/>
  </r>
  <r>
    <x v="53"/>
    <x v="4"/>
    <n v="61.2"/>
    <n v="363.52"/>
    <n v="0"/>
  </r>
  <r>
    <x v="54"/>
    <x v="4"/>
    <n v="61.2"/>
    <n v="283.41000000000003"/>
    <n v="0"/>
  </r>
  <r>
    <x v="55"/>
    <x v="4"/>
    <n v="61.2"/>
    <n v="389.56"/>
    <n v="0"/>
  </r>
  <r>
    <x v="56"/>
    <x v="4"/>
    <n v="61.2"/>
    <n v="339.58"/>
    <n v="0"/>
  </r>
  <r>
    <x v="57"/>
    <x v="4"/>
    <n v="61.2"/>
    <n v="367.33"/>
    <n v="0"/>
  </r>
  <r>
    <x v="58"/>
    <x v="4"/>
    <n v="61.2"/>
    <n v="346.55"/>
    <n v="0"/>
  </r>
  <r>
    <x v="59"/>
    <x v="4"/>
    <n v="61.2"/>
    <n v="251.73"/>
    <n v="161.65"/>
  </r>
  <r>
    <x v="60"/>
    <x v="4"/>
    <n v="61.2"/>
    <n v="779.04"/>
    <n v="501.47"/>
  </r>
  <r>
    <x v="61"/>
    <x v="4"/>
    <n v="61.2"/>
    <n v="316.83"/>
    <n v="179.7"/>
  </r>
  <r>
    <x v="62"/>
    <x v="4"/>
    <n v="61.2"/>
    <n v="310.55"/>
    <n v="220.9"/>
  </r>
  <r>
    <x v="63"/>
    <x v="4"/>
    <n v="61.2"/>
    <n v="293.07"/>
    <n v="198.77"/>
  </r>
  <r>
    <x v="64"/>
    <x v="4"/>
    <n v="61.2"/>
    <n v="401.35"/>
    <n v="0"/>
  </r>
  <r>
    <x v="65"/>
    <x v="4"/>
    <n v="61.2"/>
    <n v="374.98"/>
    <n v="0"/>
  </r>
  <r>
    <x v="66"/>
    <x v="4"/>
    <n v="61.2"/>
    <n v="354.43"/>
    <n v="0"/>
  </r>
  <r>
    <x v="67"/>
    <x v="4"/>
    <n v="61.2"/>
    <n v="458.72"/>
    <n v="0"/>
  </r>
  <r>
    <x v="68"/>
    <x v="4"/>
    <n v="61.2"/>
    <n v="352.2"/>
    <n v="0"/>
  </r>
  <r>
    <x v="69"/>
    <x v="4"/>
    <n v="61.2"/>
    <n v="311.83"/>
    <n v="170.95"/>
  </r>
  <r>
    <x v="70"/>
    <x v="4"/>
    <n v="61.2"/>
    <n v="408.88"/>
    <n v="255.55"/>
  </r>
  <r>
    <x v="71"/>
    <x v="4"/>
    <n v="61.2"/>
    <n v="255.63"/>
    <n v="116.95"/>
  </r>
  <r>
    <x v="72"/>
    <x v="4"/>
    <n v="61.2"/>
    <n v="0"/>
    <n v="0"/>
  </r>
  <r>
    <x v="73"/>
    <x v="4"/>
    <n v="61.2"/>
    <n v="0"/>
    <n v="0"/>
  </r>
  <r>
    <x v="74"/>
    <x v="4"/>
    <n v="61.2"/>
    <n v="0"/>
    <n v="0"/>
  </r>
  <r>
    <x v="75"/>
    <x v="4"/>
    <n v="61.2"/>
    <n v="0"/>
    <n v="0"/>
  </r>
  <r>
    <x v="76"/>
    <x v="4"/>
    <n v="61.2"/>
    <n v="0"/>
    <n v="0"/>
  </r>
  <r>
    <x v="77"/>
    <x v="4"/>
    <n v="61.2"/>
    <n v="0"/>
    <n v="0"/>
  </r>
  <r>
    <x v="78"/>
    <x v="4"/>
    <n v="61.2"/>
    <n v="0"/>
    <n v="0"/>
  </r>
  <r>
    <x v="79"/>
    <x v="4"/>
    <n v="61.2"/>
    <n v="0"/>
    <n v="0"/>
  </r>
  <r>
    <x v="80"/>
    <x v="4"/>
    <n v="61.2"/>
    <n v="0"/>
    <n v="0"/>
  </r>
  <r>
    <x v="81"/>
    <x v="4"/>
    <n v="61.2"/>
    <n v="0"/>
    <n v="0"/>
  </r>
  <r>
    <x v="82"/>
    <x v="4"/>
    <n v="61.2"/>
    <n v="0"/>
    <n v="0"/>
  </r>
  <r>
    <x v="83"/>
    <x v="4"/>
    <n v="61.2"/>
    <n v="0"/>
    <n v="0"/>
  </r>
  <r>
    <x v="84"/>
    <x v="4"/>
    <n v="61.2"/>
    <n v="0"/>
    <n v="0"/>
  </r>
  <r>
    <x v="85"/>
    <x v="4"/>
    <n v="61.2"/>
    <n v="0"/>
    <n v="0"/>
  </r>
  <r>
    <x v="86"/>
    <x v="4"/>
    <n v="61.2"/>
    <n v="0"/>
    <n v="0"/>
  </r>
  <r>
    <x v="87"/>
    <x v="4"/>
    <n v="61.2"/>
    <n v="0"/>
    <n v="0"/>
  </r>
  <r>
    <x v="88"/>
    <x v="4"/>
    <n v="61.2"/>
    <n v="0"/>
    <n v="0"/>
  </r>
  <r>
    <x v="89"/>
    <x v="4"/>
    <n v="61.2"/>
    <n v="0"/>
    <n v="0"/>
  </r>
  <r>
    <x v="90"/>
    <x v="4"/>
    <n v="61.2"/>
    <n v="0"/>
    <n v="0"/>
  </r>
  <r>
    <x v="91"/>
    <x v="4"/>
    <n v="61.2"/>
    <n v="0"/>
    <n v="0"/>
  </r>
  <r>
    <x v="92"/>
    <x v="4"/>
    <n v="61.2"/>
    <n v="0"/>
    <n v="0"/>
  </r>
  <r>
    <x v="93"/>
    <x v="4"/>
    <n v="61.2"/>
    <n v="0"/>
    <n v="0"/>
  </r>
  <r>
    <x v="94"/>
    <x v="4"/>
    <n v="61.2"/>
    <n v="0"/>
    <n v="0"/>
  </r>
  <r>
    <x v="95"/>
    <x v="4"/>
    <n v="61.2"/>
    <n v="0"/>
    <n v="0"/>
  </r>
  <r>
    <x v="0"/>
    <x v="5"/>
    <n v="61.5"/>
    <n v="575.30999999999995"/>
    <n v="307.08999999999997"/>
  </r>
  <r>
    <x v="1"/>
    <x v="5"/>
    <n v="61.5"/>
    <n v="239.47"/>
    <n v="91.99"/>
  </r>
  <r>
    <x v="2"/>
    <x v="5"/>
    <n v="61.5"/>
    <n v="239.97"/>
    <n v="98.77"/>
  </r>
  <r>
    <x v="3"/>
    <x v="5"/>
    <n v="61.5"/>
    <n v="198.78"/>
    <n v="72.819999999999993"/>
  </r>
  <r>
    <x v="4"/>
    <x v="5"/>
    <n v="61.5"/>
    <n v="220.49"/>
    <n v="93.15"/>
  </r>
  <r>
    <x v="5"/>
    <x v="5"/>
    <n v="61.5"/>
    <n v="225.12"/>
    <n v="89.22"/>
  </r>
  <r>
    <x v="6"/>
    <x v="5"/>
    <n v="61.5"/>
    <n v="154.9"/>
    <n v="29.49"/>
  </r>
  <r>
    <x v="7"/>
    <x v="5"/>
    <n v="61.5"/>
    <n v="260.76"/>
    <n v="113.84"/>
  </r>
  <r>
    <x v="8"/>
    <x v="5"/>
    <n v="61.5"/>
    <n v="173.79"/>
    <n v="38.700000000000003"/>
  </r>
  <r>
    <x v="9"/>
    <x v="5"/>
    <n v="61.5"/>
    <n v="175.14"/>
    <n v="35.86"/>
  </r>
  <r>
    <x v="10"/>
    <x v="5"/>
    <n v="61.5"/>
    <n v="166.52"/>
    <n v="21.03"/>
  </r>
  <r>
    <x v="11"/>
    <x v="5"/>
    <n v="61.5"/>
    <n v="583.62"/>
    <n v="-113.13"/>
  </r>
  <r>
    <x v="12"/>
    <x v="5"/>
    <n v="61.5"/>
    <n v="423.88"/>
    <n v="3.56"/>
  </r>
  <r>
    <x v="13"/>
    <x v="5"/>
    <n v="61.5"/>
    <n v="117.83"/>
    <n v="-69.22"/>
  </r>
  <r>
    <x v="14"/>
    <x v="5"/>
    <n v="61.5"/>
    <n v="169.76"/>
    <n v="-55.85"/>
  </r>
  <r>
    <x v="15"/>
    <x v="5"/>
    <n v="61.5"/>
    <n v="168.56"/>
    <n v="-54.91"/>
  </r>
  <r>
    <x v="16"/>
    <x v="5"/>
    <n v="61.5"/>
    <n v="142.41999999999999"/>
    <n v="-67.67"/>
  </r>
  <r>
    <x v="17"/>
    <x v="5"/>
    <n v="61.5"/>
    <n v="181.48"/>
    <n v="-44.43"/>
  </r>
  <r>
    <x v="18"/>
    <x v="5"/>
    <n v="61.5"/>
    <n v="177.3"/>
    <n v="-37.340000000000003"/>
  </r>
  <r>
    <x v="19"/>
    <x v="5"/>
    <n v="61.5"/>
    <n v="233.61"/>
    <n v="-18.62"/>
  </r>
  <r>
    <x v="20"/>
    <x v="5"/>
    <n v="61.5"/>
    <n v="208.74"/>
    <n v="-18.36"/>
  </r>
  <r>
    <x v="21"/>
    <x v="5"/>
    <n v="61.5"/>
    <n v="183.1"/>
    <n v="-28.32"/>
  </r>
  <r>
    <x v="22"/>
    <x v="5"/>
    <n v="61.5"/>
    <n v="161.68"/>
    <n v="-53.92"/>
  </r>
  <r>
    <x v="23"/>
    <x v="5"/>
    <n v="61.5"/>
    <n v="69.099999999999994"/>
    <n v="-115.09"/>
  </r>
  <r>
    <x v="24"/>
    <x v="5"/>
    <n v="61.5"/>
    <n v="650.14"/>
    <n v="467.14"/>
  </r>
  <r>
    <x v="25"/>
    <x v="5"/>
    <n v="61.5"/>
    <n v="251.74"/>
    <n v="180.57"/>
  </r>
  <r>
    <x v="26"/>
    <x v="5"/>
    <n v="61.5"/>
    <n v="250.39"/>
    <n v="180.47"/>
  </r>
  <r>
    <x v="27"/>
    <x v="5"/>
    <n v="61.5"/>
    <n v="161.16"/>
    <n v="150.22"/>
  </r>
  <r>
    <x v="28"/>
    <x v="5"/>
    <n v="61.5"/>
    <n v="235.06"/>
    <n v="177.25"/>
  </r>
  <r>
    <x v="29"/>
    <x v="5"/>
    <n v="61.5"/>
    <n v="319.33999999999997"/>
    <n v="239.32"/>
  </r>
  <r>
    <x v="30"/>
    <x v="5"/>
    <n v="61.5"/>
    <n v="286.27"/>
    <n v="221.97"/>
  </r>
  <r>
    <x v="31"/>
    <x v="5"/>
    <n v="61.5"/>
    <n v="326"/>
    <n v="252.03"/>
  </r>
  <r>
    <x v="32"/>
    <x v="5"/>
    <n v="61.5"/>
    <n v="249.96"/>
    <n v="204.59"/>
  </r>
  <r>
    <x v="33"/>
    <x v="5"/>
    <n v="61.5"/>
    <n v="267.5"/>
    <n v="205.04"/>
  </r>
  <r>
    <x v="34"/>
    <x v="5"/>
    <n v="61.5"/>
    <n v="305.8"/>
    <n v="227.59"/>
  </r>
  <r>
    <x v="35"/>
    <x v="5"/>
    <n v="61.5"/>
    <n v="185.15"/>
    <n v="138.15"/>
  </r>
  <r>
    <x v="36"/>
    <x v="5"/>
    <n v="61.5"/>
    <n v="888.46"/>
    <n v="572.66"/>
  </r>
  <r>
    <x v="37"/>
    <x v="5"/>
    <n v="61.5"/>
    <n v="302.69"/>
    <n v="192.28"/>
  </r>
  <r>
    <x v="38"/>
    <x v="5"/>
    <n v="61.5"/>
    <n v="354.6"/>
    <n v="226.95"/>
  </r>
  <r>
    <x v="39"/>
    <x v="5"/>
    <n v="61.5"/>
    <n v="292.73"/>
    <n v="0"/>
  </r>
  <r>
    <x v="40"/>
    <x v="5"/>
    <n v="61.5"/>
    <n v="401.23"/>
    <n v="0"/>
  </r>
  <r>
    <x v="41"/>
    <x v="5"/>
    <n v="61.5"/>
    <n v="365.79"/>
    <n v="245.01"/>
  </r>
  <r>
    <x v="42"/>
    <x v="5"/>
    <n v="61.5"/>
    <n v="374.5"/>
    <n v="0"/>
  </r>
  <r>
    <x v="43"/>
    <x v="5"/>
    <n v="61.5"/>
    <n v="453.14"/>
    <n v="0"/>
  </r>
  <r>
    <x v="44"/>
    <x v="5"/>
    <n v="61.5"/>
    <n v="429.96"/>
    <n v="0"/>
  </r>
  <r>
    <x v="45"/>
    <x v="5"/>
    <n v="61.5"/>
    <n v="412.04"/>
    <n v="0"/>
  </r>
  <r>
    <x v="46"/>
    <x v="5"/>
    <n v="61.5"/>
    <n v="332.28"/>
    <n v="0"/>
  </r>
  <r>
    <x v="47"/>
    <x v="5"/>
    <n v="61.5"/>
    <n v="222.65"/>
    <n v="105.6"/>
  </r>
  <r>
    <x v="48"/>
    <x v="5"/>
    <n v="61.5"/>
    <n v="931.05"/>
    <n v="605.02"/>
  </r>
  <r>
    <x v="49"/>
    <x v="5"/>
    <n v="61.5"/>
    <n v="312.86"/>
    <n v="187.89"/>
  </r>
  <r>
    <x v="50"/>
    <x v="5"/>
    <n v="61.5"/>
    <n v="265.45999999999998"/>
    <n v="179.98"/>
  </r>
  <r>
    <x v="51"/>
    <x v="5"/>
    <n v="61.5"/>
    <n v="258.36"/>
    <n v="171.08"/>
  </r>
  <r>
    <x v="52"/>
    <x v="5"/>
    <n v="61.5"/>
    <n v="302.83999999999997"/>
    <n v="214.89"/>
  </r>
  <r>
    <x v="53"/>
    <x v="5"/>
    <n v="61.5"/>
    <n v="367.37"/>
    <n v="0"/>
  </r>
  <r>
    <x v="54"/>
    <x v="5"/>
    <n v="61.5"/>
    <n v="286.35000000000002"/>
    <n v="0"/>
  </r>
  <r>
    <x v="55"/>
    <x v="5"/>
    <n v="61.5"/>
    <n v="393.51"/>
    <n v="0"/>
  </r>
  <r>
    <x v="56"/>
    <x v="5"/>
    <n v="61.5"/>
    <n v="343.24"/>
    <n v="0"/>
  </r>
  <r>
    <x v="57"/>
    <x v="5"/>
    <n v="61.5"/>
    <n v="371.22"/>
    <n v="0"/>
  </r>
  <r>
    <x v="58"/>
    <x v="5"/>
    <n v="61.5"/>
    <n v="350.84"/>
    <n v="0"/>
  </r>
  <r>
    <x v="59"/>
    <x v="5"/>
    <n v="61.5"/>
    <n v="255.11"/>
    <n v="162.65"/>
  </r>
  <r>
    <x v="60"/>
    <x v="5"/>
    <n v="61.5"/>
    <n v="784.71"/>
    <n v="502.89"/>
  </r>
  <r>
    <x v="61"/>
    <x v="5"/>
    <n v="61.5"/>
    <n v="320.66000000000003"/>
    <n v="179.43"/>
  </r>
  <r>
    <x v="62"/>
    <x v="5"/>
    <n v="61.5"/>
    <n v="313.89"/>
    <n v="220.42"/>
  </r>
  <r>
    <x v="63"/>
    <x v="5"/>
    <n v="61.5"/>
    <n v="296.38"/>
    <n v="198.59"/>
  </r>
  <r>
    <x v="64"/>
    <x v="5"/>
    <n v="61.5"/>
    <n v="405.42"/>
    <n v="0"/>
  </r>
  <r>
    <x v="65"/>
    <x v="5"/>
    <n v="61.5"/>
    <n v="379.06"/>
    <n v="0"/>
  </r>
  <r>
    <x v="66"/>
    <x v="5"/>
    <n v="61.5"/>
    <n v="358.12"/>
    <n v="0"/>
  </r>
  <r>
    <x v="67"/>
    <x v="5"/>
    <n v="61.5"/>
    <n v="462.87"/>
    <n v="0"/>
  </r>
  <r>
    <x v="68"/>
    <x v="5"/>
    <n v="61.5"/>
    <n v="355.25"/>
    <n v="0"/>
  </r>
  <r>
    <x v="69"/>
    <x v="5"/>
    <n v="61.5"/>
    <n v="316.89"/>
    <n v="171.8"/>
  </r>
  <r>
    <x v="70"/>
    <x v="5"/>
    <n v="61.5"/>
    <n v="413.85"/>
    <n v="255.89"/>
  </r>
  <r>
    <x v="71"/>
    <x v="5"/>
    <n v="61.5"/>
    <n v="260.88"/>
    <n v="116.85"/>
  </r>
  <r>
    <x v="72"/>
    <x v="5"/>
    <n v="61.5"/>
    <n v="0"/>
    <n v="0"/>
  </r>
  <r>
    <x v="73"/>
    <x v="5"/>
    <n v="61.5"/>
    <n v="0"/>
    <n v="0"/>
  </r>
  <r>
    <x v="74"/>
    <x v="5"/>
    <n v="61.5"/>
    <n v="0"/>
    <n v="0"/>
  </r>
  <r>
    <x v="75"/>
    <x v="5"/>
    <n v="61.5"/>
    <n v="0"/>
    <n v="0"/>
  </r>
  <r>
    <x v="76"/>
    <x v="5"/>
    <n v="61.5"/>
    <n v="0"/>
    <n v="0"/>
  </r>
  <r>
    <x v="77"/>
    <x v="5"/>
    <n v="61.5"/>
    <n v="0"/>
    <n v="0"/>
  </r>
  <r>
    <x v="78"/>
    <x v="5"/>
    <n v="61.5"/>
    <n v="0"/>
    <n v="0"/>
  </r>
  <r>
    <x v="79"/>
    <x v="5"/>
    <n v="61.5"/>
    <n v="0"/>
    <n v="0"/>
  </r>
  <r>
    <x v="80"/>
    <x v="5"/>
    <n v="61.5"/>
    <n v="0"/>
    <n v="0"/>
  </r>
  <r>
    <x v="81"/>
    <x v="5"/>
    <n v="61.5"/>
    <n v="0"/>
    <n v="0"/>
  </r>
  <r>
    <x v="82"/>
    <x v="5"/>
    <n v="61.5"/>
    <n v="0"/>
    <n v="0"/>
  </r>
  <r>
    <x v="83"/>
    <x v="5"/>
    <n v="61.5"/>
    <n v="0"/>
    <n v="0"/>
  </r>
  <r>
    <x v="84"/>
    <x v="5"/>
    <n v="61.5"/>
    <n v="0"/>
    <n v="0"/>
  </r>
  <r>
    <x v="85"/>
    <x v="5"/>
    <n v="61.5"/>
    <n v="0"/>
    <n v="0"/>
  </r>
  <r>
    <x v="86"/>
    <x v="5"/>
    <n v="61.5"/>
    <n v="0"/>
    <n v="0"/>
  </r>
  <r>
    <x v="87"/>
    <x v="5"/>
    <n v="61.5"/>
    <n v="0"/>
    <n v="0"/>
  </r>
  <r>
    <x v="88"/>
    <x v="5"/>
    <n v="61.5"/>
    <n v="0"/>
    <n v="0"/>
  </r>
  <r>
    <x v="89"/>
    <x v="5"/>
    <n v="61.5"/>
    <n v="0"/>
    <n v="0"/>
  </r>
  <r>
    <x v="90"/>
    <x v="5"/>
    <n v="61.5"/>
    <n v="0"/>
    <n v="0"/>
  </r>
  <r>
    <x v="91"/>
    <x v="5"/>
    <n v="61.5"/>
    <n v="0"/>
    <n v="0"/>
  </r>
  <r>
    <x v="92"/>
    <x v="5"/>
    <n v="61.5"/>
    <n v="0"/>
    <n v="0"/>
  </r>
  <r>
    <x v="93"/>
    <x v="5"/>
    <n v="61.5"/>
    <n v="0"/>
    <n v="0"/>
  </r>
  <r>
    <x v="94"/>
    <x v="5"/>
    <n v="61.5"/>
    <n v="0"/>
    <n v="0"/>
  </r>
  <r>
    <x v="95"/>
    <x v="5"/>
    <n v="61.5"/>
    <n v="0"/>
    <n v="0"/>
  </r>
  <r>
    <x v="0"/>
    <x v="6"/>
    <n v="61.8"/>
    <n v="580.39"/>
    <n v="309.60000000000002"/>
  </r>
  <r>
    <x v="1"/>
    <x v="6"/>
    <n v="61.8"/>
    <n v="243.02"/>
    <n v="92.44"/>
  </r>
  <r>
    <x v="2"/>
    <x v="6"/>
    <n v="61.8"/>
    <n v="243.51"/>
    <n v="99.32"/>
  </r>
  <r>
    <x v="3"/>
    <x v="6"/>
    <n v="61.8"/>
    <n v="202.45"/>
    <n v="73.72"/>
  </r>
  <r>
    <x v="4"/>
    <x v="6"/>
    <n v="61.8"/>
    <n v="223.85"/>
    <n v="93.78"/>
  </r>
  <r>
    <x v="5"/>
    <x v="6"/>
    <n v="61.8"/>
    <n v="228.6"/>
    <n v="89.77"/>
  </r>
  <r>
    <x v="6"/>
    <x v="6"/>
    <n v="61.8"/>
    <n v="158.28"/>
    <n v="29.83"/>
  </r>
  <r>
    <x v="7"/>
    <x v="6"/>
    <n v="61.8"/>
    <n v="264.41000000000003"/>
    <n v="114.67"/>
  </r>
  <r>
    <x v="8"/>
    <x v="6"/>
    <n v="61.8"/>
    <n v="177.35"/>
    <n v="39.44"/>
  </r>
  <r>
    <x v="9"/>
    <x v="6"/>
    <n v="61.8"/>
    <n v="178.73"/>
    <n v="36.96"/>
  </r>
  <r>
    <x v="10"/>
    <x v="6"/>
    <n v="61.8"/>
    <n v="170.01"/>
    <n v="21.6"/>
  </r>
  <r>
    <x v="11"/>
    <x v="6"/>
    <n v="61.8"/>
    <n v="587.5"/>
    <n v="-120.49"/>
  </r>
  <r>
    <x v="12"/>
    <x v="6"/>
    <n v="61.8"/>
    <n v="428.38"/>
    <n v="4.37"/>
  </r>
  <r>
    <x v="13"/>
    <x v="6"/>
    <n v="61.8"/>
    <n v="118.96"/>
    <n v="-69.599999999999994"/>
  </r>
  <r>
    <x v="14"/>
    <x v="6"/>
    <n v="61.8"/>
    <n v="171.35"/>
    <n v="-56.2"/>
  </r>
  <r>
    <x v="15"/>
    <x v="6"/>
    <n v="61.8"/>
    <n v="170.98"/>
    <n v="-54.91"/>
  </r>
  <r>
    <x v="16"/>
    <x v="6"/>
    <n v="61.8"/>
    <n v="143.94"/>
    <n v="-68.17"/>
  </r>
  <r>
    <x v="17"/>
    <x v="6"/>
    <n v="61.8"/>
    <n v="184.15"/>
    <n v="-44.24"/>
  </r>
  <r>
    <x v="18"/>
    <x v="6"/>
    <n v="61.8"/>
    <n v="179.74"/>
    <n v="-37.130000000000003"/>
  </r>
  <r>
    <x v="19"/>
    <x v="6"/>
    <n v="61.8"/>
    <n v="236.35"/>
    <n v="-18.37"/>
  </r>
  <r>
    <x v="20"/>
    <x v="6"/>
    <n v="61.8"/>
    <n v="211.49"/>
    <n v="-17.93"/>
  </r>
  <r>
    <x v="21"/>
    <x v="6"/>
    <n v="61.8"/>
    <n v="185.78"/>
    <n v="-27.91"/>
  </r>
  <r>
    <x v="22"/>
    <x v="6"/>
    <n v="61.8"/>
    <n v="163.91"/>
    <n v="-53.94"/>
  </r>
  <r>
    <x v="23"/>
    <x v="6"/>
    <n v="61.8"/>
    <n v="71.650000000000006"/>
    <n v="-113.8"/>
  </r>
  <r>
    <x v="24"/>
    <x v="6"/>
    <n v="61.8"/>
    <n v="656.98"/>
    <n v="468.13"/>
  </r>
  <r>
    <x v="25"/>
    <x v="6"/>
    <n v="61.8"/>
    <n v="255.87"/>
    <n v="180.15"/>
  </r>
  <r>
    <x v="26"/>
    <x v="6"/>
    <n v="61.8"/>
    <n v="254.17"/>
    <n v="180.26"/>
  </r>
  <r>
    <x v="27"/>
    <x v="6"/>
    <n v="61.8"/>
    <n v="164.34"/>
    <n v="149.04"/>
  </r>
  <r>
    <x v="28"/>
    <x v="6"/>
    <n v="61.8"/>
    <n v="238.82"/>
    <n v="176.98"/>
  </r>
  <r>
    <x v="29"/>
    <x v="6"/>
    <n v="61.8"/>
    <n v="323.70999999999998"/>
    <n v="239.51"/>
  </r>
  <r>
    <x v="30"/>
    <x v="6"/>
    <n v="61.8"/>
    <n v="290.38"/>
    <n v="221.74"/>
  </r>
  <r>
    <x v="31"/>
    <x v="6"/>
    <n v="61.8"/>
    <n v="330.29"/>
    <n v="251.99"/>
  </r>
  <r>
    <x v="32"/>
    <x v="6"/>
    <n v="61.8"/>
    <n v="253.45"/>
    <n v="204.38"/>
  </r>
  <r>
    <x v="33"/>
    <x v="6"/>
    <n v="61.8"/>
    <n v="271.55"/>
    <n v="204.99"/>
  </r>
  <r>
    <x v="34"/>
    <x v="6"/>
    <n v="61.8"/>
    <n v="310.32"/>
    <n v="227.34"/>
  </r>
  <r>
    <x v="35"/>
    <x v="6"/>
    <n v="61.8"/>
    <n v="188.81"/>
    <n v="137.47"/>
  </r>
  <r>
    <x v="36"/>
    <x v="6"/>
    <n v="61.8"/>
    <n v="895.13"/>
    <n v="574.29"/>
  </r>
  <r>
    <x v="37"/>
    <x v="6"/>
    <n v="61.8"/>
    <n v="306.39999999999998"/>
    <n v="192.12"/>
  </r>
  <r>
    <x v="38"/>
    <x v="6"/>
    <n v="61.8"/>
    <n v="358.56"/>
    <n v="226.25"/>
  </r>
  <r>
    <x v="39"/>
    <x v="6"/>
    <n v="61.8"/>
    <n v="295.95"/>
    <n v="0"/>
  </r>
  <r>
    <x v="40"/>
    <x v="6"/>
    <n v="61.8"/>
    <n v="405.13"/>
    <n v="0"/>
  </r>
  <r>
    <x v="41"/>
    <x v="6"/>
    <n v="61.8"/>
    <n v="369.29"/>
    <n v="244.57"/>
  </r>
  <r>
    <x v="42"/>
    <x v="6"/>
    <n v="61.8"/>
    <n v="378.04"/>
    <n v="0"/>
  </r>
  <r>
    <x v="43"/>
    <x v="6"/>
    <n v="61.8"/>
    <n v="457.05"/>
    <n v="0"/>
  </r>
  <r>
    <x v="44"/>
    <x v="6"/>
    <n v="61.8"/>
    <n v="433.96"/>
    <n v="0"/>
  </r>
  <r>
    <x v="45"/>
    <x v="6"/>
    <n v="61.8"/>
    <n v="416.19"/>
    <n v="0"/>
  </r>
  <r>
    <x v="46"/>
    <x v="6"/>
    <n v="61.8"/>
    <n v="336.03"/>
    <n v="0"/>
  </r>
  <r>
    <x v="47"/>
    <x v="6"/>
    <n v="61.8"/>
    <n v="226.65"/>
    <n v="105.16"/>
  </r>
  <r>
    <x v="48"/>
    <x v="6"/>
    <n v="61.8"/>
    <n v="938.18"/>
    <n v="607.13"/>
  </r>
  <r>
    <x v="49"/>
    <x v="6"/>
    <n v="61.8"/>
    <n v="316.8"/>
    <n v="187.42"/>
  </r>
  <r>
    <x v="50"/>
    <x v="6"/>
    <n v="61.8"/>
    <n v="269.04000000000002"/>
    <n v="179.34"/>
  </r>
  <r>
    <x v="51"/>
    <x v="6"/>
    <n v="61.8"/>
    <n v="261.79000000000002"/>
    <n v="170.39"/>
  </r>
  <r>
    <x v="52"/>
    <x v="6"/>
    <n v="61.8"/>
    <n v="306.16000000000003"/>
    <n v="214.49"/>
  </r>
  <r>
    <x v="53"/>
    <x v="6"/>
    <n v="61.8"/>
    <n v="371.39"/>
    <n v="0"/>
  </r>
  <r>
    <x v="54"/>
    <x v="6"/>
    <n v="61.8"/>
    <n v="289.41000000000003"/>
    <n v="0"/>
  </r>
  <r>
    <x v="55"/>
    <x v="6"/>
    <n v="61.8"/>
    <n v="397.62"/>
    <n v="0"/>
  </r>
  <r>
    <x v="56"/>
    <x v="6"/>
    <n v="61.8"/>
    <n v="347.04"/>
    <n v="0"/>
  </r>
  <r>
    <x v="57"/>
    <x v="6"/>
    <n v="61.8"/>
    <n v="375.25"/>
    <n v="0"/>
  </r>
  <r>
    <x v="58"/>
    <x v="6"/>
    <n v="61.8"/>
    <n v="355.31"/>
    <n v="0"/>
  </r>
  <r>
    <x v="59"/>
    <x v="6"/>
    <n v="61.8"/>
    <n v="258.67"/>
    <n v="163.71"/>
  </r>
  <r>
    <x v="60"/>
    <x v="6"/>
    <n v="61.8"/>
    <n v="790.49"/>
    <n v="504.17"/>
  </r>
  <r>
    <x v="61"/>
    <x v="6"/>
    <n v="61.8"/>
    <n v="324.68"/>
    <n v="179.07"/>
  </r>
  <r>
    <x v="62"/>
    <x v="6"/>
    <n v="61.8"/>
    <n v="317.38"/>
    <n v="219.63"/>
  </r>
  <r>
    <x v="63"/>
    <x v="6"/>
    <n v="61.8"/>
    <n v="299.83999999999997"/>
    <n v="198.15"/>
  </r>
  <r>
    <x v="64"/>
    <x v="6"/>
    <n v="61.8"/>
    <n v="409.66"/>
    <n v="0"/>
  </r>
  <r>
    <x v="65"/>
    <x v="6"/>
    <n v="61.8"/>
    <n v="383.31"/>
    <n v="0"/>
  </r>
  <r>
    <x v="66"/>
    <x v="6"/>
    <n v="61.8"/>
    <n v="361.96"/>
    <n v="0"/>
  </r>
  <r>
    <x v="67"/>
    <x v="6"/>
    <n v="61.8"/>
    <n v="467.16"/>
    <n v="0"/>
  </r>
  <r>
    <x v="68"/>
    <x v="6"/>
    <n v="61.8"/>
    <n v="358.4"/>
    <n v="0"/>
  </r>
  <r>
    <x v="69"/>
    <x v="6"/>
    <n v="61.8"/>
    <n v="322.2"/>
    <n v="172.72"/>
  </r>
  <r>
    <x v="70"/>
    <x v="6"/>
    <n v="61.8"/>
    <n v="419.05"/>
    <n v="256.08999999999997"/>
  </r>
  <r>
    <x v="71"/>
    <x v="6"/>
    <n v="61.8"/>
    <n v="266.44"/>
    <n v="116.69"/>
  </r>
  <r>
    <x v="72"/>
    <x v="6"/>
    <n v="61.8"/>
    <n v="0"/>
    <n v="0"/>
  </r>
  <r>
    <x v="73"/>
    <x v="6"/>
    <n v="61.8"/>
    <n v="0"/>
    <n v="0"/>
  </r>
  <r>
    <x v="74"/>
    <x v="6"/>
    <n v="61.8"/>
    <n v="0"/>
    <n v="0"/>
  </r>
  <r>
    <x v="75"/>
    <x v="6"/>
    <n v="61.8"/>
    <n v="0"/>
    <n v="0"/>
  </r>
  <r>
    <x v="76"/>
    <x v="6"/>
    <n v="61.8"/>
    <n v="0"/>
    <n v="0"/>
  </r>
  <r>
    <x v="77"/>
    <x v="6"/>
    <n v="61.8"/>
    <n v="0"/>
    <n v="0"/>
  </r>
  <r>
    <x v="78"/>
    <x v="6"/>
    <n v="61.8"/>
    <n v="0"/>
    <n v="0"/>
  </r>
  <r>
    <x v="79"/>
    <x v="6"/>
    <n v="61.8"/>
    <n v="0"/>
    <n v="0"/>
  </r>
  <r>
    <x v="80"/>
    <x v="6"/>
    <n v="61.8"/>
    <n v="0"/>
    <n v="0"/>
  </r>
  <r>
    <x v="81"/>
    <x v="6"/>
    <n v="61.8"/>
    <n v="0"/>
    <n v="0"/>
  </r>
  <r>
    <x v="82"/>
    <x v="6"/>
    <n v="61.8"/>
    <n v="0"/>
    <n v="0"/>
  </r>
  <r>
    <x v="83"/>
    <x v="6"/>
    <n v="61.8"/>
    <n v="0"/>
    <n v="0"/>
  </r>
  <r>
    <x v="84"/>
    <x v="6"/>
    <n v="61.8"/>
    <n v="0"/>
    <n v="0"/>
  </r>
  <r>
    <x v="85"/>
    <x v="6"/>
    <n v="61.8"/>
    <n v="0"/>
    <n v="0"/>
  </r>
  <r>
    <x v="86"/>
    <x v="6"/>
    <n v="61.8"/>
    <n v="0"/>
    <n v="0"/>
  </r>
  <r>
    <x v="87"/>
    <x v="6"/>
    <n v="61.8"/>
    <n v="0"/>
    <n v="0"/>
  </r>
  <r>
    <x v="88"/>
    <x v="6"/>
    <n v="61.8"/>
    <n v="0"/>
    <n v="0"/>
  </r>
  <r>
    <x v="89"/>
    <x v="6"/>
    <n v="61.8"/>
    <n v="0"/>
    <n v="0"/>
  </r>
  <r>
    <x v="90"/>
    <x v="6"/>
    <n v="61.8"/>
    <n v="0"/>
    <n v="0"/>
  </r>
  <r>
    <x v="91"/>
    <x v="6"/>
    <n v="61.8"/>
    <n v="0"/>
    <n v="0"/>
  </r>
  <r>
    <x v="92"/>
    <x v="6"/>
    <n v="61.8"/>
    <n v="0"/>
    <n v="0"/>
  </r>
  <r>
    <x v="93"/>
    <x v="6"/>
    <n v="61.8"/>
    <n v="0"/>
    <n v="0"/>
  </r>
  <r>
    <x v="94"/>
    <x v="6"/>
    <n v="61.8"/>
    <n v="0"/>
    <n v="0"/>
  </r>
  <r>
    <x v="95"/>
    <x v="6"/>
    <n v="61.8"/>
    <n v="0"/>
    <n v="0"/>
  </r>
  <r>
    <x v="0"/>
    <x v="7"/>
    <n v="62.1"/>
    <n v="585.6"/>
    <n v="312.19"/>
  </r>
  <r>
    <x v="1"/>
    <x v="7"/>
    <n v="62.1"/>
    <n v="246.74"/>
    <n v="92.93"/>
  </r>
  <r>
    <x v="2"/>
    <x v="7"/>
    <n v="62.1"/>
    <n v="247.23"/>
    <n v="99.93"/>
  </r>
  <r>
    <x v="3"/>
    <x v="7"/>
    <n v="62.1"/>
    <n v="206.33"/>
    <n v="74.739999999999995"/>
  </r>
  <r>
    <x v="4"/>
    <x v="7"/>
    <n v="62.1"/>
    <n v="227.39"/>
    <n v="94.46"/>
  </r>
  <r>
    <x v="5"/>
    <x v="7"/>
    <n v="62.1"/>
    <n v="232.27"/>
    <n v="90.37"/>
  </r>
  <r>
    <x v="6"/>
    <x v="7"/>
    <n v="62.1"/>
    <n v="161.86000000000001"/>
    <n v="30.26"/>
  </r>
  <r>
    <x v="7"/>
    <x v="7"/>
    <n v="62.1"/>
    <n v="268.23"/>
    <n v="115.57"/>
  </r>
  <r>
    <x v="8"/>
    <x v="7"/>
    <n v="62.1"/>
    <n v="181.12"/>
    <n v="40.32"/>
  </r>
  <r>
    <x v="9"/>
    <x v="7"/>
    <n v="62.1"/>
    <n v="182.52"/>
    <n v="38.229999999999997"/>
  </r>
  <r>
    <x v="10"/>
    <x v="7"/>
    <n v="62.1"/>
    <n v="173.71"/>
    <n v="22.29"/>
  </r>
  <r>
    <x v="11"/>
    <x v="7"/>
    <n v="62.1"/>
    <n v="591.38"/>
    <n v="-128.24"/>
  </r>
  <r>
    <x v="12"/>
    <x v="7"/>
    <n v="62.1"/>
    <n v="433.19"/>
    <n v="5.27"/>
  </r>
  <r>
    <x v="13"/>
    <x v="7"/>
    <n v="62.1"/>
    <n v="120.27"/>
    <n v="-69.95"/>
  </r>
  <r>
    <x v="14"/>
    <x v="7"/>
    <n v="62.1"/>
    <n v="173.07"/>
    <n v="-56.56"/>
  </r>
  <r>
    <x v="15"/>
    <x v="7"/>
    <n v="62.1"/>
    <n v="173.64"/>
    <n v="-54.87"/>
  </r>
  <r>
    <x v="16"/>
    <x v="7"/>
    <n v="62.1"/>
    <n v="145.61000000000001"/>
    <n v="-68.69"/>
  </r>
  <r>
    <x v="17"/>
    <x v="7"/>
    <n v="62.1"/>
    <n v="187.1"/>
    <n v="-43.99"/>
  </r>
  <r>
    <x v="18"/>
    <x v="7"/>
    <n v="62.1"/>
    <n v="182.43"/>
    <n v="-36.86"/>
  </r>
  <r>
    <x v="19"/>
    <x v="7"/>
    <n v="62.1"/>
    <n v="239.3"/>
    <n v="-18.059999999999999"/>
  </r>
  <r>
    <x v="20"/>
    <x v="7"/>
    <n v="62.1"/>
    <n v="214.51"/>
    <n v="-17.46"/>
  </r>
  <r>
    <x v="21"/>
    <x v="7"/>
    <n v="62.1"/>
    <n v="188.73"/>
    <n v="-27.41"/>
  </r>
  <r>
    <x v="22"/>
    <x v="7"/>
    <n v="62.1"/>
    <n v="166.39"/>
    <n v="-53.91"/>
  </r>
  <r>
    <x v="23"/>
    <x v="7"/>
    <n v="62.1"/>
    <n v="74.599999999999994"/>
    <n v="-112.3"/>
  </r>
  <r>
    <x v="24"/>
    <x v="7"/>
    <n v="62.1"/>
    <n v="664.05"/>
    <n v="468.96"/>
  </r>
  <r>
    <x v="25"/>
    <x v="7"/>
    <n v="62.1"/>
    <n v="260.22000000000003"/>
    <n v="179.61"/>
  </r>
  <r>
    <x v="26"/>
    <x v="7"/>
    <n v="62.1"/>
    <n v="258.14999999999998"/>
    <n v="179.93"/>
  </r>
  <r>
    <x v="27"/>
    <x v="7"/>
    <n v="62.1"/>
    <n v="167.72"/>
    <n v="147.66999999999999"/>
  </r>
  <r>
    <x v="28"/>
    <x v="7"/>
    <n v="62.1"/>
    <n v="242.78"/>
    <n v="176.62"/>
  </r>
  <r>
    <x v="29"/>
    <x v="7"/>
    <n v="62.1"/>
    <n v="328.28"/>
    <n v="239.58"/>
  </r>
  <r>
    <x v="30"/>
    <x v="7"/>
    <n v="62.1"/>
    <n v="294.68"/>
    <n v="221.37"/>
  </r>
  <r>
    <x v="31"/>
    <x v="7"/>
    <n v="62.1"/>
    <n v="334.75"/>
    <n v="251.8"/>
  </r>
  <r>
    <x v="32"/>
    <x v="7"/>
    <n v="62.1"/>
    <n v="257.11"/>
    <n v="204.06"/>
  </r>
  <r>
    <x v="33"/>
    <x v="7"/>
    <n v="62.1"/>
    <n v="275.8"/>
    <n v="204.84"/>
  </r>
  <r>
    <x v="34"/>
    <x v="7"/>
    <n v="62.1"/>
    <n v="315.04000000000002"/>
    <n v="226.98"/>
  </r>
  <r>
    <x v="35"/>
    <x v="7"/>
    <n v="62.1"/>
    <n v="192.67"/>
    <n v="136.66999999999999"/>
  </r>
  <r>
    <x v="36"/>
    <x v="7"/>
    <n v="62.1"/>
    <n v="901.94"/>
    <n v="575.75"/>
  </r>
  <r>
    <x v="37"/>
    <x v="7"/>
    <n v="62.1"/>
    <n v="310.29000000000002"/>
    <n v="191.86"/>
  </r>
  <r>
    <x v="38"/>
    <x v="7"/>
    <n v="62.1"/>
    <n v="362.7"/>
    <n v="225.34"/>
  </r>
  <r>
    <x v="39"/>
    <x v="7"/>
    <n v="62.1"/>
    <n v="299.31"/>
    <n v="0"/>
  </r>
  <r>
    <x v="40"/>
    <x v="7"/>
    <n v="62.1"/>
    <n v="409.18"/>
    <n v="0"/>
  </r>
  <r>
    <x v="41"/>
    <x v="7"/>
    <n v="62.1"/>
    <n v="372.95"/>
    <n v="243.91"/>
  </r>
  <r>
    <x v="42"/>
    <x v="7"/>
    <n v="62.1"/>
    <n v="381.72"/>
    <n v="0"/>
  </r>
  <r>
    <x v="43"/>
    <x v="7"/>
    <n v="62.1"/>
    <n v="461.08"/>
    <n v="0"/>
  </r>
  <r>
    <x v="44"/>
    <x v="7"/>
    <n v="62.1"/>
    <n v="438.09"/>
    <n v="0"/>
  </r>
  <r>
    <x v="45"/>
    <x v="7"/>
    <n v="62.1"/>
    <n v="420.49"/>
    <n v="0"/>
  </r>
  <r>
    <x v="46"/>
    <x v="7"/>
    <n v="62.1"/>
    <n v="339.94"/>
    <n v="0"/>
  </r>
  <r>
    <x v="47"/>
    <x v="7"/>
    <n v="62.1"/>
    <n v="230.88"/>
    <n v="104.68"/>
  </r>
  <r>
    <x v="48"/>
    <x v="7"/>
    <n v="62.1"/>
    <n v="945.47"/>
    <n v="609.1"/>
  </r>
  <r>
    <x v="49"/>
    <x v="7"/>
    <n v="62.1"/>
    <n v="320.93"/>
    <n v="186.8"/>
  </r>
  <r>
    <x v="50"/>
    <x v="7"/>
    <n v="62.1"/>
    <n v="272.8"/>
    <n v="178.45"/>
  </r>
  <r>
    <x v="51"/>
    <x v="7"/>
    <n v="62.1"/>
    <n v="265.41000000000003"/>
    <n v="169.47"/>
  </r>
  <r>
    <x v="52"/>
    <x v="7"/>
    <n v="62.1"/>
    <n v="309.64"/>
    <n v="213.85"/>
  </r>
  <r>
    <x v="53"/>
    <x v="7"/>
    <n v="62.1"/>
    <n v="375.56"/>
    <n v="0"/>
  </r>
  <r>
    <x v="54"/>
    <x v="7"/>
    <n v="62.1"/>
    <n v="292.60000000000002"/>
    <n v="0"/>
  </r>
  <r>
    <x v="55"/>
    <x v="7"/>
    <n v="62.1"/>
    <n v="401.88"/>
    <n v="0"/>
  </r>
  <r>
    <x v="56"/>
    <x v="7"/>
    <n v="62.1"/>
    <n v="351.01"/>
    <n v="0"/>
  </r>
  <r>
    <x v="57"/>
    <x v="7"/>
    <n v="62.1"/>
    <n v="379.46"/>
    <n v="0"/>
  </r>
  <r>
    <x v="58"/>
    <x v="7"/>
    <n v="62.1"/>
    <n v="359.98"/>
    <n v="0"/>
  </r>
  <r>
    <x v="59"/>
    <x v="7"/>
    <n v="62.1"/>
    <n v="262.44"/>
    <n v="164.83"/>
  </r>
  <r>
    <x v="60"/>
    <x v="7"/>
    <n v="62.1"/>
    <n v="796.38"/>
    <n v="505.29"/>
  </r>
  <r>
    <x v="61"/>
    <x v="7"/>
    <n v="62.1"/>
    <n v="328.88"/>
    <n v="178.62"/>
  </r>
  <r>
    <x v="62"/>
    <x v="7"/>
    <n v="62.1"/>
    <n v="321.04000000000002"/>
    <n v="218.57"/>
  </r>
  <r>
    <x v="63"/>
    <x v="7"/>
    <n v="62.1"/>
    <n v="303.45999999999998"/>
    <n v="197.5"/>
  </r>
  <r>
    <x v="64"/>
    <x v="7"/>
    <n v="62.1"/>
    <n v="414.07"/>
    <n v="0"/>
  </r>
  <r>
    <x v="65"/>
    <x v="7"/>
    <n v="62.1"/>
    <n v="387.75"/>
    <n v="0"/>
  </r>
  <r>
    <x v="66"/>
    <x v="7"/>
    <n v="62.1"/>
    <n v="365.95"/>
    <n v="0"/>
  </r>
  <r>
    <x v="67"/>
    <x v="7"/>
    <n v="62.1"/>
    <n v="471.6"/>
    <n v="0"/>
  </r>
  <r>
    <x v="68"/>
    <x v="7"/>
    <n v="62.1"/>
    <n v="361.64"/>
    <n v="0"/>
  </r>
  <r>
    <x v="69"/>
    <x v="7"/>
    <n v="62.1"/>
    <n v="327.8"/>
    <n v="173.73"/>
  </r>
  <r>
    <x v="70"/>
    <x v="7"/>
    <n v="62.1"/>
    <n v="424.48"/>
    <n v="256.2"/>
  </r>
  <r>
    <x v="71"/>
    <x v="7"/>
    <n v="62.1"/>
    <n v="272.35000000000002"/>
    <n v="116.55"/>
  </r>
  <r>
    <x v="72"/>
    <x v="7"/>
    <n v="62.1"/>
    <n v="0"/>
    <n v="0"/>
  </r>
  <r>
    <x v="73"/>
    <x v="7"/>
    <n v="62.1"/>
    <n v="0"/>
    <n v="0"/>
  </r>
  <r>
    <x v="74"/>
    <x v="7"/>
    <n v="62.1"/>
    <n v="0"/>
    <n v="0"/>
  </r>
  <r>
    <x v="75"/>
    <x v="7"/>
    <n v="62.1"/>
    <n v="0"/>
    <n v="0"/>
  </r>
  <r>
    <x v="76"/>
    <x v="7"/>
    <n v="62.1"/>
    <n v="0"/>
    <n v="0"/>
  </r>
  <r>
    <x v="77"/>
    <x v="7"/>
    <n v="62.1"/>
    <n v="0"/>
    <n v="0"/>
  </r>
  <r>
    <x v="78"/>
    <x v="7"/>
    <n v="62.1"/>
    <n v="0"/>
    <n v="0"/>
  </r>
  <r>
    <x v="79"/>
    <x v="7"/>
    <n v="62.1"/>
    <n v="0"/>
    <n v="0"/>
  </r>
  <r>
    <x v="80"/>
    <x v="7"/>
    <n v="62.1"/>
    <n v="0"/>
    <n v="0"/>
  </r>
  <r>
    <x v="81"/>
    <x v="7"/>
    <n v="62.1"/>
    <n v="0"/>
    <n v="0"/>
  </r>
  <r>
    <x v="82"/>
    <x v="7"/>
    <n v="62.1"/>
    <n v="0"/>
    <n v="0"/>
  </r>
  <r>
    <x v="83"/>
    <x v="7"/>
    <n v="62.1"/>
    <n v="0"/>
    <n v="0"/>
  </r>
  <r>
    <x v="84"/>
    <x v="7"/>
    <n v="62.1"/>
    <n v="0"/>
    <n v="0"/>
  </r>
  <r>
    <x v="85"/>
    <x v="7"/>
    <n v="62.1"/>
    <n v="0"/>
    <n v="0"/>
  </r>
  <r>
    <x v="86"/>
    <x v="7"/>
    <n v="62.1"/>
    <n v="0"/>
    <n v="0"/>
  </r>
  <r>
    <x v="87"/>
    <x v="7"/>
    <n v="62.1"/>
    <n v="0"/>
    <n v="0"/>
  </r>
  <r>
    <x v="88"/>
    <x v="7"/>
    <n v="62.1"/>
    <n v="0"/>
    <n v="0"/>
  </r>
  <r>
    <x v="89"/>
    <x v="7"/>
    <n v="62.1"/>
    <n v="0"/>
    <n v="0"/>
  </r>
  <r>
    <x v="90"/>
    <x v="7"/>
    <n v="62.1"/>
    <n v="0"/>
    <n v="0"/>
  </r>
  <r>
    <x v="91"/>
    <x v="7"/>
    <n v="62.1"/>
    <n v="0"/>
    <n v="0"/>
  </r>
  <r>
    <x v="92"/>
    <x v="7"/>
    <n v="62.1"/>
    <n v="0"/>
    <n v="0"/>
  </r>
  <r>
    <x v="93"/>
    <x v="7"/>
    <n v="62.1"/>
    <n v="0"/>
    <n v="0"/>
  </r>
  <r>
    <x v="94"/>
    <x v="7"/>
    <n v="62.1"/>
    <n v="0"/>
    <n v="0"/>
  </r>
  <r>
    <x v="95"/>
    <x v="7"/>
    <n v="62.1"/>
    <n v="0"/>
    <n v="0"/>
  </r>
  <r>
    <x v="0"/>
    <x v="8"/>
    <n v="62.4"/>
    <n v="590.95000000000005"/>
    <n v="314.85000000000002"/>
  </r>
  <r>
    <x v="1"/>
    <x v="8"/>
    <n v="62.4"/>
    <n v="250.66"/>
    <n v="93.47"/>
  </r>
  <r>
    <x v="2"/>
    <x v="8"/>
    <n v="62.4"/>
    <n v="251.14"/>
    <n v="100.58"/>
  </r>
  <r>
    <x v="3"/>
    <x v="8"/>
    <n v="62.4"/>
    <n v="210.42"/>
    <n v="75.900000000000006"/>
  </r>
  <r>
    <x v="4"/>
    <x v="8"/>
    <n v="62.4"/>
    <n v="231.12"/>
    <n v="95.22"/>
  </r>
  <r>
    <x v="5"/>
    <x v="8"/>
    <n v="62.4"/>
    <n v="236.13"/>
    <n v="91.02"/>
  </r>
  <r>
    <x v="6"/>
    <x v="8"/>
    <n v="62.4"/>
    <n v="165.67"/>
    <n v="30.79"/>
  </r>
  <r>
    <x v="7"/>
    <x v="8"/>
    <n v="62.4"/>
    <n v="272.23"/>
    <n v="116.55"/>
  </r>
  <r>
    <x v="8"/>
    <x v="8"/>
    <n v="62.4"/>
    <n v="185.11"/>
    <n v="41.36"/>
  </r>
  <r>
    <x v="9"/>
    <x v="8"/>
    <n v="62.4"/>
    <n v="186.52"/>
    <n v="39.71"/>
  </r>
  <r>
    <x v="10"/>
    <x v="8"/>
    <n v="62.4"/>
    <n v="177.62"/>
    <n v="23.11"/>
  </r>
  <r>
    <x v="11"/>
    <x v="8"/>
    <n v="62.4"/>
    <n v="595.28"/>
    <n v="-136.4"/>
  </r>
  <r>
    <x v="12"/>
    <x v="8"/>
    <n v="62.4"/>
    <n v="438.31"/>
    <n v="6.25"/>
  </r>
  <r>
    <x v="13"/>
    <x v="8"/>
    <n v="62.4"/>
    <n v="121.8"/>
    <n v="-70.23"/>
  </r>
  <r>
    <x v="14"/>
    <x v="8"/>
    <n v="62.4"/>
    <n v="174.94"/>
    <n v="-56.92"/>
  </r>
  <r>
    <x v="15"/>
    <x v="8"/>
    <n v="62.4"/>
    <n v="176.57"/>
    <n v="-54.79"/>
  </r>
  <r>
    <x v="16"/>
    <x v="8"/>
    <n v="62.4"/>
    <n v="147.46"/>
    <n v="-69.23"/>
  </r>
  <r>
    <x v="17"/>
    <x v="8"/>
    <n v="62.4"/>
    <n v="190.34"/>
    <n v="-43.67"/>
  </r>
  <r>
    <x v="18"/>
    <x v="8"/>
    <n v="62.4"/>
    <n v="185.39"/>
    <n v="-36.53"/>
  </r>
  <r>
    <x v="19"/>
    <x v="8"/>
    <n v="62.4"/>
    <n v="242.49"/>
    <n v="-17.68"/>
  </r>
  <r>
    <x v="20"/>
    <x v="8"/>
    <n v="62.4"/>
    <n v="217.81"/>
    <n v="-16.93"/>
  </r>
  <r>
    <x v="21"/>
    <x v="8"/>
    <n v="62.4"/>
    <n v="192.01"/>
    <n v="-26.82"/>
  </r>
  <r>
    <x v="22"/>
    <x v="8"/>
    <n v="62.4"/>
    <n v="169.15"/>
    <n v="-53.82"/>
  </r>
  <r>
    <x v="23"/>
    <x v="8"/>
    <n v="62.4"/>
    <n v="77.989999999999995"/>
    <n v="-110.59"/>
  </r>
  <r>
    <x v="24"/>
    <x v="8"/>
    <n v="62.4"/>
    <n v="671.35"/>
    <n v="469.61"/>
  </r>
  <r>
    <x v="25"/>
    <x v="8"/>
    <n v="62.4"/>
    <n v="264.79000000000002"/>
    <n v="178.96"/>
  </r>
  <r>
    <x v="26"/>
    <x v="8"/>
    <n v="62.4"/>
    <n v="262.32"/>
    <n v="179.49"/>
  </r>
  <r>
    <x v="27"/>
    <x v="8"/>
    <n v="62.4"/>
    <n v="171.3"/>
    <n v="146.1"/>
  </r>
  <r>
    <x v="28"/>
    <x v="8"/>
    <n v="62.4"/>
    <n v="246.93"/>
    <n v="176.19"/>
  </r>
  <r>
    <x v="29"/>
    <x v="8"/>
    <n v="62.4"/>
    <n v="333.05"/>
    <n v="239.55"/>
  </r>
  <r>
    <x v="30"/>
    <x v="8"/>
    <n v="62.4"/>
    <n v="299.18"/>
    <n v="220.86"/>
  </r>
  <r>
    <x v="31"/>
    <x v="8"/>
    <n v="62.4"/>
    <n v="339.42"/>
    <n v="251.47"/>
  </r>
  <r>
    <x v="32"/>
    <x v="8"/>
    <n v="62.4"/>
    <n v="260.92"/>
    <n v="203.61"/>
  </r>
  <r>
    <x v="33"/>
    <x v="8"/>
    <n v="62.4"/>
    <n v="280.25"/>
    <n v="204.59"/>
  </r>
  <r>
    <x v="34"/>
    <x v="8"/>
    <n v="62.4"/>
    <n v="320"/>
    <n v="226.49"/>
  </r>
  <r>
    <x v="35"/>
    <x v="8"/>
    <n v="62.4"/>
    <n v="196.76"/>
    <n v="135.77000000000001"/>
  </r>
  <r>
    <x v="36"/>
    <x v="8"/>
    <n v="62.4"/>
    <n v="908.88"/>
    <n v="577.02"/>
  </r>
  <r>
    <x v="37"/>
    <x v="8"/>
    <n v="62.4"/>
    <n v="314.36"/>
    <n v="191.5"/>
  </r>
  <r>
    <x v="38"/>
    <x v="8"/>
    <n v="62.4"/>
    <n v="367.04"/>
    <n v="224.23"/>
  </r>
  <r>
    <x v="39"/>
    <x v="8"/>
    <n v="62.4"/>
    <n v="302.81"/>
    <n v="0"/>
  </r>
  <r>
    <x v="40"/>
    <x v="8"/>
    <n v="62.4"/>
    <n v="413.37"/>
    <n v="0"/>
  </r>
  <r>
    <x v="41"/>
    <x v="8"/>
    <n v="62.4"/>
    <n v="376.75"/>
    <n v="243.02"/>
  </r>
  <r>
    <x v="42"/>
    <x v="8"/>
    <n v="62.4"/>
    <n v="385.53"/>
    <n v="0"/>
  </r>
  <r>
    <x v="43"/>
    <x v="8"/>
    <n v="62.4"/>
    <n v="465.23"/>
    <n v="0"/>
  </r>
  <r>
    <x v="44"/>
    <x v="8"/>
    <n v="62.4"/>
    <n v="442.36"/>
    <n v="0"/>
  </r>
  <r>
    <x v="45"/>
    <x v="8"/>
    <n v="62.4"/>
    <n v="424.95"/>
    <n v="0"/>
  </r>
  <r>
    <x v="46"/>
    <x v="8"/>
    <n v="62.4"/>
    <n v="344.02"/>
    <n v="0"/>
  </r>
  <r>
    <x v="47"/>
    <x v="8"/>
    <n v="62.4"/>
    <n v="235.35"/>
    <n v="104.19"/>
  </r>
  <r>
    <x v="48"/>
    <x v="8"/>
    <n v="62.4"/>
    <n v="952.91"/>
    <n v="610.91999999999996"/>
  </r>
  <r>
    <x v="49"/>
    <x v="8"/>
    <n v="62.4"/>
    <n v="325.26"/>
    <n v="186.05"/>
  </r>
  <r>
    <x v="50"/>
    <x v="8"/>
    <n v="62.4"/>
    <n v="276.77"/>
    <n v="177.34"/>
  </r>
  <r>
    <x v="51"/>
    <x v="8"/>
    <n v="62.4"/>
    <n v="269.20999999999998"/>
    <n v="168.34"/>
  </r>
  <r>
    <x v="52"/>
    <x v="8"/>
    <n v="62.4"/>
    <n v="313.27"/>
    <n v="212.99"/>
  </r>
  <r>
    <x v="53"/>
    <x v="8"/>
    <n v="62.4"/>
    <n v="379.9"/>
    <n v="0"/>
  </r>
  <r>
    <x v="54"/>
    <x v="8"/>
    <n v="62.4"/>
    <n v="295.93"/>
    <n v="0"/>
  </r>
  <r>
    <x v="55"/>
    <x v="8"/>
    <n v="62.4"/>
    <n v="406.31"/>
    <n v="0"/>
  </r>
  <r>
    <x v="56"/>
    <x v="8"/>
    <n v="62.4"/>
    <n v="355.14"/>
    <n v="0"/>
  </r>
  <r>
    <x v="57"/>
    <x v="8"/>
    <n v="62.4"/>
    <n v="383.83"/>
    <n v="0"/>
  </r>
  <r>
    <x v="58"/>
    <x v="8"/>
    <n v="62.4"/>
    <n v="364.87"/>
    <n v="0"/>
  </r>
  <r>
    <x v="59"/>
    <x v="8"/>
    <n v="62.4"/>
    <n v="266.41000000000003"/>
    <n v="166.03"/>
  </r>
  <r>
    <x v="60"/>
    <x v="8"/>
    <n v="62.4"/>
    <n v="802.4"/>
    <n v="506.24"/>
  </r>
  <r>
    <x v="61"/>
    <x v="8"/>
    <n v="62.4"/>
    <n v="333.28"/>
    <n v="178.07"/>
  </r>
  <r>
    <x v="62"/>
    <x v="8"/>
    <n v="62.4"/>
    <n v="324.87"/>
    <n v="217.26"/>
  </r>
  <r>
    <x v="63"/>
    <x v="8"/>
    <n v="62.4"/>
    <n v="307.26"/>
    <n v="196.63"/>
  </r>
  <r>
    <x v="64"/>
    <x v="8"/>
    <n v="62.4"/>
    <n v="418.65"/>
    <n v="0"/>
  </r>
  <r>
    <x v="65"/>
    <x v="8"/>
    <n v="62.4"/>
    <n v="392.38"/>
    <n v="0"/>
  </r>
  <r>
    <x v="66"/>
    <x v="8"/>
    <n v="62.4"/>
    <n v="370.11"/>
    <n v="0"/>
  </r>
  <r>
    <x v="67"/>
    <x v="8"/>
    <n v="62.4"/>
    <n v="476.19"/>
    <n v="0"/>
  </r>
  <r>
    <x v="68"/>
    <x v="8"/>
    <n v="62.4"/>
    <n v="364.98"/>
    <n v="0"/>
  </r>
  <r>
    <x v="69"/>
    <x v="8"/>
    <n v="62.4"/>
    <n v="333.68"/>
    <n v="174.86"/>
  </r>
  <r>
    <x v="70"/>
    <x v="8"/>
    <n v="62.4"/>
    <n v="430.17"/>
    <n v="256.25"/>
  </r>
  <r>
    <x v="71"/>
    <x v="8"/>
    <n v="62.4"/>
    <n v="278.60000000000002"/>
    <n v="116.51"/>
  </r>
  <r>
    <x v="72"/>
    <x v="8"/>
    <n v="62.4"/>
    <n v="0"/>
    <n v="0"/>
  </r>
  <r>
    <x v="73"/>
    <x v="8"/>
    <n v="62.4"/>
    <n v="0"/>
    <n v="0"/>
  </r>
  <r>
    <x v="74"/>
    <x v="8"/>
    <n v="62.4"/>
    <n v="0"/>
    <n v="0"/>
  </r>
  <r>
    <x v="75"/>
    <x v="8"/>
    <n v="62.4"/>
    <n v="0"/>
    <n v="0"/>
  </r>
  <r>
    <x v="76"/>
    <x v="8"/>
    <n v="62.4"/>
    <n v="0"/>
    <n v="0"/>
  </r>
  <r>
    <x v="77"/>
    <x v="8"/>
    <n v="62.4"/>
    <n v="0"/>
    <n v="0"/>
  </r>
  <r>
    <x v="78"/>
    <x v="8"/>
    <n v="62.4"/>
    <n v="0"/>
    <n v="0"/>
  </r>
  <r>
    <x v="79"/>
    <x v="8"/>
    <n v="62.4"/>
    <n v="0"/>
    <n v="0"/>
  </r>
  <r>
    <x v="80"/>
    <x v="8"/>
    <n v="62.4"/>
    <n v="0"/>
    <n v="0"/>
  </r>
  <r>
    <x v="81"/>
    <x v="8"/>
    <n v="62.4"/>
    <n v="0"/>
    <n v="0"/>
  </r>
  <r>
    <x v="82"/>
    <x v="8"/>
    <n v="62.4"/>
    <n v="0"/>
    <n v="0"/>
  </r>
  <r>
    <x v="83"/>
    <x v="8"/>
    <n v="62.4"/>
    <n v="0"/>
    <n v="0"/>
  </r>
  <r>
    <x v="84"/>
    <x v="8"/>
    <n v="62.4"/>
    <n v="0"/>
    <n v="0"/>
  </r>
  <r>
    <x v="85"/>
    <x v="8"/>
    <n v="62.4"/>
    <n v="0"/>
    <n v="0"/>
  </r>
  <r>
    <x v="86"/>
    <x v="8"/>
    <n v="62.4"/>
    <n v="0"/>
    <n v="0"/>
  </r>
  <r>
    <x v="87"/>
    <x v="8"/>
    <n v="62.4"/>
    <n v="0"/>
    <n v="0"/>
  </r>
  <r>
    <x v="88"/>
    <x v="8"/>
    <n v="62.4"/>
    <n v="0"/>
    <n v="0"/>
  </r>
  <r>
    <x v="89"/>
    <x v="8"/>
    <n v="62.4"/>
    <n v="0"/>
    <n v="0"/>
  </r>
  <r>
    <x v="90"/>
    <x v="8"/>
    <n v="62.4"/>
    <n v="0"/>
    <n v="0"/>
  </r>
  <r>
    <x v="91"/>
    <x v="8"/>
    <n v="62.4"/>
    <n v="0"/>
    <n v="0"/>
  </r>
  <r>
    <x v="92"/>
    <x v="8"/>
    <n v="62.4"/>
    <n v="0"/>
    <n v="0"/>
  </r>
  <r>
    <x v="93"/>
    <x v="8"/>
    <n v="62.4"/>
    <n v="0"/>
    <n v="0"/>
  </r>
  <r>
    <x v="94"/>
    <x v="8"/>
    <n v="62.4"/>
    <n v="0"/>
    <n v="0"/>
  </r>
  <r>
    <x v="95"/>
    <x v="8"/>
    <n v="62.4"/>
    <n v="0"/>
    <n v="0"/>
  </r>
  <r>
    <x v="0"/>
    <x v="9"/>
    <n v="62.7"/>
    <n v="596.45000000000005"/>
    <n v="317.58"/>
  </r>
  <r>
    <x v="1"/>
    <x v="9"/>
    <n v="62.7"/>
    <n v="254.78"/>
    <n v="94.08"/>
  </r>
  <r>
    <x v="2"/>
    <x v="9"/>
    <n v="62.7"/>
    <n v="255.24"/>
    <n v="101.31"/>
  </r>
  <r>
    <x v="3"/>
    <x v="9"/>
    <n v="62.7"/>
    <n v="214.74"/>
    <n v="77.209999999999994"/>
  </r>
  <r>
    <x v="4"/>
    <x v="9"/>
    <n v="62.7"/>
    <n v="235.04"/>
    <n v="96.06"/>
  </r>
  <r>
    <x v="5"/>
    <x v="9"/>
    <n v="62.7"/>
    <n v="240.19"/>
    <n v="91.75"/>
  </r>
  <r>
    <x v="6"/>
    <x v="9"/>
    <n v="62.7"/>
    <n v="169.7"/>
    <n v="31.45"/>
  </r>
  <r>
    <x v="7"/>
    <x v="9"/>
    <n v="62.7"/>
    <n v="276.43"/>
    <n v="117.62"/>
  </r>
  <r>
    <x v="8"/>
    <x v="9"/>
    <n v="62.7"/>
    <n v="189.33"/>
    <n v="42.61"/>
  </r>
  <r>
    <x v="9"/>
    <x v="9"/>
    <n v="62.7"/>
    <n v="190.76"/>
    <n v="41.41"/>
  </r>
  <r>
    <x v="10"/>
    <x v="9"/>
    <n v="62.7"/>
    <n v="181.76"/>
    <n v="24.1"/>
  </r>
  <r>
    <x v="11"/>
    <x v="9"/>
    <n v="62.7"/>
    <n v="599.16999999999996"/>
    <n v="-144.97999999999999"/>
  </r>
  <r>
    <x v="12"/>
    <x v="9"/>
    <n v="62.7"/>
    <n v="443.78"/>
    <n v="7.33"/>
  </r>
  <r>
    <x v="13"/>
    <x v="9"/>
    <n v="62.7"/>
    <n v="123.58"/>
    <n v="-70.44"/>
  </r>
  <r>
    <x v="14"/>
    <x v="9"/>
    <n v="62.7"/>
    <n v="176.98"/>
    <n v="-57.28"/>
  </r>
  <r>
    <x v="15"/>
    <x v="9"/>
    <n v="62.7"/>
    <n v="179.82"/>
    <n v="-54.64"/>
  </r>
  <r>
    <x v="16"/>
    <x v="9"/>
    <n v="62.7"/>
    <n v="149.51"/>
    <n v="-69.77"/>
  </r>
  <r>
    <x v="17"/>
    <x v="9"/>
    <n v="62.7"/>
    <n v="193.93"/>
    <n v="-43.28"/>
  </r>
  <r>
    <x v="18"/>
    <x v="9"/>
    <n v="62.7"/>
    <n v="188.67"/>
    <n v="-36.130000000000003"/>
  </r>
  <r>
    <x v="19"/>
    <x v="9"/>
    <n v="62.7"/>
    <n v="245.96"/>
    <n v="-17.239999999999998"/>
  </r>
  <r>
    <x v="20"/>
    <x v="9"/>
    <n v="62.7"/>
    <n v="221.45"/>
    <n v="-16.34"/>
  </r>
  <r>
    <x v="21"/>
    <x v="9"/>
    <n v="62.7"/>
    <n v="195.63"/>
    <n v="-26.15"/>
  </r>
  <r>
    <x v="22"/>
    <x v="9"/>
    <n v="62.7"/>
    <n v="172.21"/>
    <n v="-53.66"/>
  </r>
  <r>
    <x v="23"/>
    <x v="9"/>
    <n v="62.7"/>
    <n v="81.900000000000006"/>
    <n v="-108.65"/>
  </r>
  <r>
    <x v="24"/>
    <x v="9"/>
    <n v="62.7"/>
    <n v="678.89"/>
    <n v="470.07"/>
  </r>
  <r>
    <x v="25"/>
    <x v="9"/>
    <n v="62.7"/>
    <n v="269.60000000000002"/>
    <n v="178.19"/>
  </r>
  <r>
    <x v="26"/>
    <x v="9"/>
    <n v="62.7"/>
    <n v="266.69"/>
    <n v="178.92"/>
  </r>
  <r>
    <x v="27"/>
    <x v="9"/>
    <n v="62.7"/>
    <n v="175.08"/>
    <n v="144.30000000000001"/>
  </r>
  <r>
    <x v="28"/>
    <x v="9"/>
    <n v="62.7"/>
    <n v="251.28"/>
    <n v="175.68"/>
  </r>
  <r>
    <x v="29"/>
    <x v="9"/>
    <n v="62.7"/>
    <n v="338.02"/>
    <n v="239.39"/>
  </r>
  <r>
    <x v="30"/>
    <x v="9"/>
    <n v="62.7"/>
    <n v="303.89"/>
    <n v="220.2"/>
  </r>
  <r>
    <x v="31"/>
    <x v="9"/>
    <n v="62.7"/>
    <n v="344.28"/>
    <n v="250.98"/>
  </r>
  <r>
    <x v="32"/>
    <x v="9"/>
    <n v="62.7"/>
    <n v="264.92"/>
    <n v="203.02"/>
  </r>
  <r>
    <x v="33"/>
    <x v="9"/>
    <n v="62.7"/>
    <n v="284.91000000000003"/>
    <n v="204.24"/>
  </r>
  <r>
    <x v="34"/>
    <x v="9"/>
    <n v="62.7"/>
    <n v="325.19"/>
    <n v="225.87"/>
  </r>
  <r>
    <x v="35"/>
    <x v="9"/>
    <n v="62.7"/>
    <n v="201.09"/>
    <n v="134.77000000000001"/>
  </r>
  <r>
    <x v="36"/>
    <x v="9"/>
    <n v="62.7"/>
    <n v="915.96"/>
    <n v="578.07000000000005"/>
  </r>
  <r>
    <x v="37"/>
    <x v="9"/>
    <n v="62.7"/>
    <n v="318.61"/>
    <n v="191.04"/>
  </r>
  <r>
    <x v="38"/>
    <x v="9"/>
    <n v="62.7"/>
    <n v="371.58"/>
    <n v="222.88"/>
  </r>
  <r>
    <x v="39"/>
    <x v="9"/>
    <n v="62.7"/>
    <n v="306.47000000000003"/>
    <n v="0"/>
  </r>
  <r>
    <x v="40"/>
    <x v="9"/>
    <n v="62.7"/>
    <n v="417.71"/>
    <n v="0"/>
  </r>
  <r>
    <x v="41"/>
    <x v="9"/>
    <n v="62.7"/>
    <n v="380.71"/>
    <n v="241.86"/>
  </r>
  <r>
    <x v="42"/>
    <x v="9"/>
    <n v="62.7"/>
    <n v="389.49"/>
    <n v="0"/>
  </r>
  <r>
    <x v="43"/>
    <x v="9"/>
    <n v="62.7"/>
    <n v="469.5"/>
    <n v="0"/>
  </r>
  <r>
    <x v="44"/>
    <x v="9"/>
    <n v="62.7"/>
    <n v="446.77"/>
    <n v="0"/>
  </r>
  <r>
    <x v="45"/>
    <x v="9"/>
    <n v="62.7"/>
    <n v="429.58"/>
    <n v="0"/>
  </r>
  <r>
    <x v="46"/>
    <x v="9"/>
    <n v="62.7"/>
    <n v="348.28"/>
    <n v="0"/>
  </r>
  <r>
    <x v="47"/>
    <x v="9"/>
    <n v="62.7"/>
    <n v="240.08"/>
    <n v="103.73"/>
  </r>
  <r>
    <x v="48"/>
    <x v="9"/>
    <n v="62.7"/>
    <n v="960.51"/>
    <n v="612.55999999999995"/>
  </r>
  <r>
    <x v="49"/>
    <x v="9"/>
    <n v="62.7"/>
    <n v="329.8"/>
    <n v="185.18"/>
  </r>
  <r>
    <x v="50"/>
    <x v="9"/>
    <n v="62.7"/>
    <n v="280.94"/>
    <n v="176.03"/>
  </r>
  <r>
    <x v="51"/>
    <x v="9"/>
    <n v="62.7"/>
    <n v="273.22000000000003"/>
    <n v="167.02"/>
  </r>
  <r>
    <x v="52"/>
    <x v="9"/>
    <n v="62.7"/>
    <n v="317.06"/>
    <n v="211.94"/>
  </r>
  <r>
    <x v="53"/>
    <x v="9"/>
    <n v="62.7"/>
    <n v="384.42"/>
    <n v="0"/>
  </r>
  <r>
    <x v="54"/>
    <x v="9"/>
    <n v="62.7"/>
    <n v="299.39999999999998"/>
    <n v="0"/>
  </r>
  <r>
    <x v="55"/>
    <x v="9"/>
    <n v="62.7"/>
    <n v="410.92"/>
    <n v="0"/>
  </r>
  <r>
    <x v="56"/>
    <x v="9"/>
    <n v="62.7"/>
    <n v="359.45"/>
    <n v="0"/>
  </r>
  <r>
    <x v="57"/>
    <x v="9"/>
    <n v="62.7"/>
    <n v="388.38"/>
    <n v="0"/>
  </r>
  <r>
    <x v="58"/>
    <x v="9"/>
    <n v="62.7"/>
    <n v="369.99"/>
    <n v="0"/>
  </r>
  <r>
    <x v="59"/>
    <x v="9"/>
    <n v="62.7"/>
    <n v="270.61"/>
    <n v="167.31"/>
  </r>
  <r>
    <x v="60"/>
    <x v="9"/>
    <n v="62.7"/>
    <n v="808.54"/>
    <n v="506.99"/>
  </r>
  <r>
    <x v="61"/>
    <x v="9"/>
    <n v="62.7"/>
    <n v="337.9"/>
    <n v="177.42"/>
  </r>
  <r>
    <x v="62"/>
    <x v="9"/>
    <n v="62.7"/>
    <n v="328.88"/>
    <n v="215.71"/>
  </r>
  <r>
    <x v="63"/>
    <x v="9"/>
    <n v="62.7"/>
    <n v="311.23"/>
    <n v="195.58"/>
  </r>
  <r>
    <x v="64"/>
    <x v="9"/>
    <n v="62.7"/>
    <n v="423.42"/>
    <n v="0"/>
  </r>
  <r>
    <x v="65"/>
    <x v="9"/>
    <n v="62.7"/>
    <n v="397.22"/>
    <n v="0"/>
  </r>
  <r>
    <x v="66"/>
    <x v="9"/>
    <n v="62.7"/>
    <n v="374.44"/>
    <n v="0"/>
  </r>
  <r>
    <x v="67"/>
    <x v="9"/>
    <n v="62.7"/>
    <n v="480.95"/>
    <n v="0"/>
  </r>
  <r>
    <x v="68"/>
    <x v="9"/>
    <n v="62.7"/>
    <n v="368.43"/>
    <n v="0"/>
  </r>
  <r>
    <x v="69"/>
    <x v="9"/>
    <n v="62.7"/>
    <n v="339.87"/>
    <n v="176.14"/>
  </r>
  <r>
    <x v="70"/>
    <x v="9"/>
    <n v="62.7"/>
    <n v="436.13"/>
    <n v="256.29000000000002"/>
  </r>
  <r>
    <x v="71"/>
    <x v="9"/>
    <n v="62.7"/>
    <n v="285.24"/>
    <n v="116.65"/>
  </r>
  <r>
    <x v="72"/>
    <x v="9"/>
    <n v="62.7"/>
    <n v="0"/>
    <n v="0"/>
  </r>
  <r>
    <x v="73"/>
    <x v="9"/>
    <n v="62.7"/>
    <n v="0"/>
    <n v="0"/>
  </r>
  <r>
    <x v="74"/>
    <x v="9"/>
    <n v="62.7"/>
    <n v="0"/>
    <n v="0"/>
  </r>
  <r>
    <x v="75"/>
    <x v="9"/>
    <n v="62.7"/>
    <n v="0"/>
    <n v="0"/>
  </r>
  <r>
    <x v="76"/>
    <x v="9"/>
    <n v="62.7"/>
    <n v="0"/>
    <n v="0"/>
  </r>
  <r>
    <x v="77"/>
    <x v="9"/>
    <n v="62.7"/>
    <n v="0"/>
    <n v="0"/>
  </r>
  <r>
    <x v="78"/>
    <x v="9"/>
    <n v="62.7"/>
    <n v="0"/>
    <n v="0"/>
  </r>
  <r>
    <x v="79"/>
    <x v="9"/>
    <n v="62.7"/>
    <n v="0"/>
    <n v="0"/>
  </r>
  <r>
    <x v="80"/>
    <x v="9"/>
    <n v="62.7"/>
    <n v="0"/>
    <n v="0"/>
  </r>
  <r>
    <x v="81"/>
    <x v="9"/>
    <n v="62.7"/>
    <n v="0"/>
    <n v="0"/>
  </r>
  <r>
    <x v="82"/>
    <x v="9"/>
    <n v="62.7"/>
    <n v="0"/>
    <n v="0"/>
  </r>
  <r>
    <x v="83"/>
    <x v="9"/>
    <n v="62.7"/>
    <n v="0"/>
    <n v="0"/>
  </r>
  <r>
    <x v="84"/>
    <x v="9"/>
    <n v="62.7"/>
    <n v="0"/>
    <n v="0"/>
  </r>
  <r>
    <x v="85"/>
    <x v="9"/>
    <n v="62.7"/>
    <n v="0"/>
    <n v="0"/>
  </r>
  <r>
    <x v="86"/>
    <x v="9"/>
    <n v="62.7"/>
    <n v="0"/>
    <n v="0"/>
  </r>
  <r>
    <x v="87"/>
    <x v="9"/>
    <n v="62.7"/>
    <n v="0"/>
    <n v="0"/>
  </r>
  <r>
    <x v="88"/>
    <x v="9"/>
    <n v="62.7"/>
    <n v="0"/>
    <n v="0"/>
  </r>
  <r>
    <x v="89"/>
    <x v="9"/>
    <n v="62.7"/>
    <n v="0"/>
    <n v="0"/>
  </r>
  <r>
    <x v="90"/>
    <x v="9"/>
    <n v="62.7"/>
    <n v="0"/>
    <n v="0"/>
  </r>
  <r>
    <x v="91"/>
    <x v="9"/>
    <n v="62.7"/>
    <n v="0"/>
    <n v="0"/>
  </r>
  <r>
    <x v="92"/>
    <x v="9"/>
    <n v="62.7"/>
    <n v="0"/>
    <n v="0"/>
  </r>
  <r>
    <x v="93"/>
    <x v="9"/>
    <n v="62.7"/>
    <n v="0"/>
    <n v="0"/>
  </r>
  <r>
    <x v="94"/>
    <x v="9"/>
    <n v="62.7"/>
    <n v="0"/>
    <n v="0"/>
  </r>
  <r>
    <x v="95"/>
    <x v="9"/>
    <n v="62.7"/>
    <n v="0"/>
    <n v="0"/>
  </r>
  <r>
    <x v="0"/>
    <x v="10"/>
    <n v="63"/>
    <n v="602.1"/>
    <n v="320.38"/>
  </r>
  <r>
    <x v="1"/>
    <x v="10"/>
    <n v="63"/>
    <n v="259.11"/>
    <n v="94.77"/>
  </r>
  <r>
    <x v="2"/>
    <x v="10"/>
    <n v="63"/>
    <n v="259.55"/>
    <n v="102.12"/>
  </r>
  <r>
    <x v="3"/>
    <x v="10"/>
    <n v="63"/>
    <n v="219.29"/>
    <n v="78.709999999999994"/>
  </r>
  <r>
    <x v="4"/>
    <x v="10"/>
    <n v="63"/>
    <n v="239.16"/>
    <n v="97"/>
  </r>
  <r>
    <x v="5"/>
    <x v="10"/>
    <n v="63"/>
    <n v="244.46"/>
    <n v="92.56"/>
  </r>
  <r>
    <x v="6"/>
    <x v="10"/>
    <n v="63"/>
    <n v="173.97"/>
    <n v="32.270000000000003"/>
  </r>
  <r>
    <x v="7"/>
    <x v="10"/>
    <n v="63"/>
    <n v="280.83"/>
    <n v="118.8"/>
  </r>
  <r>
    <x v="8"/>
    <x v="10"/>
    <n v="63"/>
    <n v="193.8"/>
    <n v="44.08"/>
  </r>
  <r>
    <x v="9"/>
    <x v="10"/>
    <n v="63"/>
    <n v="195.23"/>
    <n v="43.39"/>
  </r>
  <r>
    <x v="10"/>
    <x v="10"/>
    <n v="63"/>
    <n v="186.15"/>
    <n v="25.28"/>
  </r>
  <r>
    <x v="11"/>
    <x v="10"/>
    <n v="63"/>
    <n v="603.04999999999995"/>
    <n v="-154"/>
  </r>
  <r>
    <x v="12"/>
    <x v="10"/>
    <n v="63"/>
    <n v="449.63"/>
    <n v="8.5"/>
  </r>
  <r>
    <x v="13"/>
    <x v="10"/>
    <n v="63"/>
    <n v="125.68"/>
    <n v="-70.540000000000006"/>
  </r>
  <r>
    <x v="14"/>
    <x v="10"/>
    <n v="63"/>
    <n v="179.22"/>
    <n v="-57.64"/>
  </r>
  <r>
    <x v="15"/>
    <x v="10"/>
    <n v="63"/>
    <n v="183.41"/>
    <n v="-54.44"/>
  </r>
  <r>
    <x v="16"/>
    <x v="10"/>
    <n v="63"/>
    <n v="151.79"/>
    <n v="-70.3"/>
  </r>
  <r>
    <x v="17"/>
    <x v="10"/>
    <n v="63"/>
    <n v="197.9"/>
    <n v="-42.8"/>
  </r>
  <r>
    <x v="18"/>
    <x v="10"/>
    <n v="63"/>
    <n v="192.29"/>
    <n v="-35.65"/>
  </r>
  <r>
    <x v="19"/>
    <x v="10"/>
    <n v="63"/>
    <n v="249.73"/>
    <n v="-16.739999999999998"/>
  </r>
  <r>
    <x v="20"/>
    <x v="10"/>
    <n v="63"/>
    <n v="225.45"/>
    <n v="-15.7"/>
  </r>
  <r>
    <x v="21"/>
    <x v="10"/>
    <n v="63"/>
    <n v="199.66"/>
    <n v="-25.39"/>
  </r>
  <r>
    <x v="22"/>
    <x v="10"/>
    <n v="63"/>
    <n v="175.63"/>
    <n v="-53.42"/>
  </r>
  <r>
    <x v="23"/>
    <x v="10"/>
    <n v="63"/>
    <n v="86.4"/>
    <n v="-106.49"/>
  </r>
  <r>
    <x v="24"/>
    <x v="10"/>
    <n v="63"/>
    <n v="686.68"/>
    <n v="470.3"/>
  </r>
  <r>
    <x v="25"/>
    <x v="10"/>
    <n v="63"/>
    <n v="274.66000000000003"/>
    <n v="177.3"/>
  </r>
  <r>
    <x v="26"/>
    <x v="10"/>
    <n v="63"/>
    <n v="271.27999999999997"/>
    <n v="178.22"/>
  </r>
  <r>
    <x v="27"/>
    <x v="10"/>
    <n v="63"/>
    <n v="179.1"/>
    <n v="142.28"/>
  </r>
  <r>
    <x v="28"/>
    <x v="10"/>
    <n v="63"/>
    <n v="255.86"/>
    <n v="175.12"/>
  </r>
  <r>
    <x v="29"/>
    <x v="10"/>
    <n v="63"/>
    <n v="343.21"/>
    <n v="239.11"/>
  </r>
  <r>
    <x v="30"/>
    <x v="10"/>
    <n v="63"/>
    <n v="308.82"/>
    <n v="219.37"/>
  </r>
  <r>
    <x v="31"/>
    <x v="10"/>
    <n v="63"/>
    <n v="349.36"/>
    <n v="250.33"/>
  </r>
  <r>
    <x v="32"/>
    <x v="10"/>
    <n v="63"/>
    <n v="269.10000000000002"/>
    <n v="202.29"/>
  </r>
  <r>
    <x v="33"/>
    <x v="10"/>
    <n v="63"/>
    <n v="289.79000000000002"/>
    <n v="203.78"/>
  </r>
  <r>
    <x v="34"/>
    <x v="10"/>
    <n v="63"/>
    <n v="330.63"/>
    <n v="225.12"/>
  </r>
  <r>
    <x v="35"/>
    <x v="10"/>
    <n v="63"/>
    <n v="205.66"/>
    <n v="133.66"/>
  </r>
  <r>
    <x v="36"/>
    <x v="10"/>
    <n v="63"/>
    <n v="923.18"/>
    <n v="578.88"/>
  </r>
  <r>
    <x v="37"/>
    <x v="10"/>
    <n v="63"/>
    <n v="323.07"/>
    <n v="190.47"/>
  </r>
  <r>
    <x v="38"/>
    <x v="10"/>
    <n v="63"/>
    <n v="376.33"/>
    <n v="221.3"/>
  </r>
  <r>
    <x v="39"/>
    <x v="10"/>
    <n v="63"/>
    <n v="310.29000000000002"/>
    <n v="0"/>
  </r>
  <r>
    <x v="40"/>
    <x v="10"/>
    <n v="63"/>
    <n v="422.22"/>
    <n v="0"/>
  </r>
  <r>
    <x v="41"/>
    <x v="10"/>
    <n v="63"/>
    <n v="384.83"/>
    <n v="240.41"/>
  </r>
  <r>
    <x v="42"/>
    <x v="10"/>
    <n v="63"/>
    <n v="393.59"/>
    <n v="0"/>
  </r>
  <r>
    <x v="43"/>
    <x v="10"/>
    <n v="63"/>
    <n v="473.9"/>
    <n v="0"/>
  </r>
  <r>
    <x v="44"/>
    <x v="10"/>
    <n v="63"/>
    <n v="451.32"/>
    <n v="0"/>
  </r>
  <r>
    <x v="45"/>
    <x v="10"/>
    <n v="63"/>
    <n v="434.37"/>
    <n v="0"/>
  </r>
  <r>
    <x v="46"/>
    <x v="10"/>
    <n v="63"/>
    <n v="352.72"/>
    <n v="0"/>
  </r>
  <r>
    <x v="47"/>
    <x v="10"/>
    <n v="63"/>
    <n v="245.08"/>
    <n v="103.33"/>
  </r>
  <r>
    <x v="48"/>
    <x v="10"/>
    <n v="63"/>
    <n v="968.27"/>
    <n v="614.01"/>
  </r>
  <r>
    <x v="49"/>
    <x v="10"/>
    <n v="63"/>
    <n v="334.56"/>
    <n v="184.19"/>
  </r>
  <r>
    <x v="50"/>
    <x v="10"/>
    <n v="63"/>
    <n v="285.33999999999997"/>
    <n v="174.54"/>
  </r>
  <r>
    <x v="51"/>
    <x v="10"/>
    <n v="63"/>
    <n v="277.45"/>
    <n v="165.56"/>
  </r>
  <r>
    <x v="52"/>
    <x v="10"/>
    <n v="63"/>
    <n v="321.02999999999997"/>
    <n v="210.71"/>
  </r>
  <r>
    <x v="53"/>
    <x v="10"/>
    <n v="63"/>
    <n v="389.12"/>
    <n v="0"/>
  </r>
  <r>
    <x v="54"/>
    <x v="10"/>
    <n v="63"/>
    <n v="303.02"/>
    <n v="0"/>
  </r>
  <r>
    <x v="55"/>
    <x v="10"/>
    <n v="63"/>
    <n v="415.7"/>
    <n v="0"/>
  </r>
  <r>
    <x v="56"/>
    <x v="10"/>
    <n v="63"/>
    <n v="363.93"/>
    <n v="0"/>
  </r>
  <r>
    <x v="57"/>
    <x v="10"/>
    <n v="63"/>
    <n v="393.11"/>
    <n v="0"/>
  </r>
  <r>
    <x v="58"/>
    <x v="10"/>
    <n v="63"/>
    <n v="375.34"/>
    <n v="0"/>
  </r>
  <r>
    <x v="59"/>
    <x v="10"/>
    <n v="63"/>
    <n v="275.04000000000002"/>
    <n v="168.69"/>
  </r>
  <r>
    <x v="60"/>
    <x v="10"/>
    <n v="63"/>
    <n v="814.8"/>
    <n v="507.53"/>
  </r>
  <r>
    <x v="61"/>
    <x v="10"/>
    <n v="63"/>
    <n v="342.74"/>
    <n v="176.7"/>
  </r>
  <r>
    <x v="62"/>
    <x v="10"/>
    <n v="63"/>
    <n v="333.09"/>
    <n v="213.93"/>
  </r>
  <r>
    <x v="63"/>
    <x v="10"/>
    <n v="63"/>
    <n v="315.39"/>
    <n v="194.38"/>
  </r>
  <r>
    <x v="64"/>
    <x v="10"/>
    <n v="63"/>
    <n v="428.38"/>
    <n v="0"/>
  </r>
  <r>
    <x v="65"/>
    <x v="10"/>
    <n v="63"/>
    <n v="402.28"/>
    <n v="0"/>
  </r>
  <r>
    <x v="66"/>
    <x v="10"/>
    <n v="63"/>
    <n v="378.95"/>
    <n v="0"/>
  </r>
  <r>
    <x v="67"/>
    <x v="10"/>
    <n v="63"/>
    <n v="485.87"/>
    <n v="0"/>
  </r>
  <r>
    <x v="68"/>
    <x v="10"/>
    <n v="63"/>
    <n v="371.98"/>
    <n v="0"/>
  </r>
  <r>
    <x v="69"/>
    <x v="10"/>
    <n v="63"/>
    <n v="346.39"/>
    <n v="177.6"/>
  </r>
  <r>
    <x v="70"/>
    <x v="10"/>
    <n v="63"/>
    <n v="442.37"/>
    <n v="256.33999999999997"/>
  </r>
  <r>
    <x v="71"/>
    <x v="10"/>
    <n v="63"/>
    <n v="292.27"/>
    <n v="117.09"/>
  </r>
  <r>
    <x v="72"/>
    <x v="10"/>
    <n v="63"/>
    <n v="0"/>
    <n v="0"/>
  </r>
  <r>
    <x v="73"/>
    <x v="10"/>
    <n v="63"/>
    <n v="0"/>
    <n v="0"/>
  </r>
  <r>
    <x v="74"/>
    <x v="10"/>
    <n v="63"/>
    <n v="0"/>
    <n v="0"/>
  </r>
  <r>
    <x v="75"/>
    <x v="10"/>
    <n v="63"/>
    <n v="0"/>
    <n v="0"/>
  </r>
  <r>
    <x v="76"/>
    <x v="10"/>
    <n v="63"/>
    <n v="0"/>
    <n v="0"/>
  </r>
  <r>
    <x v="77"/>
    <x v="10"/>
    <n v="63"/>
    <n v="0"/>
    <n v="0"/>
  </r>
  <r>
    <x v="78"/>
    <x v="10"/>
    <n v="63"/>
    <n v="0"/>
    <n v="0"/>
  </r>
  <r>
    <x v="79"/>
    <x v="10"/>
    <n v="63"/>
    <n v="0"/>
    <n v="0"/>
  </r>
  <r>
    <x v="80"/>
    <x v="10"/>
    <n v="63"/>
    <n v="0"/>
    <n v="0"/>
  </r>
  <r>
    <x v="81"/>
    <x v="10"/>
    <n v="63"/>
    <n v="0"/>
    <n v="0"/>
  </r>
  <r>
    <x v="82"/>
    <x v="10"/>
    <n v="63"/>
    <n v="0"/>
    <n v="0"/>
  </r>
  <r>
    <x v="83"/>
    <x v="10"/>
    <n v="63"/>
    <n v="0"/>
    <n v="0"/>
  </r>
  <r>
    <x v="84"/>
    <x v="10"/>
    <n v="63"/>
    <n v="0"/>
    <n v="0"/>
  </r>
  <r>
    <x v="85"/>
    <x v="10"/>
    <n v="63"/>
    <n v="0"/>
    <n v="0"/>
  </r>
  <r>
    <x v="86"/>
    <x v="10"/>
    <n v="63"/>
    <n v="0"/>
    <n v="0"/>
  </r>
  <r>
    <x v="87"/>
    <x v="10"/>
    <n v="63"/>
    <n v="0"/>
    <n v="0"/>
  </r>
  <r>
    <x v="88"/>
    <x v="10"/>
    <n v="63"/>
    <n v="0"/>
    <n v="0"/>
  </r>
  <r>
    <x v="89"/>
    <x v="10"/>
    <n v="63"/>
    <n v="0"/>
    <n v="0"/>
  </r>
  <r>
    <x v="90"/>
    <x v="10"/>
    <n v="63"/>
    <n v="0"/>
    <n v="0"/>
  </r>
  <r>
    <x v="91"/>
    <x v="10"/>
    <n v="63"/>
    <n v="0"/>
    <n v="0"/>
  </r>
  <r>
    <x v="92"/>
    <x v="10"/>
    <n v="63"/>
    <n v="0"/>
    <n v="0"/>
  </r>
  <r>
    <x v="93"/>
    <x v="10"/>
    <n v="63"/>
    <n v="0"/>
    <n v="0"/>
  </r>
  <r>
    <x v="94"/>
    <x v="10"/>
    <n v="63"/>
    <n v="0"/>
    <n v="0"/>
  </r>
  <r>
    <x v="95"/>
    <x v="10"/>
    <n v="63"/>
    <n v="0"/>
    <n v="0"/>
  </r>
  <r>
    <x v="0"/>
    <x v="11"/>
    <n v="63.3"/>
    <n v="607.89"/>
    <n v="323.22000000000003"/>
  </r>
  <r>
    <x v="1"/>
    <x v="11"/>
    <n v="63.3"/>
    <n v="263.66000000000003"/>
    <n v="95.57"/>
  </r>
  <r>
    <x v="2"/>
    <x v="11"/>
    <n v="63.3"/>
    <n v="264.08"/>
    <n v="103.04"/>
  </r>
  <r>
    <x v="3"/>
    <x v="11"/>
    <n v="63.3"/>
    <n v="224.1"/>
    <n v="80.430000000000007"/>
  </r>
  <r>
    <x v="4"/>
    <x v="11"/>
    <n v="63.3"/>
    <n v="243.5"/>
    <n v="98.07"/>
  </r>
  <r>
    <x v="5"/>
    <x v="11"/>
    <n v="63.3"/>
    <n v="248.96"/>
    <n v="93.47"/>
  </r>
  <r>
    <x v="6"/>
    <x v="11"/>
    <n v="63.3"/>
    <n v="178.5"/>
    <n v="33.270000000000003"/>
  </r>
  <r>
    <x v="7"/>
    <x v="11"/>
    <n v="63.3"/>
    <n v="285.44"/>
    <n v="120.12"/>
  </r>
  <r>
    <x v="8"/>
    <x v="11"/>
    <n v="63.3"/>
    <n v="198.53"/>
    <n v="45.84"/>
  </r>
  <r>
    <x v="9"/>
    <x v="11"/>
    <n v="63.3"/>
    <n v="199.95"/>
    <n v="45.67"/>
  </r>
  <r>
    <x v="10"/>
    <x v="11"/>
    <n v="63.3"/>
    <n v="190.79"/>
    <n v="26.69"/>
  </r>
  <r>
    <x v="11"/>
    <x v="11"/>
    <n v="63.3"/>
    <n v="606.91"/>
    <n v="-163.49"/>
  </r>
  <r>
    <x v="12"/>
    <x v="11"/>
    <n v="63.3"/>
    <n v="455.88"/>
    <n v="9.7799999999999994"/>
  </r>
  <r>
    <x v="13"/>
    <x v="11"/>
    <n v="63.3"/>
    <n v="128.15"/>
    <n v="-70.48"/>
  </r>
  <r>
    <x v="14"/>
    <x v="11"/>
    <n v="63.3"/>
    <n v="181.67"/>
    <n v="-58"/>
  </r>
  <r>
    <x v="15"/>
    <x v="11"/>
    <n v="63.3"/>
    <n v="187.4"/>
    <n v="-54.16"/>
  </r>
  <r>
    <x v="16"/>
    <x v="11"/>
    <n v="63.3"/>
    <n v="154.32"/>
    <n v="-70.81"/>
  </r>
  <r>
    <x v="17"/>
    <x v="11"/>
    <n v="63.3"/>
    <n v="202.31"/>
    <n v="-42.22"/>
  </r>
  <r>
    <x v="18"/>
    <x v="11"/>
    <n v="63.3"/>
    <n v="196.3"/>
    <n v="-35.090000000000003"/>
  </r>
  <r>
    <x v="19"/>
    <x v="11"/>
    <n v="63.3"/>
    <n v="253.83"/>
    <n v="-16.170000000000002"/>
  </r>
  <r>
    <x v="20"/>
    <x v="11"/>
    <n v="63.3"/>
    <n v="229.88"/>
    <n v="-14.98"/>
  </r>
  <r>
    <x v="21"/>
    <x v="11"/>
    <n v="63.3"/>
    <n v="204.14"/>
    <n v="-24.56"/>
  </r>
  <r>
    <x v="22"/>
    <x v="11"/>
    <n v="63.3"/>
    <n v="179.45"/>
    <n v="-53.09"/>
  </r>
  <r>
    <x v="23"/>
    <x v="11"/>
    <n v="63.3"/>
    <n v="91.58"/>
    <n v="-104.1"/>
  </r>
  <r>
    <x v="24"/>
    <x v="11"/>
    <n v="63.3"/>
    <n v="694.71"/>
    <n v="470.3"/>
  </r>
  <r>
    <x v="25"/>
    <x v="11"/>
    <n v="63.3"/>
    <n v="279.98"/>
    <n v="176.3"/>
  </r>
  <r>
    <x v="26"/>
    <x v="11"/>
    <n v="63.3"/>
    <n v="276.08999999999997"/>
    <n v="177.39"/>
  </r>
  <r>
    <x v="27"/>
    <x v="11"/>
    <n v="63.3"/>
    <n v="183.35"/>
    <n v="140.03"/>
  </r>
  <r>
    <x v="28"/>
    <x v="11"/>
    <n v="63.3"/>
    <n v="260.67"/>
    <n v="174.51"/>
  </r>
  <r>
    <x v="29"/>
    <x v="11"/>
    <n v="63.3"/>
    <n v="348.63"/>
    <n v="238.69"/>
  </r>
  <r>
    <x v="30"/>
    <x v="11"/>
    <n v="63.3"/>
    <n v="313.98"/>
    <n v="218.38"/>
  </r>
  <r>
    <x v="31"/>
    <x v="11"/>
    <n v="63.3"/>
    <n v="354.65"/>
    <n v="249.5"/>
  </r>
  <r>
    <x v="32"/>
    <x v="11"/>
    <n v="63.3"/>
    <n v="273.47000000000003"/>
    <n v="201.42"/>
  </r>
  <r>
    <x v="33"/>
    <x v="11"/>
    <n v="63.3"/>
    <n v="294.89999999999998"/>
    <n v="203.22"/>
  </r>
  <r>
    <x v="34"/>
    <x v="11"/>
    <n v="63.3"/>
    <n v="336.32"/>
    <n v="224.25"/>
  </r>
  <r>
    <x v="35"/>
    <x v="11"/>
    <n v="63.3"/>
    <n v="210.5"/>
    <n v="132.47"/>
  </r>
  <r>
    <x v="36"/>
    <x v="11"/>
    <n v="63.3"/>
    <n v="930.54"/>
    <n v="579.42999999999995"/>
  </r>
  <r>
    <x v="37"/>
    <x v="11"/>
    <n v="63.3"/>
    <n v="327.75"/>
    <n v="189.83"/>
  </r>
  <r>
    <x v="38"/>
    <x v="11"/>
    <n v="63.3"/>
    <n v="381.31"/>
    <n v="219.46"/>
  </r>
  <r>
    <x v="39"/>
    <x v="11"/>
    <n v="63.3"/>
    <n v="314.27999999999997"/>
    <n v="0"/>
  </r>
  <r>
    <x v="40"/>
    <x v="11"/>
    <n v="63.3"/>
    <n v="426.89"/>
    <n v="0"/>
  </r>
  <r>
    <x v="41"/>
    <x v="11"/>
    <n v="63.3"/>
    <n v="389.14"/>
    <n v="238.65"/>
  </r>
  <r>
    <x v="42"/>
    <x v="11"/>
    <n v="63.3"/>
    <n v="397.85"/>
    <n v="0"/>
  </r>
  <r>
    <x v="43"/>
    <x v="11"/>
    <n v="63.3"/>
    <n v="478.44"/>
    <n v="0"/>
  </r>
  <r>
    <x v="44"/>
    <x v="11"/>
    <n v="63.3"/>
    <n v="456.03"/>
    <n v="0"/>
  </r>
  <r>
    <x v="45"/>
    <x v="11"/>
    <n v="63.3"/>
    <n v="439.34"/>
    <n v="0"/>
  </r>
  <r>
    <x v="46"/>
    <x v="11"/>
    <n v="63.3"/>
    <n v="357.36"/>
    <n v="0"/>
  </r>
  <r>
    <x v="47"/>
    <x v="11"/>
    <n v="63.3"/>
    <n v="250.37"/>
    <n v="103.06"/>
  </r>
  <r>
    <x v="48"/>
    <x v="11"/>
    <n v="63.3"/>
    <n v="976.19"/>
    <n v="615.24"/>
  </r>
  <r>
    <x v="49"/>
    <x v="11"/>
    <n v="63.3"/>
    <n v="339.56"/>
    <n v="183.1"/>
  </r>
  <r>
    <x v="50"/>
    <x v="11"/>
    <n v="63.3"/>
    <n v="289.98"/>
    <n v="172.89"/>
  </r>
  <r>
    <x v="51"/>
    <x v="11"/>
    <n v="63.3"/>
    <n v="281.89999999999998"/>
    <n v="163.97"/>
  </r>
  <r>
    <x v="52"/>
    <x v="11"/>
    <n v="63.3"/>
    <n v="325.19"/>
    <n v="209.32"/>
  </r>
  <r>
    <x v="53"/>
    <x v="11"/>
    <n v="63.3"/>
    <n v="394.01"/>
    <n v="0"/>
  </r>
  <r>
    <x v="54"/>
    <x v="11"/>
    <n v="63.3"/>
    <n v="306.8"/>
    <n v="0"/>
  </r>
  <r>
    <x v="55"/>
    <x v="11"/>
    <n v="63.3"/>
    <n v="420.68"/>
    <n v="0"/>
  </r>
  <r>
    <x v="56"/>
    <x v="11"/>
    <n v="63.3"/>
    <n v="368.61"/>
    <n v="0"/>
  </r>
  <r>
    <x v="57"/>
    <x v="11"/>
    <n v="63.3"/>
    <n v="398.05"/>
    <n v="0"/>
  </r>
  <r>
    <x v="58"/>
    <x v="11"/>
    <n v="63.3"/>
    <n v="380.93"/>
    <n v="0"/>
  </r>
  <r>
    <x v="59"/>
    <x v="11"/>
    <n v="63.3"/>
    <n v="279.73"/>
    <n v="170.18"/>
  </r>
  <r>
    <x v="60"/>
    <x v="11"/>
    <n v="63.3"/>
    <n v="821.19"/>
    <n v="507.84"/>
  </r>
  <r>
    <x v="61"/>
    <x v="11"/>
    <n v="63.3"/>
    <n v="347.82"/>
    <n v="175.92"/>
  </r>
  <r>
    <x v="62"/>
    <x v="11"/>
    <n v="63.3"/>
    <n v="337.51"/>
    <n v="211.94"/>
  </r>
  <r>
    <x v="63"/>
    <x v="11"/>
    <n v="63.3"/>
    <n v="319.76"/>
    <n v="193.03"/>
  </r>
  <r>
    <x v="64"/>
    <x v="11"/>
    <n v="63.3"/>
    <n v="433.55"/>
    <n v="0"/>
  </r>
  <r>
    <x v="65"/>
    <x v="11"/>
    <n v="63.3"/>
    <n v="407.57"/>
    <n v="0"/>
  </r>
  <r>
    <x v="66"/>
    <x v="11"/>
    <n v="63.3"/>
    <n v="383.65"/>
    <n v="0"/>
  </r>
  <r>
    <x v="67"/>
    <x v="11"/>
    <n v="63.3"/>
    <n v="490.96"/>
    <n v="0"/>
  </r>
  <r>
    <x v="68"/>
    <x v="11"/>
    <n v="63.3"/>
    <n v="375.65"/>
    <n v="0"/>
  </r>
  <r>
    <x v="69"/>
    <x v="11"/>
    <n v="63.3"/>
    <n v="353.24"/>
    <n v="179.3"/>
  </r>
  <r>
    <x v="70"/>
    <x v="11"/>
    <n v="63.3"/>
    <n v="448.91"/>
    <n v="256.45999999999998"/>
  </r>
  <r>
    <x v="71"/>
    <x v="11"/>
    <n v="63.3"/>
    <n v="299.72000000000003"/>
    <n v="117.94"/>
  </r>
  <r>
    <x v="72"/>
    <x v="11"/>
    <n v="63.3"/>
    <n v="0"/>
    <n v="0"/>
  </r>
  <r>
    <x v="73"/>
    <x v="11"/>
    <n v="63.3"/>
    <n v="0"/>
    <n v="0"/>
  </r>
  <r>
    <x v="74"/>
    <x v="11"/>
    <n v="63.3"/>
    <n v="0"/>
    <n v="0"/>
  </r>
  <r>
    <x v="75"/>
    <x v="11"/>
    <n v="63.3"/>
    <n v="0"/>
    <n v="0"/>
  </r>
  <r>
    <x v="76"/>
    <x v="11"/>
    <n v="63.3"/>
    <n v="0"/>
    <n v="0"/>
  </r>
  <r>
    <x v="77"/>
    <x v="11"/>
    <n v="63.3"/>
    <n v="0"/>
    <n v="0"/>
  </r>
  <r>
    <x v="78"/>
    <x v="11"/>
    <n v="63.3"/>
    <n v="0"/>
    <n v="0"/>
  </r>
  <r>
    <x v="79"/>
    <x v="11"/>
    <n v="63.3"/>
    <n v="0"/>
    <n v="0"/>
  </r>
  <r>
    <x v="80"/>
    <x v="11"/>
    <n v="63.3"/>
    <n v="0"/>
    <n v="0"/>
  </r>
  <r>
    <x v="81"/>
    <x v="11"/>
    <n v="63.3"/>
    <n v="0"/>
    <n v="0"/>
  </r>
  <r>
    <x v="82"/>
    <x v="11"/>
    <n v="63.3"/>
    <n v="0"/>
    <n v="0"/>
  </r>
  <r>
    <x v="83"/>
    <x v="11"/>
    <n v="63.3"/>
    <n v="0"/>
    <n v="0"/>
  </r>
  <r>
    <x v="84"/>
    <x v="11"/>
    <n v="63.3"/>
    <n v="0"/>
    <n v="0"/>
  </r>
  <r>
    <x v="85"/>
    <x v="11"/>
    <n v="63.3"/>
    <n v="0"/>
    <n v="0"/>
  </r>
  <r>
    <x v="86"/>
    <x v="11"/>
    <n v="63.3"/>
    <n v="0"/>
    <n v="0"/>
  </r>
  <r>
    <x v="87"/>
    <x v="11"/>
    <n v="63.3"/>
    <n v="0"/>
    <n v="0"/>
  </r>
  <r>
    <x v="88"/>
    <x v="11"/>
    <n v="63.3"/>
    <n v="0"/>
    <n v="0"/>
  </r>
  <r>
    <x v="89"/>
    <x v="11"/>
    <n v="63.3"/>
    <n v="0"/>
    <n v="0"/>
  </r>
  <r>
    <x v="90"/>
    <x v="11"/>
    <n v="63.3"/>
    <n v="0"/>
    <n v="0"/>
  </r>
  <r>
    <x v="91"/>
    <x v="11"/>
    <n v="63.3"/>
    <n v="0"/>
    <n v="0"/>
  </r>
  <r>
    <x v="92"/>
    <x v="11"/>
    <n v="63.3"/>
    <n v="0"/>
    <n v="0"/>
  </r>
  <r>
    <x v="93"/>
    <x v="11"/>
    <n v="63.3"/>
    <n v="0"/>
    <n v="0"/>
  </r>
  <r>
    <x v="94"/>
    <x v="11"/>
    <n v="63.3"/>
    <n v="0"/>
    <n v="0"/>
  </r>
  <r>
    <x v="95"/>
    <x v="11"/>
    <n v="63.3"/>
    <n v="0"/>
    <n v="0"/>
  </r>
  <r>
    <x v="0"/>
    <x v="12"/>
    <n v="63.6"/>
    <n v="613.83000000000004"/>
    <n v="326.11"/>
  </r>
  <r>
    <x v="1"/>
    <x v="12"/>
    <n v="63.6"/>
    <n v="268.45"/>
    <n v="96.49"/>
  </r>
  <r>
    <x v="2"/>
    <x v="12"/>
    <n v="63.6"/>
    <n v="268.83"/>
    <n v="104.1"/>
  </r>
  <r>
    <x v="3"/>
    <x v="12"/>
    <n v="63.6"/>
    <n v="229.16"/>
    <n v="82.42"/>
  </r>
  <r>
    <x v="4"/>
    <x v="12"/>
    <n v="63.6"/>
    <n v="248.07"/>
    <n v="99.3"/>
  </r>
  <r>
    <x v="5"/>
    <x v="12"/>
    <n v="63.6"/>
    <n v="253.69"/>
    <n v="94.52"/>
  </r>
  <r>
    <x v="6"/>
    <x v="12"/>
    <n v="63.6"/>
    <n v="183.31"/>
    <n v="34.520000000000003"/>
  </r>
  <r>
    <x v="7"/>
    <x v="12"/>
    <n v="63.6"/>
    <n v="290.27999999999997"/>
    <n v="121.59"/>
  </r>
  <r>
    <x v="8"/>
    <x v="12"/>
    <n v="63.6"/>
    <n v="203.53"/>
    <n v="47.93"/>
  </r>
  <r>
    <x v="9"/>
    <x v="12"/>
    <n v="63.6"/>
    <n v="204.94"/>
    <n v="48.32"/>
  </r>
  <r>
    <x v="10"/>
    <x v="12"/>
    <n v="63.6"/>
    <n v="195.71"/>
    <n v="28.38"/>
  </r>
  <r>
    <x v="11"/>
    <x v="12"/>
    <n v="63.6"/>
    <n v="610.73"/>
    <n v="-173.47"/>
  </r>
  <r>
    <x v="12"/>
    <x v="12"/>
    <n v="63.6"/>
    <n v="462.57"/>
    <n v="11.17"/>
  </r>
  <r>
    <x v="13"/>
    <x v="12"/>
    <n v="63.6"/>
    <n v="131.09"/>
    <n v="-70.239999999999995"/>
  </r>
  <r>
    <x v="14"/>
    <x v="12"/>
    <n v="63.6"/>
    <n v="184.39"/>
    <n v="-58.36"/>
  </r>
  <r>
    <x v="15"/>
    <x v="12"/>
    <n v="63.6"/>
    <n v="191.83"/>
    <n v="-53.8"/>
  </r>
  <r>
    <x v="16"/>
    <x v="12"/>
    <n v="63.6"/>
    <n v="157.16999999999999"/>
    <n v="-71.290000000000006"/>
  </r>
  <r>
    <x v="17"/>
    <x v="12"/>
    <n v="63.6"/>
    <n v="207.22"/>
    <n v="-41.53"/>
  </r>
  <r>
    <x v="18"/>
    <x v="12"/>
    <n v="63.6"/>
    <n v="200.76"/>
    <n v="-34.42"/>
  </r>
  <r>
    <x v="19"/>
    <x v="12"/>
    <n v="63.6"/>
    <n v="258.3"/>
    <n v="-15.52"/>
  </r>
  <r>
    <x v="20"/>
    <x v="12"/>
    <n v="63.6"/>
    <n v="234.77"/>
    <n v="-14.19"/>
  </r>
  <r>
    <x v="21"/>
    <x v="12"/>
    <n v="63.6"/>
    <n v="209.13"/>
    <n v="-23.63"/>
  </r>
  <r>
    <x v="22"/>
    <x v="12"/>
    <n v="63.6"/>
    <n v="183.74"/>
    <n v="-52.64"/>
  </r>
  <r>
    <x v="23"/>
    <x v="12"/>
    <n v="63.6"/>
    <n v="97.56"/>
    <n v="-101.47"/>
  </r>
  <r>
    <x v="24"/>
    <x v="12"/>
    <n v="63.6"/>
    <n v="703"/>
    <n v="470.04"/>
  </r>
  <r>
    <x v="25"/>
    <x v="12"/>
    <n v="63.6"/>
    <n v="285.57"/>
    <n v="175.2"/>
  </r>
  <r>
    <x v="26"/>
    <x v="12"/>
    <n v="63.6"/>
    <n v="281.13"/>
    <n v="176.42"/>
  </r>
  <r>
    <x v="27"/>
    <x v="12"/>
    <n v="63.6"/>
    <n v="187.85"/>
    <n v="137.54"/>
  </r>
  <r>
    <x v="28"/>
    <x v="12"/>
    <n v="63.6"/>
    <n v="265.70999999999998"/>
    <n v="173.89"/>
  </r>
  <r>
    <x v="29"/>
    <x v="12"/>
    <n v="63.6"/>
    <n v="354.28"/>
    <n v="238.14"/>
  </r>
  <r>
    <x v="30"/>
    <x v="12"/>
    <n v="63.6"/>
    <n v="319.37"/>
    <n v="217.24"/>
  </r>
  <r>
    <x v="31"/>
    <x v="12"/>
    <n v="63.6"/>
    <n v="360.18"/>
    <n v="248.51"/>
  </r>
  <r>
    <x v="32"/>
    <x v="12"/>
    <n v="63.6"/>
    <n v="278.02999999999997"/>
    <n v="200.41"/>
  </r>
  <r>
    <x v="33"/>
    <x v="12"/>
    <n v="63.6"/>
    <n v="300.24"/>
    <n v="202.57"/>
  </r>
  <r>
    <x v="34"/>
    <x v="12"/>
    <n v="63.6"/>
    <n v="342.28"/>
    <n v="223.27"/>
  </r>
  <r>
    <x v="35"/>
    <x v="12"/>
    <n v="63.6"/>
    <n v="215.61"/>
    <n v="131.21"/>
  </r>
  <r>
    <x v="36"/>
    <x v="12"/>
    <n v="63.6"/>
    <n v="938.03"/>
    <n v="579.67999999999995"/>
  </r>
  <r>
    <x v="37"/>
    <x v="12"/>
    <n v="63.6"/>
    <n v="332.64"/>
    <n v="189.11"/>
  </r>
  <r>
    <x v="38"/>
    <x v="12"/>
    <n v="63.6"/>
    <n v="386.53"/>
    <n v="217.39"/>
  </r>
  <r>
    <x v="39"/>
    <x v="12"/>
    <n v="63.6"/>
    <n v="318.45"/>
    <n v="0"/>
  </r>
  <r>
    <x v="40"/>
    <x v="12"/>
    <n v="63.6"/>
    <n v="431.74"/>
    <n v="0"/>
  </r>
  <r>
    <x v="41"/>
    <x v="12"/>
    <n v="63.6"/>
    <n v="393.63"/>
    <n v="236.55"/>
  </r>
  <r>
    <x v="42"/>
    <x v="12"/>
    <n v="63.6"/>
    <n v="402.27"/>
    <n v="0"/>
  </r>
  <r>
    <x v="43"/>
    <x v="12"/>
    <n v="63.6"/>
    <n v="483.11"/>
    <n v="0"/>
  </r>
  <r>
    <x v="44"/>
    <x v="12"/>
    <n v="63.6"/>
    <n v="460.9"/>
    <n v="0"/>
  </r>
  <r>
    <x v="45"/>
    <x v="12"/>
    <n v="63.6"/>
    <n v="444.49"/>
    <n v="0"/>
  </r>
  <r>
    <x v="46"/>
    <x v="12"/>
    <n v="63.6"/>
    <n v="362.21"/>
    <n v="0"/>
  </r>
  <r>
    <x v="47"/>
    <x v="12"/>
    <n v="63.6"/>
    <n v="255.96"/>
    <n v="102.99"/>
  </r>
  <r>
    <x v="48"/>
    <x v="12"/>
    <n v="63.6"/>
    <n v="984.27"/>
    <n v="616.23"/>
  </r>
  <r>
    <x v="49"/>
    <x v="12"/>
    <n v="63.6"/>
    <n v="344.8"/>
    <n v="181.94"/>
  </r>
  <r>
    <x v="50"/>
    <x v="12"/>
    <n v="63.6"/>
    <n v="294.87"/>
    <n v="171.12"/>
  </r>
  <r>
    <x v="51"/>
    <x v="12"/>
    <n v="63.6"/>
    <n v="286.58999999999997"/>
    <n v="162.30000000000001"/>
  </r>
  <r>
    <x v="52"/>
    <x v="12"/>
    <n v="63.6"/>
    <n v="329.54"/>
    <n v="207.81"/>
  </r>
  <r>
    <x v="53"/>
    <x v="12"/>
    <n v="63.6"/>
    <n v="399.11"/>
    <n v="0"/>
  </r>
  <r>
    <x v="54"/>
    <x v="12"/>
    <n v="63.6"/>
    <n v="310.75"/>
    <n v="0"/>
  </r>
  <r>
    <x v="55"/>
    <x v="12"/>
    <n v="63.6"/>
    <n v="425.85"/>
    <n v="0"/>
  </r>
  <r>
    <x v="56"/>
    <x v="12"/>
    <n v="63.6"/>
    <n v="373.48"/>
    <n v="0"/>
  </r>
  <r>
    <x v="57"/>
    <x v="12"/>
    <n v="63.6"/>
    <n v="403.18"/>
    <n v="0"/>
  </r>
  <r>
    <x v="58"/>
    <x v="12"/>
    <n v="63.6"/>
    <n v="386.78"/>
    <n v="0"/>
  </r>
  <r>
    <x v="59"/>
    <x v="12"/>
    <n v="63.6"/>
    <n v="284.69"/>
    <n v="171.8"/>
  </r>
  <r>
    <x v="60"/>
    <x v="12"/>
    <n v="63.6"/>
    <n v="827.71"/>
    <n v="507.9"/>
  </r>
  <r>
    <x v="61"/>
    <x v="12"/>
    <n v="63.6"/>
    <n v="353.15"/>
    <n v="175.1"/>
  </r>
  <r>
    <x v="62"/>
    <x v="12"/>
    <n v="63.6"/>
    <n v="342.14"/>
    <n v="209.74"/>
  </r>
  <r>
    <x v="63"/>
    <x v="12"/>
    <n v="63.6"/>
    <n v="324.33999999999997"/>
    <n v="191.57"/>
  </r>
  <r>
    <x v="64"/>
    <x v="12"/>
    <n v="63.6"/>
    <n v="438.93"/>
    <n v="0"/>
  </r>
  <r>
    <x v="65"/>
    <x v="12"/>
    <n v="63.6"/>
    <n v="413.09"/>
    <n v="0"/>
  </r>
  <r>
    <x v="66"/>
    <x v="12"/>
    <n v="63.6"/>
    <n v="388.54"/>
    <n v="0"/>
  </r>
  <r>
    <x v="67"/>
    <x v="12"/>
    <n v="63.6"/>
    <n v="496.24"/>
    <n v="0"/>
  </r>
  <r>
    <x v="68"/>
    <x v="12"/>
    <n v="63.6"/>
    <n v="379.42"/>
    <n v="0"/>
  </r>
  <r>
    <x v="69"/>
    <x v="12"/>
    <n v="63.6"/>
    <n v="360.44"/>
    <n v="181.31"/>
  </r>
  <r>
    <x v="70"/>
    <x v="12"/>
    <n v="63.6"/>
    <n v="455.76"/>
    <n v="256.70999999999998"/>
  </r>
  <r>
    <x v="71"/>
    <x v="12"/>
    <n v="63.6"/>
    <n v="307.62"/>
    <n v="119.33"/>
  </r>
  <r>
    <x v="72"/>
    <x v="12"/>
    <n v="63.6"/>
    <n v="0"/>
    <n v="0"/>
  </r>
  <r>
    <x v="73"/>
    <x v="12"/>
    <n v="63.6"/>
    <n v="0"/>
    <n v="0"/>
  </r>
  <r>
    <x v="74"/>
    <x v="12"/>
    <n v="63.6"/>
    <n v="0"/>
    <n v="0"/>
  </r>
  <r>
    <x v="75"/>
    <x v="12"/>
    <n v="63.6"/>
    <n v="0"/>
    <n v="0"/>
  </r>
  <r>
    <x v="76"/>
    <x v="12"/>
    <n v="63.6"/>
    <n v="0"/>
    <n v="0"/>
  </r>
  <r>
    <x v="77"/>
    <x v="12"/>
    <n v="63.6"/>
    <n v="0"/>
    <n v="0"/>
  </r>
  <r>
    <x v="78"/>
    <x v="12"/>
    <n v="63.6"/>
    <n v="0"/>
    <n v="0"/>
  </r>
  <r>
    <x v="79"/>
    <x v="12"/>
    <n v="63.6"/>
    <n v="0"/>
    <n v="0"/>
  </r>
  <r>
    <x v="80"/>
    <x v="12"/>
    <n v="63.6"/>
    <n v="0"/>
    <n v="0"/>
  </r>
  <r>
    <x v="81"/>
    <x v="12"/>
    <n v="63.6"/>
    <n v="0"/>
    <n v="0"/>
  </r>
  <r>
    <x v="82"/>
    <x v="12"/>
    <n v="63.6"/>
    <n v="0"/>
    <n v="0"/>
  </r>
  <r>
    <x v="83"/>
    <x v="12"/>
    <n v="63.6"/>
    <n v="0"/>
    <n v="0"/>
  </r>
  <r>
    <x v="84"/>
    <x v="12"/>
    <n v="63.6"/>
    <n v="0"/>
    <n v="0"/>
  </r>
  <r>
    <x v="85"/>
    <x v="12"/>
    <n v="63.6"/>
    <n v="0"/>
    <n v="0"/>
  </r>
  <r>
    <x v="86"/>
    <x v="12"/>
    <n v="63.6"/>
    <n v="0"/>
    <n v="0"/>
  </r>
  <r>
    <x v="87"/>
    <x v="12"/>
    <n v="63.6"/>
    <n v="0"/>
    <n v="0"/>
  </r>
  <r>
    <x v="88"/>
    <x v="12"/>
    <n v="63.6"/>
    <n v="0"/>
    <n v="0"/>
  </r>
  <r>
    <x v="89"/>
    <x v="12"/>
    <n v="63.6"/>
    <n v="0"/>
    <n v="0"/>
  </r>
  <r>
    <x v="90"/>
    <x v="12"/>
    <n v="63.6"/>
    <n v="0"/>
    <n v="0"/>
  </r>
  <r>
    <x v="91"/>
    <x v="12"/>
    <n v="63.6"/>
    <n v="0"/>
    <n v="0"/>
  </r>
  <r>
    <x v="92"/>
    <x v="12"/>
    <n v="63.6"/>
    <n v="0"/>
    <n v="0"/>
  </r>
  <r>
    <x v="93"/>
    <x v="12"/>
    <n v="63.6"/>
    <n v="0"/>
    <n v="0"/>
  </r>
  <r>
    <x v="94"/>
    <x v="12"/>
    <n v="63.6"/>
    <n v="0"/>
    <n v="0"/>
  </r>
  <r>
    <x v="95"/>
    <x v="12"/>
    <n v="63.6"/>
    <n v="0"/>
    <n v="0"/>
  </r>
  <r>
    <x v="0"/>
    <x v="13"/>
    <n v="63.9"/>
    <n v="619.92999999999995"/>
    <n v="329.03"/>
  </r>
  <r>
    <x v="1"/>
    <x v="13"/>
    <n v="63.9"/>
    <n v="273.48"/>
    <n v="97.58"/>
  </r>
  <r>
    <x v="2"/>
    <x v="13"/>
    <n v="63.9"/>
    <n v="273.83"/>
    <n v="105.31"/>
  </r>
  <r>
    <x v="3"/>
    <x v="13"/>
    <n v="63.9"/>
    <n v="234.51"/>
    <n v="84.7"/>
  </r>
  <r>
    <x v="4"/>
    <x v="13"/>
    <n v="63.9"/>
    <n v="252.87"/>
    <n v="100.7"/>
  </r>
  <r>
    <x v="5"/>
    <x v="13"/>
    <n v="63.9"/>
    <n v="258.68"/>
    <n v="95.74"/>
  </r>
  <r>
    <x v="6"/>
    <x v="13"/>
    <n v="63.9"/>
    <n v="188.4"/>
    <n v="36.04"/>
  </r>
  <r>
    <x v="7"/>
    <x v="13"/>
    <n v="63.9"/>
    <n v="295.35000000000002"/>
    <n v="123.26"/>
  </r>
  <r>
    <x v="8"/>
    <x v="13"/>
    <n v="63.9"/>
    <n v="208.81"/>
    <n v="50.42"/>
  </r>
  <r>
    <x v="9"/>
    <x v="13"/>
    <n v="63.9"/>
    <n v="210.2"/>
    <n v="51.39"/>
  </r>
  <r>
    <x v="10"/>
    <x v="13"/>
    <n v="63.9"/>
    <n v="200.91"/>
    <n v="30.4"/>
  </r>
  <r>
    <x v="11"/>
    <x v="13"/>
    <n v="63.9"/>
    <n v="614.49"/>
    <n v="-183.97"/>
  </r>
  <r>
    <x v="12"/>
    <x v="13"/>
    <n v="63.9"/>
    <n v="469.74"/>
    <n v="12.67"/>
  </r>
  <r>
    <x v="13"/>
    <x v="13"/>
    <n v="63.9"/>
    <n v="134.6"/>
    <n v="-69.77"/>
  </r>
  <r>
    <x v="14"/>
    <x v="13"/>
    <n v="63.9"/>
    <n v="187.39"/>
    <n v="-58.71"/>
  </r>
  <r>
    <x v="15"/>
    <x v="13"/>
    <n v="63.9"/>
    <n v="196.77"/>
    <n v="-53.34"/>
  </r>
  <r>
    <x v="16"/>
    <x v="13"/>
    <n v="63.9"/>
    <n v="160.37"/>
    <n v="-71.709999999999994"/>
  </r>
  <r>
    <x v="17"/>
    <x v="13"/>
    <n v="63.9"/>
    <n v="212.68"/>
    <n v="-40.71"/>
  </r>
  <r>
    <x v="18"/>
    <x v="13"/>
    <n v="63.9"/>
    <n v="205.74"/>
    <n v="-33.64"/>
  </r>
  <r>
    <x v="19"/>
    <x v="13"/>
    <n v="63.9"/>
    <n v="263.19"/>
    <n v="-14.78"/>
  </r>
  <r>
    <x v="20"/>
    <x v="13"/>
    <n v="63.9"/>
    <n v="240.2"/>
    <n v="-13.33"/>
  </r>
  <r>
    <x v="21"/>
    <x v="13"/>
    <n v="63.9"/>
    <n v="214.71"/>
    <n v="-22.61"/>
  </r>
  <r>
    <x v="22"/>
    <x v="13"/>
    <n v="63.9"/>
    <n v="188.55"/>
    <n v="-52.07"/>
  </r>
  <r>
    <x v="23"/>
    <x v="13"/>
    <n v="63.9"/>
    <n v="104.44"/>
    <n v="-98.61"/>
  </r>
  <r>
    <x v="24"/>
    <x v="13"/>
    <n v="63.9"/>
    <n v="711.54"/>
    <n v="469.5"/>
  </r>
  <r>
    <x v="25"/>
    <x v="13"/>
    <n v="63.9"/>
    <n v="291.45"/>
    <n v="174.03"/>
  </r>
  <r>
    <x v="26"/>
    <x v="13"/>
    <n v="63.9"/>
    <n v="286.42"/>
    <n v="175.33"/>
  </r>
  <r>
    <x v="27"/>
    <x v="13"/>
    <n v="63.9"/>
    <n v="192.61"/>
    <n v="134.84"/>
  </r>
  <r>
    <x v="28"/>
    <x v="13"/>
    <n v="63.9"/>
    <n v="271"/>
    <n v="173.28"/>
  </r>
  <r>
    <x v="29"/>
    <x v="13"/>
    <n v="63.9"/>
    <n v="360.18"/>
    <n v="237.45"/>
  </r>
  <r>
    <x v="30"/>
    <x v="13"/>
    <n v="63.9"/>
    <n v="325.01"/>
    <n v="215.93"/>
  </r>
  <r>
    <x v="31"/>
    <x v="13"/>
    <n v="63.9"/>
    <n v="365.94"/>
    <n v="247.34"/>
  </r>
  <r>
    <x v="32"/>
    <x v="13"/>
    <n v="63.9"/>
    <n v="282.81"/>
    <n v="199.27"/>
  </r>
  <r>
    <x v="33"/>
    <x v="13"/>
    <n v="63.9"/>
    <n v="305.83999999999997"/>
    <n v="201.83"/>
  </r>
  <r>
    <x v="34"/>
    <x v="13"/>
    <n v="63.9"/>
    <n v="348.52"/>
    <n v="222.2"/>
  </r>
  <r>
    <x v="35"/>
    <x v="13"/>
    <n v="63.9"/>
    <n v="221.01"/>
    <n v="129.93"/>
  </r>
  <r>
    <x v="36"/>
    <x v="13"/>
    <n v="63.9"/>
    <n v="945.66"/>
    <n v="579.64"/>
  </r>
  <r>
    <x v="37"/>
    <x v="13"/>
    <n v="63.9"/>
    <n v="337.77"/>
    <n v="188.36"/>
  </r>
  <r>
    <x v="38"/>
    <x v="13"/>
    <n v="63.9"/>
    <n v="392.01"/>
    <n v="215.08"/>
  </r>
  <r>
    <x v="39"/>
    <x v="13"/>
    <n v="63.9"/>
    <n v="322.8"/>
    <n v="0"/>
  </r>
  <r>
    <x v="40"/>
    <x v="13"/>
    <n v="63.9"/>
    <n v="436.77"/>
    <n v="0"/>
  </r>
  <r>
    <x v="41"/>
    <x v="13"/>
    <n v="63.9"/>
    <n v="398.32"/>
    <n v="234.11"/>
  </r>
  <r>
    <x v="42"/>
    <x v="13"/>
    <n v="63.9"/>
    <n v="406.86"/>
    <n v="0"/>
  </r>
  <r>
    <x v="43"/>
    <x v="13"/>
    <n v="63.9"/>
    <n v="487.93"/>
    <n v="0"/>
  </r>
  <r>
    <x v="44"/>
    <x v="13"/>
    <n v="63.9"/>
    <n v="465.93"/>
    <n v="0"/>
  </r>
  <r>
    <x v="45"/>
    <x v="13"/>
    <n v="63.9"/>
    <n v="449.84"/>
    <n v="0"/>
  </r>
  <r>
    <x v="46"/>
    <x v="13"/>
    <n v="63.9"/>
    <n v="367.27"/>
    <n v="0"/>
  </r>
  <r>
    <x v="47"/>
    <x v="13"/>
    <n v="63.9"/>
    <n v="261.88"/>
    <n v="103.22"/>
  </r>
  <r>
    <x v="48"/>
    <x v="13"/>
    <n v="63.9"/>
    <n v="992.51"/>
    <n v="616.96"/>
  </r>
  <r>
    <x v="49"/>
    <x v="13"/>
    <n v="63.9"/>
    <n v="350.31"/>
    <n v="180.74"/>
  </r>
  <r>
    <x v="50"/>
    <x v="13"/>
    <n v="63.9"/>
    <n v="300.02999999999997"/>
    <n v="169.27"/>
  </r>
  <r>
    <x v="51"/>
    <x v="13"/>
    <n v="63.9"/>
    <n v="291.54000000000002"/>
    <n v="160.59"/>
  </r>
  <r>
    <x v="52"/>
    <x v="13"/>
    <n v="63.9"/>
    <n v="334.09"/>
    <n v="206.2"/>
  </r>
  <r>
    <x v="53"/>
    <x v="13"/>
    <n v="63.9"/>
    <n v="404.42"/>
    <n v="0"/>
  </r>
  <r>
    <x v="54"/>
    <x v="13"/>
    <n v="63.9"/>
    <n v="314.87"/>
    <n v="0"/>
  </r>
  <r>
    <x v="55"/>
    <x v="13"/>
    <n v="63.9"/>
    <n v="431.23"/>
    <n v="0"/>
  </r>
  <r>
    <x v="56"/>
    <x v="13"/>
    <n v="63.9"/>
    <n v="378.56"/>
    <n v="0"/>
  </r>
  <r>
    <x v="57"/>
    <x v="13"/>
    <n v="63.9"/>
    <n v="408.53"/>
    <n v="0"/>
  </r>
  <r>
    <x v="58"/>
    <x v="13"/>
    <n v="63.9"/>
    <n v="392.91"/>
    <n v="0"/>
  </r>
  <r>
    <x v="59"/>
    <x v="13"/>
    <n v="63.9"/>
    <n v="289.94"/>
    <n v="173.56"/>
  </r>
  <r>
    <x v="60"/>
    <x v="13"/>
    <n v="63.9"/>
    <n v="834.35"/>
    <n v="507.7"/>
  </r>
  <r>
    <x v="61"/>
    <x v="13"/>
    <n v="63.9"/>
    <n v="358.75"/>
    <n v="174.28"/>
  </r>
  <r>
    <x v="62"/>
    <x v="13"/>
    <n v="63.9"/>
    <n v="347.01"/>
    <n v="207.37"/>
  </r>
  <r>
    <x v="63"/>
    <x v="13"/>
    <n v="63.9"/>
    <n v="329.14"/>
    <n v="190.05"/>
  </r>
  <r>
    <x v="64"/>
    <x v="13"/>
    <n v="63.9"/>
    <n v="444.53"/>
    <n v="0"/>
  </r>
  <r>
    <x v="65"/>
    <x v="13"/>
    <n v="63.9"/>
    <n v="418.87"/>
    <n v="0"/>
  </r>
  <r>
    <x v="66"/>
    <x v="13"/>
    <n v="63.9"/>
    <n v="393.64"/>
    <n v="0"/>
  </r>
  <r>
    <x v="67"/>
    <x v="13"/>
    <n v="63.9"/>
    <n v="501.71"/>
    <n v="0"/>
  </r>
  <r>
    <x v="68"/>
    <x v="13"/>
    <n v="63.9"/>
    <n v="383.31"/>
    <n v="0"/>
  </r>
  <r>
    <x v="69"/>
    <x v="13"/>
    <n v="63.9"/>
    <n v="368.01"/>
    <n v="183.69"/>
  </r>
  <r>
    <x v="70"/>
    <x v="13"/>
    <n v="63.9"/>
    <n v="462.93"/>
    <n v="257.14999999999998"/>
  </r>
  <r>
    <x v="71"/>
    <x v="13"/>
    <n v="63.9"/>
    <n v="315.98"/>
    <n v="121.45"/>
  </r>
  <r>
    <x v="72"/>
    <x v="13"/>
    <n v="63.9"/>
    <n v="0"/>
    <n v="0"/>
  </r>
  <r>
    <x v="73"/>
    <x v="13"/>
    <n v="63.9"/>
    <n v="0"/>
    <n v="0"/>
  </r>
  <r>
    <x v="74"/>
    <x v="13"/>
    <n v="63.9"/>
    <n v="0"/>
    <n v="0"/>
  </r>
  <r>
    <x v="75"/>
    <x v="13"/>
    <n v="63.9"/>
    <n v="0"/>
    <n v="0"/>
  </r>
  <r>
    <x v="76"/>
    <x v="13"/>
    <n v="63.9"/>
    <n v="0"/>
    <n v="0"/>
  </r>
  <r>
    <x v="77"/>
    <x v="13"/>
    <n v="63.9"/>
    <n v="0"/>
    <n v="0"/>
  </r>
  <r>
    <x v="78"/>
    <x v="13"/>
    <n v="63.9"/>
    <n v="0"/>
    <n v="0"/>
  </r>
  <r>
    <x v="79"/>
    <x v="13"/>
    <n v="63.9"/>
    <n v="0"/>
    <n v="0"/>
  </r>
  <r>
    <x v="80"/>
    <x v="13"/>
    <n v="63.9"/>
    <n v="0"/>
    <n v="0"/>
  </r>
  <r>
    <x v="81"/>
    <x v="13"/>
    <n v="63.9"/>
    <n v="0"/>
    <n v="0"/>
  </r>
  <r>
    <x v="82"/>
    <x v="13"/>
    <n v="63.9"/>
    <n v="0"/>
    <n v="0"/>
  </r>
  <r>
    <x v="83"/>
    <x v="13"/>
    <n v="63.9"/>
    <n v="0"/>
    <n v="0"/>
  </r>
  <r>
    <x v="84"/>
    <x v="13"/>
    <n v="63.9"/>
    <n v="0"/>
    <n v="0"/>
  </r>
  <r>
    <x v="85"/>
    <x v="13"/>
    <n v="63.9"/>
    <n v="0"/>
    <n v="0"/>
  </r>
  <r>
    <x v="86"/>
    <x v="13"/>
    <n v="63.9"/>
    <n v="0"/>
    <n v="0"/>
  </r>
  <r>
    <x v="87"/>
    <x v="13"/>
    <n v="63.9"/>
    <n v="0"/>
    <n v="0"/>
  </r>
  <r>
    <x v="88"/>
    <x v="13"/>
    <n v="63.9"/>
    <n v="0"/>
    <n v="0"/>
  </r>
  <r>
    <x v="89"/>
    <x v="13"/>
    <n v="63.9"/>
    <n v="0"/>
    <n v="0"/>
  </r>
  <r>
    <x v="90"/>
    <x v="13"/>
    <n v="63.9"/>
    <n v="0"/>
    <n v="0"/>
  </r>
  <r>
    <x v="91"/>
    <x v="13"/>
    <n v="63.9"/>
    <n v="0"/>
    <n v="0"/>
  </r>
  <r>
    <x v="92"/>
    <x v="13"/>
    <n v="63.9"/>
    <n v="0"/>
    <n v="0"/>
  </r>
  <r>
    <x v="93"/>
    <x v="13"/>
    <n v="63.9"/>
    <n v="0"/>
    <n v="0"/>
  </r>
  <r>
    <x v="94"/>
    <x v="13"/>
    <n v="63.9"/>
    <n v="0"/>
    <n v="0"/>
  </r>
  <r>
    <x v="95"/>
    <x v="13"/>
    <n v="63.9"/>
    <n v="0"/>
    <n v="0"/>
  </r>
  <r>
    <x v="0"/>
    <x v="14"/>
    <n v="64.2"/>
    <n v="626.19000000000005"/>
    <n v="331.94"/>
  </r>
  <r>
    <x v="1"/>
    <x v="14"/>
    <n v="64.2"/>
    <n v="278.77"/>
    <n v="98.88"/>
  </r>
  <r>
    <x v="2"/>
    <x v="14"/>
    <n v="64.2"/>
    <n v="279.08"/>
    <n v="106.74"/>
  </r>
  <r>
    <x v="3"/>
    <x v="14"/>
    <n v="64.2"/>
    <n v="240.14"/>
    <n v="87.36"/>
  </r>
  <r>
    <x v="4"/>
    <x v="14"/>
    <n v="64.2"/>
    <n v="257.93"/>
    <n v="102.34"/>
  </r>
  <r>
    <x v="5"/>
    <x v="14"/>
    <n v="64.2"/>
    <n v="263.92"/>
    <n v="97.15"/>
  </r>
  <r>
    <x v="6"/>
    <x v="14"/>
    <n v="64.2"/>
    <n v="193.79"/>
    <n v="37.92"/>
  </r>
  <r>
    <x v="7"/>
    <x v="14"/>
    <n v="64.2"/>
    <n v="300.67"/>
    <n v="125.16"/>
  </r>
  <r>
    <x v="8"/>
    <x v="14"/>
    <n v="64.2"/>
    <n v="214.4"/>
    <n v="53.38"/>
  </r>
  <r>
    <x v="9"/>
    <x v="14"/>
    <n v="64.2"/>
    <n v="215.76"/>
    <n v="54.94"/>
  </r>
  <r>
    <x v="10"/>
    <x v="14"/>
    <n v="64.2"/>
    <n v="206.41"/>
    <n v="32.81"/>
  </r>
  <r>
    <x v="11"/>
    <x v="14"/>
    <n v="64.2"/>
    <n v="618.16999999999996"/>
    <n v="-195.02"/>
  </r>
  <r>
    <x v="12"/>
    <x v="14"/>
    <n v="64.2"/>
    <n v="477.42"/>
    <n v="14.29"/>
  </r>
  <r>
    <x v="13"/>
    <x v="14"/>
    <n v="64.2"/>
    <n v="138.81"/>
    <n v="-69.02"/>
  </r>
  <r>
    <x v="14"/>
    <x v="14"/>
    <n v="64.2"/>
    <n v="190.75"/>
    <n v="-59.03"/>
  </r>
  <r>
    <x v="15"/>
    <x v="14"/>
    <n v="64.2"/>
    <n v="202.29"/>
    <n v="-52.76"/>
  </r>
  <r>
    <x v="16"/>
    <x v="14"/>
    <n v="64.2"/>
    <n v="164"/>
    <n v="-72.06"/>
  </r>
  <r>
    <x v="17"/>
    <x v="14"/>
    <n v="64.2"/>
    <n v="218.78"/>
    <n v="-39.76"/>
  </r>
  <r>
    <x v="18"/>
    <x v="14"/>
    <n v="64.2"/>
    <n v="211.28"/>
    <n v="-32.74"/>
  </r>
  <r>
    <x v="19"/>
    <x v="14"/>
    <n v="64.2"/>
    <n v="268.54000000000002"/>
    <n v="-13.95"/>
  </r>
  <r>
    <x v="20"/>
    <x v="14"/>
    <n v="64.2"/>
    <n v="246.23"/>
    <n v="-12.38"/>
  </r>
  <r>
    <x v="21"/>
    <x v="14"/>
    <n v="64.2"/>
    <n v="220.96"/>
    <n v="-21.49"/>
  </r>
  <r>
    <x v="22"/>
    <x v="14"/>
    <n v="64.2"/>
    <n v="193.98"/>
    <n v="-51.34"/>
  </r>
  <r>
    <x v="23"/>
    <x v="14"/>
    <n v="64.2"/>
    <n v="112.37"/>
    <n v="-95.53"/>
  </r>
  <r>
    <x v="24"/>
    <x v="14"/>
    <n v="64.2"/>
    <n v="720.35"/>
    <n v="468.68"/>
  </r>
  <r>
    <x v="25"/>
    <x v="14"/>
    <n v="64.2"/>
    <n v="297.63"/>
    <n v="172.82"/>
  </r>
  <r>
    <x v="26"/>
    <x v="14"/>
    <n v="64.2"/>
    <n v="291.95999999999998"/>
    <n v="174.12"/>
  </r>
  <r>
    <x v="27"/>
    <x v="14"/>
    <n v="64.2"/>
    <n v="197.66"/>
    <n v="131.93"/>
  </r>
  <r>
    <x v="28"/>
    <x v="14"/>
    <n v="64.2"/>
    <n v="276.55"/>
    <n v="172.73"/>
  </r>
  <r>
    <x v="29"/>
    <x v="14"/>
    <n v="64.2"/>
    <n v="366.32"/>
    <n v="236.64"/>
  </r>
  <r>
    <x v="30"/>
    <x v="14"/>
    <n v="64.2"/>
    <n v="330.9"/>
    <n v="214.49"/>
  </r>
  <r>
    <x v="31"/>
    <x v="14"/>
    <n v="64.2"/>
    <n v="371.94"/>
    <n v="246.02"/>
  </r>
  <r>
    <x v="32"/>
    <x v="14"/>
    <n v="64.2"/>
    <n v="287.8"/>
    <n v="198.01"/>
  </r>
  <r>
    <x v="33"/>
    <x v="14"/>
    <n v="64.2"/>
    <n v="311.68"/>
    <n v="201.03"/>
  </r>
  <r>
    <x v="34"/>
    <x v="14"/>
    <n v="64.2"/>
    <n v="355.05"/>
    <n v="221.06"/>
  </r>
  <r>
    <x v="35"/>
    <x v="14"/>
    <n v="64.2"/>
    <n v="226.72"/>
    <n v="128.65"/>
  </r>
  <r>
    <x v="36"/>
    <x v="14"/>
    <n v="64.2"/>
    <n v="953.42"/>
    <n v="579.26"/>
  </r>
  <r>
    <x v="37"/>
    <x v="14"/>
    <n v="64.2"/>
    <n v="343.15"/>
    <n v="187.62"/>
  </r>
  <r>
    <x v="38"/>
    <x v="14"/>
    <n v="64.2"/>
    <n v="397.76"/>
    <n v="212.57"/>
  </r>
  <r>
    <x v="39"/>
    <x v="14"/>
    <n v="64.2"/>
    <n v="327.35000000000002"/>
    <n v="0"/>
  </r>
  <r>
    <x v="40"/>
    <x v="14"/>
    <n v="64.2"/>
    <n v="442"/>
    <n v="0"/>
  </r>
  <r>
    <x v="41"/>
    <x v="14"/>
    <n v="64.2"/>
    <n v="403.22"/>
    <n v="231.31"/>
  </r>
  <r>
    <x v="42"/>
    <x v="14"/>
    <n v="64.2"/>
    <n v="411.62"/>
    <n v="0"/>
  </r>
  <r>
    <x v="43"/>
    <x v="14"/>
    <n v="64.2"/>
    <n v="492.89"/>
    <n v="0"/>
  </r>
  <r>
    <x v="44"/>
    <x v="14"/>
    <n v="64.2"/>
    <n v="471.12"/>
    <n v="0"/>
  </r>
  <r>
    <x v="45"/>
    <x v="14"/>
    <n v="64.2"/>
    <n v="455.38"/>
    <n v="0"/>
  </r>
  <r>
    <x v="46"/>
    <x v="14"/>
    <n v="64.2"/>
    <n v="372.55"/>
    <n v="0"/>
  </r>
  <r>
    <x v="47"/>
    <x v="14"/>
    <n v="64.2"/>
    <n v="268.12"/>
    <n v="103.89"/>
  </r>
  <r>
    <x v="48"/>
    <x v="14"/>
    <n v="64.2"/>
    <n v="1000.91"/>
    <n v="617.41"/>
  </r>
  <r>
    <x v="49"/>
    <x v="14"/>
    <n v="64.2"/>
    <n v="356.08"/>
    <n v="179.56"/>
  </r>
  <r>
    <x v="50"/>
    <x v="14"/>
    <n v="64.2"/>
    <n v="305.47000000000003"/>
    <n v="167.39"/>
  </r>
  <r>
    <x v="51"/>
    <x v="14"/>
    <n v="64.2"/>
    <n v="296.77"/>
    <n v="158.91999999999999"/>
  </r>
  <r>
    <x v="52"/>
    <x v="14"/>
    <n v="64.2"/>
    <n v="338.87"/>
    <n v="204.56"/>
  </r>
  <r>
    <x v="53"/>
    <x v="14"/>
    <n v="64.2"/>
    <n v="409.94"/>
    <n v="0"/>
  </r>
  <r>
    <x v="54"/>
    <x v="14"/>
    <n v="64.2"/>
    <n v="319.17"/>
    <n v="0"/>
  </r>
  <r>
    <x v="55"/>
    <x v="14"/>
    <n v="64.2"/>
    <n v="436.83"/>
    <n v="0"/>
  </r>
  <r>
    <x v="56"/>
    <x v="14"/>
    <n v="64.2"/>
    <n v="383.86"/>
    <n v="0"/>
  </r>
  <r>
    <x v="57"/>
    <x v="14"/>
    <n v="64.2"/>
    <n v="414.09"/>
    <n v="0"/>
  </r>
  <r>
    <x v="58"/>
    <x v="14"/>
    <n v="64.2"/>
    <n v="399.31"/>
    <n v="0"/>
  </r>
  <r>
    <x v="59"/>
    <x v="14"/>
    <n v="64.2"/>
    <n v="295.48"/>
    <n v="175.49"/>
  </r>
  <r>
    <x v="60"/>
    <x v="14"/>
    <n v="64.2"/>
    <n v="841.12"/>
    <n v="507.23"/>
  </r>
  <r>
    <x v="61"/>
    <x v="14"/>
    <n v="64.2"/>
    <n v="364.62"/>
    <n v="173.54"/>
  </r>
  <r>
    <x v="62"/>
    <x v="14"/>
    <n v="64.2"/>
    <n v="352.11"/>
    <n v="204.87"/>
  </r>
  <r>
    <x v="63"/>
    <x v="14"/>
    <n v="64.2"/>
    <n v="334.18"/>
    <n v="188.5"/>
  </r>
  <r>
    <x v="64"/>
    <x v="14"/>
    <n v="64.2"/>
    <n v="450.37"/>
    <n v="0"/>
  </r>
  <r>
    <x v="65"/>
    <x v="14"/>
    <n v="64.2"/>
    <n v="424.91"/>
    <n v="0"/>
  </r>
  <r>
    <x v="66"/>
    <x v="14"/>
    <n v="64.2"/>
    <n v="398.96"/>
    <n v="0"/>
  </r>
  <r>
    <x v="67"/>
    <x v="14"/>
    <n v="64.2"/>
    <n v="507.37"/>
    <n v="0"/>
  </r>
  <r>
    <x v="68"/>
    <x v="14"/>
    <n v="64.2"/>
    <n v="387.32"/>
    <n v="0"/>
  </r>
  <r>
    <x v="69"/>
    <x v="14"/>
    <n v="64.2"/>
    <n v="375.97"/>
    <n v="186.55"/>
  </r>
  <r>
    <x v="70"/>
    <x v="14"/>
    <n v="64.2"/>
    <n v="470.45"/>
    <n v="257.87"/>
  </r>
  <r>
    <x v="71"/>
    <x v="14"/>
    <n v="64.2"/>
    <n v="324.83999999999997"/>
    <n v="124.45"/>
  </r>
  <r>
    <x v="72"/>
    <x v="14"/>
    <n v="64.2"/>
    <n v="0"/>
    <n v="0"/>
  </r>
  <r>
    <x v="73"/>
    <x v="14"/>
    <n v="64.2"/>
    <n v="0"/>
    <n v="0"/>
  </r>
  <r>
    <x v="74"/>
    <x v="14"/>
    <n v="64.2"/>
    <n v="0"/>
    <n v="0"/>
  </r>
  <r>
    <x v="75"/>
    <x v="14"/>
    <n v="64.2"/>
    <n v="0"/>
    <n v="0"/>
  </r>
  <r>
    <x v="76"/>
    <x v="14"/>
    <n v="64.2"/>
    <n v="0"/>
    <n v="0"/>
  </r>
  <r>
    <x v="77"/>
    <x v="14"/>
    <n v="64.2"/>
    <n v="0"/>
    <n v="0"/>
  </r>
  <r>
    <x v="78"/>
    <x v="14"/>
    <n v="64.2"/>
    <n v="0"/>
    <n v="0"/>
  </r>
  <r>
    <x v="79"/>
    <x v="14"/>
    <n v="64.2"/>
    <n v="0"/>
    <n v="0"/>
  </r>
  <r>
    <x v="80"/>
    <x v="14"/>
    <n v="64.2"/>
    <n v="0"/>
    <n v="0"/>
  </r>
  <r>
    <x v="81"/>
    <x v="14"/>
    <n v="64.2"/>
    <n v="0"/>
    <n v="0"/>
  </r>
  <r>
    <x v="82"/>
    <x v="14"/>
    <n v="64.2"/>
    <n v="0"/>
    <n v="0"/>
  </r>
  <r>
    <x v="83"/>
    <x v="14"/>
    <n v="64.2"/>
    <n v="0"/>
    <n v="0"/>
  </r>
  <r>
    <x v="84"/>
    <x v="14"/>
    <n v="64.2"/>
    <n v="0"/>
    <n v="0"/>
  </r>
  <r>
    <x v="85"/>
    <x v="14"/>
    <n v="64.2"/>
    <n v="0"/>
    <n v="0"/>
  </r>
  <r>
    <x v="86"/>
    <x v="14"/>
    <n v="64.2"/>
    <n v="0"/>
    <n v="0"/>
  </r>
  <r>
    <x v="87"/>
    <x v="14"/>
    <n v="64.2"/>
    <n v="0"/>
    <n v="0"/>
  </r>
  <r>
    <x v="88"/>
    <x v="14"/>
    <n v="64.2"/>
    <n v="0"/>
    <n v="0"/>
  </r>
  <r>
    <x v="89"/>
    <x v="14"/>
    <n v="64.2"/>
    <n v="0"/>
    <n v="0"/>
  </r>
  <r>
    <x v="90"/>
    <x v="14"/>
    <n v="64.2"/>
    <n v="0"/>
    <n v="0"/>
  </r>
  <r>
    <x v="91"/>
    <x v="14"/>
    <n v="64.2"/>
    <n v="0"/>
    <n v="0"/>
  </r>
  <r>
    <x v="92"/>
    <x v="14"/>
    <n v="64.2"/>
    <n v="0"/>
    <n v="0"/>
  </r>
  <r>
    <x v="93"/>
    <x v="14"/>
    <n v="64.2"/>
    <n v="0"/>
    <n v="0"/>
  </r>
  <r>
    <x v="94"/>
    <x v="14"/>
    <n v="64.2"/>
    <n v="0"/>
    <n v="0"/>
  </r>
  <r>
    <x v="95"/>
    <x v="14"/>
    <n v="64.2"/>
    <n v="0"/>
    <n v="0"/>
  </r>
  <r>
    <x v="0"/>
    <x v="15"/>
    <n v="64.5"/>
    <n v="632.6"/>
    <n v="334.85"/>
  </r>
  <r>
    <x v="1"/>
    <x v="15"/>
    <n v="64.5"/>
    <n v="284.33"/>
    <n v="100.44"/>
  </r>
  <r>
    <x v="2"/>
    <x v="15"/>
    <n v="64.5"/>
    <n v="284.60000000000002"/>
    <n v="108.43"/>
  </r>
  <r>
    <x v="3"/>
    <x v="15"/>
    <n v="64.5"/>
    <n v="246.07"/>
    <n v="90.43"/>
  </r>
  <r>
    <x v="4"/>
    <x v="15"/>
    <n v="64.5"/>
    <n v="263.25"/>
    <n v="104.26"/>
  </r>
  <r>
    <x v="5"/>
    <x v="15"/>
    <n v="64.5"/>
    <n v="269.44"/>
    <n v="98.83"/>
  </r>
  <r>
    <x v="6"/>
    <x v="15"/>
    <n v="64.5"/>
    <n v="199.5"/>
    <n v="40.21"/>
  </r>
  <r>
    <x v="7"/>
    <x v="15"/>
    <n v="64.5"/>
    <n v="306.23"/>
    <n v="127.34"/>
  </r>
  <r>
    <x v="8"/>
    <x v="15"/>
    <n v="64.5"/>
    <n v="220.3"/>
    <n v="56.89"/>
  </r>
  <r>
    <x v="9"/>
    <x v="15"/>
    <n v="64.5"/>
    <n v="221.61"/>
    <n v="59.06"/>
  </r>
  <r>
    <x v="10"/>
    <x v="15"/>
    <n v="64.5"/>
    <n v="212.22"/>
    <n v="35.68"/>
  </r>
  <r>
    <x v="11"/>
    <x v="15"/>
    <n v="64.5"/>
    <n v="621.75"/>
    <n v="-206.65"/>
  </r>
  <r>
    <x v="12"/>
    <x v="15"/>
    <n v="64.5"/>
    <n v="485.65"/>
    <n v="16.03"/>
  </r>
  <r>
    <x v="13"/>
    <x v="15"/>
    <n v="64.5"/>
    <n v="143.88"/>
    <n v="-67.91"/>
  </r>
  <r>
    <x v="14"/>
    <x v="15"/>
    <n v="64.5"/>
    <n v="194.52"/>
    <n v="-59.33"/>
  </r>
  <r>
    <x v="15"/>
    <x v="15"/>
    <n v="64.5"/>
    <n v="208.46"/>
    <n v="-52.05"/>
  </r>
  <r>
    <x v="16"/>
    <x v="15"/>
    <n v="64.5"/>
    <n v="168.13"/>
    <n v="-72.290000000000006"/>
  </r>
  <r>
    <x v="17"/>
    <x v="15"/>
    <n v="64.5"/>
    <n v="225.59"/>
    <n v="-38.630000000000003"/>
  </r>
  <r>
    <x v="18"/>
    <x v="15"/>
    <n v="64.5"/>
    <n v="217.48"/>
    <n v="-31.69"/>
  </r>
  <r>
    <x v="19"/>
    <x v="15"/>
    <n v="64.5"/>
    <n v="274.41000000000003"/>
    <n v="-13.03"/>
  </r>
  <r>
    <x v="20"/>
    <x v="15"/>
    <n v="64.5"/>
    <n v="252.94"/>
    <n v="-11.33"/>
  </r>
  <r>
    <x v="21"/>
    <x v="15"/>
    <n v="64.5"/>
    <n v="227.95"/>
    <n v="-20.260000000000002"/>
  </r>
  <r>
    <x v="22"/>
    <x v="15"/>
    <n v="64.5"/>
    <n v="200.1"/>
    <n v="-50.42"/>
  </r>
  <r>
    <x v="23"/>
    <x v="15"/>
    <n v="64.5"/>
    <n v="121.48"/>
    <n v="-92.21"/>
  </r>
  <r>
    <x v="24"/>
    <x v="15"/>
    <n v="64.5"/>
    <n v="729.41"/>
    <n v="467.56"/>
  </r>
  <r>
    <x v="25"/>
    <x v="15"/>
    <n v="64.5"/>
    <n v="304.13"/>
    <n v="171.62"/>
  </r>
  <r>
    <x v="26"/>
    <x v="15"/>
    <n v="64.5"/>
    <n v="297.76"/>
    <n v="172.82"/>
  </r>
  <r>
    <x v="27"/>
    <x v="15"/>
    <n v="64.5"/>
    <n v="202.99"/>
    <n v="128.87"/>
  </r>
  <r>
    <x v="28"/>
    <x v="15"/>
    <n v="64.5"/>
    <n v="282.37"/>
    <n v="172.31"/>
  </r>
  <r>
    <x v="29"/>
    <x v="15"/>
    <n v="64.5"/>
    <n v="372.71"/>
    <n v="235.73"/>
  </r>
  <r>
    <x v="30"/>
    <x v="15"/>
    <n v="64.5"/>
    <n v="337.06"/>
    <n v="212.93"/>
  </r>
  <r>
    <x v="31"/>
    <x v="15"/>
    <n v="64.5"/>
    <n v="378.2"/>
    <n v="244.56"/>
  </r>
  <r>
    <x v="32"/>
    <x v="15"/>
    <n v="64.5"/>
    <n v="293"/>
    <n v="196.67"/>
  </r>
  <r>
    <x v="33"/>
    <x v="15"/>
    <n v="64.5"/>
    <n v="317.79000000000002"/>
    <n v="200.2"/>
  </r>
  <r>
    <x v="34"/>
    <x v="15"/>
    <n v="64.5"/>
    <n v="361.87"/>
    <n v="219.9"/>
  </r>
  <r>
    <x v="35"/>
    <x v="15"/>
    <n v="64.5"/>
    <n v="232.75"/>
    <n v="127.46"/>
  </r>
  <r>
    <x v="36"/>
    <x v="15"/>
    <n v="64.5"/>
    <n v="961.32"/>
    <n v="578.55999999999995"/>
  </r>
  <r>
    <x v="37"/>
    <x v="15"/>
    <n v="64.5"/>
    <n v="348.79"/>
    <n v="186.94"/>
  </r>
  <r>
    <x v="38"/>
    <x v="15"/>
    <n v="64.5"/>
    <n v="403.79"/>
    <n v="209.92"/>
  </r>
  <r>
    <x v="39"/>
    <x v="15"/>
    <n v="64.5"/>
    <n v="332.1"/>
    <n v="0"/>
  </r>
  <r>
    <x v="40"/>
    <x v="15"/>
    <n v="64.5"/>
    <n v="447.41"/>
    <n v="0"/>
  </r>
  <r>
    <x v="41"/>
    <x v="15"/>
    <n v="64.5"/>
    <n v="408.34"/>
    <n v="228.17"/>
  </r>
  <r>
    <x v="42"/>
    <x v="15"/>
    <n v="64.5"/>
    <n v="416.57"/>
    <n v="0"/>
  </r>
  <r>
    <x v="43"/>
    <x v="15"/>
    <n v="64.5"/>
    <n v="498"/>
    <n v="0"/>
  </r>
  <r>
    <x v="44"/>
    <x v="15"/>
    <n v="64.5"/>
    <n v="476.49"/>
    <n v="0"/>
  </r>
  <r>
    <x v="45"/>
    <x v="15"/>
    <n v="64.5"/>
    <n v="461.12"/>
    <n v="0"/>
  </r>
  <r>
    <x v="46"/>
    <x v="15"/>
    <n v="64.5"/>
    <n v="378.07"/>
    <n v="0"/>
  </r>
  <r>
    <x v="47"/>
    <x v="15"/>
    <n v="64.5"/>
    <n v="274.72000000000003"/>
    <n v="105.14"/>
  </r>
  <r>
    <x v="48"/>
    <x v="15"/>
    <n v="64.5"/>
    <n v="1009.46"/>
    <n v="617.55999999999995"/>
  </r>
  <r>
    <x v="49"/>
    <x v="15"/>
    <n v="64.5"/>
    <n v="362.15"/>
    <n v="178.47"/>
  </r>
  <r>
    <x v="50"/>
    <x v="15"/>
    <n v="64.5"/>
    <n v="311.22000000000003"/>
    <n v="165.54"/>
  </r>
  <r>
    <x v="51"/>
    <x v="15"/>
    <n v="64.5"/>
    <n v="302.27999999999997"/>
    <n v="157.37"/>
  </r>
  <r>
    <x v="52"/>
    <x v="15"/>
    <n v="64.5"/>
    <n v="343.86"/>
    <n v="202.93"/>
  </r>
  <r>
    <x v="53"/>
    <x v="15"/>
    <n v="64.5"/>
    <n v="415.7"/>
    <n v="0"/>
  </r>
  <r>
    <x v="54"/>
    <x v="15"/>
    <n v="64.5"/>
    <n v="323.67"/>
    <n v="0"/>
  </r>
  <r>
    <x v="55"/>
    <x v="15"/>
    <n v="64.5"/>
    <n v="442.65"/>
    <n v="0"/>
  </r>
  <r>
    <x v="56"/>
    <x v="15"/>
    <n v="64.5"/>
    <n v="389.37"/>
    <n v="0"/>
  </r>
  <r>
    <x v="57"/>
    <x v="15"/>
    <n v="64.5"/>
    <n v="419.88"/>
    <n v="0"/>
  </r>
  <r>
    <x v="58"/>
    <x v="15"/>
    <n v="64.5"/>
    <n v="406.01"/>
    <n v="0"/>
  </r>
  <r>
    <x v="59"/>
    <x v="15"/>
    <n v="64.5"/>
    <n v="301.35000000000002"/>
    <n v="177.61"/>
  </r>
  <r>
    <x v="60"/>
    <x v="15"/>
    <n v="64.5"/>
    <n v="848.01"/>
    <n v="506.49"/>
  </r>
  <r>
    <x v="61"/>
    <x v="15"/>
    <n v="64.5"/>
    <n v="370.78"/>
    <n v="172.93"/>
  </r>
  <r>
    <x v="62"/>
    <x v="15"/>
    <n v="64.5"/>
    <n v="357.48"/>
    <n v="202.31"/>
  </r>
  <r>
    <x v="63"/>
    <x v="15"/>
    <n v="64.5"/>
    <n v="339.46"/>
    <n v="187.01"/>
  </r>
  <r>
    <x v="64"/>
    <x v="15"/>
    <n v="64.5"/>
    <n v="456.45"/>
    <n v="0"/>
  </r>
  <r>
    <x v="65"/>
    <x v="15"/>
    <n v="64.5"/>
    <n v="431.23"/>
    <n v="0"/>
  </r>
  <r>
    <x v="66"/>
    <x v="15"/>
    <n v="64.5"/>
    <n v="404.5"/>
    <n v="0"/>
  </r>
  <r>
    <x v="67"/>
    <x v="15"/>
    <n v="64.5"/>
    <n v="513.25"/>
    <n v="0"/>
  </r>
  <r>
    <x v="68"/>
    <x v="15"/>
    <n v="64.5"/>
    <n v="391.45"/>
    <n v="0"/>
  </r>
  <r>
    <x v="69"/>
    <x v="15"/>
    <n v="64.5"/>
    <n v="384.33"/>
    <n v="189.99"/>
  </r>
  <r>
    <x v="70"/>
    <x v="15"/>
    <n v="64.5"/>
    <n v="478.33"/>
    <n v="258.97000000000003"/>
  </r>
  <r>
    <x v="71"/>
    <x v="15"/>
    <n v="64.5"/>
    <n v="334.22"/>
    <n v="128.55000000000001"/>
  </r>
  <r>
    <x v="72"/>
    <x v="15"/>
    <n v="64.5"/>
    <n v="0"/>
    <n v="0"/>
  </r>
  <r>
    <x v="73"/>
    <x v="15"/>
    <n v="64.5"/>
    <n v="0"/>
    <n v="0"/>
  </r>
  <r>
    <x v="74"/>
    <x v="15"/>
    <n v="64.5"/>
    <n v="0"/>
    <n v="0"/>
  </r>
  <r>
    <x v="75"/>
    <x v="15"/>
    <n v="64.5"/>
    <n v="0"/>
    <n v="0"/>
  </r>
  <r>
    <x v="76"/>
    <x v="15"/>
    <n v="64.5"/>
    <n v="0"/>
    <n v="0"/>
  </r>
  <r>
    <x v="77"/>
    <x v="15"/>
    <n v="64.5"/>
    <n v="0"/>
    <n v="0"/>
  </r>
  <r>
    <x v="78"/>
    <x v="15"/>
    <n v="64.5"/>
    <n v="0"/>
    <n v="0"/>
  </r>
  <r>
    <x v="79"/>
    <x v="15"/>
    <n v="64.5"/>
    <n v="0"/>
    <n v="0"/>
  </r>
  <r>
    <x v="80"/>
    <x v="15"/>
    <n v="64.5"/>
    <n v="0"/>
    <n v="0"/>
  </r>
  <r>
    <x v="81"/>
    <x v="15"/>
    <n v="64.5"/>
    <n v="0"/>
    <n v="0"/>
  </r>
  <r>
    <x v="82"/>
    <x v="15"/>
    <n v="64.5"/>
    <n v="0"/>
    <n v="0"/>
  </r>
  <r>
    <x v="83"/>
    <x v="15"/>
    <n v="64.5"/>
    <n v="0"/>
    <n v="0"/>
  </r>
  <r>
    <x v="84"/>
    <x v="15"/>
    <n v="64.5"/>
    <n v="0"/>
    <n v="0"/>
  </r>
  <r>
    <x v="85"/>
    <x v="15"/>
    <n v="64.5"/>
    <n v="0"/>
    <n v="0"/>
  </r>
  <r>
    <x v="86"/>
    <x v="15"/>
    <n v="64.5"/>
    <n v="0"/>
    <n v="0"/>
  </r>
  <r>
    <x v="87"/>
    <x v="15"/>
    <n v="64.5"/>
    <n v="0"/>
    <n v="0"/>
  </r>
  <r>
    <x v="88"/>
    <x v="15"/>
    <n v="64.5"/>
    <n v="0"/>
    <n v="0"/>
  </r>
  <r>
    <x v="89"/>
    <x v="15"/>
    <n v="64.5"/>
    <n v="0"/>
    <n v="0"/>
  </r>
  <r>
    <x v="90"/>
    <x v="15"/>
    <n v="64.5"/>
    <n v="0"/>
    <n v="0"/>
  </r>
  <r>
    <x v="91"/>
    <x v="15"/>
    <n v="64.5"/>
    <n v="0"/>
    <n v="0"/>
  </r>
  <r>
    <x v="92"/>
    <x v="15"/>
    <n v="64.5"/>
    <n v="0"/>
    <n v="0"/>
  </r>
  <r>
    <x v="93"/>
    <x v="15"/>
    <n v="64.5"/>
    <n v="0"/>
    <n v="0"/>
  </r>
  <r>
    <x v="94"/>
    <x v="15"/>
    <n v="64.5"/>
    <n v="0"/>
    <n v="0"/>
  </r>
  <r>
    <x v="95"/>
    <x v="15"/>
    <n v="64.5"/>
    <n v="0"/>
    <n v="0"/>
  </r>
  <r>
    <x v="0"/>
    <x v="16"/>
    <n v="64.8"/>
    <n v="639.16"/>
    <n v="337.71"/>
  </r>
  <r>
    <x v="1"/>
    <x v="16"/>
    <n v="64.8"/>
    <n v="290.17"/>
    <n v="102.33"/>
  </r>
  <r>
    <x v="2"/>
    <x v="16"/>
    <n v="64.8"/>
    <n v="290.38"/>
    <n v="110.45"/>
  </r>
  <r>
    <x v="3"/>
    <x v="16"/>
    <n v="64.8"/>
    <n v="252.32"/>
    <n v="94.01"/>
  </r>
  <r>
    <x v="4"/>
    <x v="16"/>
    <n v="64.8"/>
    <n v="268.85000000000002"/>
    <n v="106.52"/>
  </r>
  <r>
    <x v="5"/>
    <x v="16"/>
    <n v="64.8"/>
    <n v="275.24"/>
    <n v="100.82"/>
  </r>
  <r>
    <x v="6"/>
    <x v="16"/>
    <n v="64.8"/>
    <n v="205.55"/>
    <n v="43.02"/>
  </r>
  <r>
    <x v="7"/>
    <x v="16"/>
    <n v="64.8"/>
    <n v="312.07"/>
    <n v="129.86000000000001"/>
  </r>
  <r>
    <x v="8"/>
    <x v="16"/>
    <n v="64.8"/>
    <n v="226.53"/>
    <n v="61.05"/>
  </r>
  <r>
    <x v="9"/>
    <x v="16"/>
    <n v="64.8"/>
    <n v="227.78"/>
    <n v="63.81"/>
  </r>
  <r>
    <x v="10"/>
    <x v="16"/>
    <n v="64.8"/>
    <n v="218.37"/>
    <n v="39.11"/>
  </r>
  <r>
    <x v="11"/>
    <x v="16"/>
    <n v="64.8"/>
    <n v="625.20000000000005"/>
    <n v="-218.9"/>
  </r>
  <r>
    <x v="12"/>
    <x v="16"/>
    <n v="64.8"/>
    <n v="494.48"/>
    <n v="17.89"/>
  </r>
  <r>
    <x v="13"/>
    <x v="16"/>
    <n v="64.8"/>
    <n v="150"/>
    <n v="-66.41"/>
  </r>
  <r>
    <x v="14"/>
    <x v="16"/>
    <n v="64.8"/>
    <n v="198.79"/>
    <n v="-59.57"/>
  </r>
  <r>
    <x v="15"/>
    <x v="16"/>
    <n v="64.8"/>
    <n v="215.38"/>
    <n v="-51.2"/>
  </r>
  <r>
    <x v="16"/>
    <x v="16"/>
    <n v="64.8"/>
    <n v="172.87"/>
    <n v="-72.37"/>
  </r>
  <r>
    <x v="17"/>
    <x v="16"/>
    <n v="64.8"/>
    <n v="233.23"/>
    <n v="-37.33"/>
  </r>
  <r>
    <x v="18"/>
    <x v="16"/>
    <n v="64.8"/>
    <n v="224.42"/>
    <n v="-30.47"/>
  </r>
  <r>
    <x v="19"/>
    <x v="16"/>
    <n v="64.8"/>
    <n v="280.86"/>
    <n v="-11.99"/>
  </r>
  <r>
    <x v="20"/>
    <x v="16"/>
    <n v="64.8"/>
    <n v="260.41000000000003"/>
    <n v="-10.19"/>
  </r>
  <r>
    <x v="21"/>
    <x v="16"/>
    <n v="64.8"/>
    <n v="235.79"/>
    <n v="-18.920000000000002"/>
  </r>
  <r>
    <x v="22"/>
    <x v="16"/>
    <n v="64.8"/>
    <n v="207.02"/>
    <n v="-49.29"/>
  </r>
  <r>
    <x v="23"/>
    <x v="16"/>
    <n v="64.8"/>
    <n v="131.96"/>
    <n v="-88.67"/>
  </r>
  <r>
    <x v="24"/>
    <x v="16"/>
    <n v="64.8"/>
    <n v="738.73"/>
    <n v="466.15"/>
  </r>
  <r>
    <x v="25"/>
    <x v="16"/>
    <n v="64.8"/>
    <n v="310.95"/>
    <n v="170.51"/>
  </r>
  <r>
    <x v="26"/>
    <x v="16"/>
    <n v="64.8"/>
    <n v="303.83999999999997"/>
    <n v="171.48"/>
  </r>
  <r>
    <x v="27"/>
    <x v="16"/>
    <n v="64.8"/>
    <n v="208.63"/>
    <n v="125.7"/>
  </r>
  <r>
    <x v="28"/>
    <x v="16"/>
    <n v="64.8"/>
    <n v="288.45999999999998"/>
    <n v="172.07"/>
  </r>
  <r>
    <x v="29"/>
    <x v="16"/>
    <n v="64.8"/>
    <n v="379.37"/>
    <n v="234.73"/>
  </r>
  <r>
    <x v="30"/>
    <x v="16"/>
    <n v="64.8"/>
    <n v="343.49"/>
    <n v="211.3"/>
  </r>
  <r>
    <x v="31"/>
    <x v="16"/>
    <n v="64.8"/>
    <n v="384.71"/>
    <n v="243.02"/>
  </r>
  <r>
    <x v="32"/>
    <x v="16"/>
    <n v="64.8"/>
    <n v="298.44"/>
    <n v="195.27"/>
  </r>
  <r>
    <x v="33"/>
    <x v="16"/>
    <n v="64.8"/>
    <n v="324.18"/>
    <n v="199.39"/>
  </r>
  <r>
    <x v="34"/>
    <x v="16"/>
    <n v="64.8"/>
    <n v="369.01"/>
    <n v="218.77"/>
  </r>
  <r>
    <x v="35"/>
    <x v="16"/>
    <n v="64.8"/>
    <n v="239.11"/>
    <n v="126.42"/>
  </r>
  <r>
    <x v="36"/>
    <x v="16"/>
    <n v="64.8"/>
    <n v="969.33"/>
    <n v="577.52"/>
  </r>
  <r>
    <x v="37"/>
    <x v="16"/>
    <n v="64.8"/>
    <n v="354.7"/>
    <n v="186.42"/>
  </r>
  <r>
    <x v="38"/>
    <x v="16"/>
    <n v="64.8"/>
    <n v="410.12"/>
    <n v="207.22"/>
  </r>
  <r>
    <x v="39"/>
    <x v="16"/>
    <n v="64.8"/>
    <n v="337.06"/>
    <n v="0"/>
  </r>
  <r>
    <x v="40"/>
    <x v="16"/>
    <n v="64.8"/>
    <n v="453.04"/>
    <n v="0"/>
  </r>
  <r>
    <x v="41"/>
    <x v="16"/>
    <n v="64.8"/>
    <n v="413.69"/>
    <n v="224.72"/>
  </r>
  <r>
    <x v="42"/>
    <x v="16"/>
    <n v="64.8"/>
    <n v="421.71"/>
    <n v="0"/>
  </r>
  <r>
    <x v="43"/>
    <x v="16"/>
    <n v="64.8"/>
    <n v="503.27"/>
    <n v="0"/>
  </r>
  <r>
    <x v="44"/>
    <x v="16"/>
    <n v="64.8"/>
    <n v="482.02"/>
    <n v="0"/>
  </r>
  <r>
    <x v="45"/>
    <x v="16"/>
    <n v="64.8"/>
    <n v="467.07"/>
    <n v="0"/>
  </r>
  <r>
    <x v="46"/>
    <x v="16"/>
    <n v="64.8"/>
    <n v="383.83"/>
    <n v="0"/>
  </r>
  <r>
    <x v="47"/>
    <x v="16"/>
    <n v="64.8"/>
    <n v="281.69"/>
    <n v="107.15"/>
  </r>
  <r>
    <x v="48"/>
    <x v="16"/>
    <n v="64.8"/>
    <n v="1018.16"/>
    <n v="617.41999999999996"/>
  </r>
  <r>
    <x v="49"/>
    <x v="16"/>
    <n v="64.8"/>
    <n v="368.52"/>
    <n v="177.56"/>
  </r>
  <r>
    <x v="50"/>
    <x v="16"/>
    <n v="64.8"/>
    <n v="317.27999999999997"/>
    <n v="163.83000000000001"/>
  </r>
  <r>
    <x v="51"/>
    <x v="16"/>
    <n v="64.8"/>
    <n v="308.08999999999997"/>
    <n v="156.04"/>
  </r>
  <r>
    <x v="52"/>
    <x v="16"/>
    <n v="64.8"/>
    <n v="349.1"/>
    <n v="201.41"/>
  </r>
  <r>
    <x v="53"/>
    <x v="16"/>
    <n v="64.8"/>
    <n v="421.68"/>
    <n v="0"/>
  </r>
  <r>
    <x v="54"/>
    <x v="16"/>
    <n v="64.8"/>
    <n v="328.37"/>
    <n v="0"/>
  </r>
  <r>
    <x v="55"/>
    <x v="16"/>
    <n v="64.8"/>
    <n v="448.7"/>
    <n v="0"/>
  </r>
  <r>
    <x v="56"/>
    <x v="16"/>
    <n v="64.8"/>
    <n v="395.12"/>
    <n v="0"/>
  </r>
  <r>
    <x v="57"/>
    <x v="16"/>
    <n v="64.8"/>
    <n v="425.9"/>
    <n v="0"/>
  </r>
  <r>
    <x v="58"/>
    <x v="16"/>
    <n v="64.8"/>
    <n v="413.01"/>
    <n v="0"/>
  </r>
  <r>
    <x v="59"/>
    <x v="16"/>
    <n v="64.8"/>
    <n v="307.55"/>
    <n v="179.93"/>
  </r>
  <r>
    <x v="60"/>
    <x v="16"/>
    <n v="64.8"/>
    <n v="855.03"/>
    <n v="505.49"/>
  </r>
  <r>
    <x v="61"/>
    <x v="16"/>
    <n v="64.8"/>
    <n v="377.25"/>
    <n v="172.58"/>
  </r>
  <r>
    <x v="62"/>
    <x v="16"/>
    <n v="64.8"/>
    <n v="363.12"/>
    <n v="199.77"/>
  </r>
  <r>
    <x v="63"/>
    <x v="16"/>
    <n v="64.8"/>
    <n v="345.01"/>
    <n v="185.64"/>
  </r>
  <r>
    <x v="64"/>
    <x v="16"/>
    <n v="64.8"/>
    <n v="462.79"/>
    <n v="0"/>
  </r>
  <r>
    <x v="65"/>
    <x v="16"/>
    <n v="64.8"/>
    <n v="437.84"/>
    <n v="0"/>
  </r>
  <r>
    <x v="66"/>
    <x v="16"/>
    <n v="64.8"/>
    <n v="410.28"/>
    <n v="0"/>
  </r>
  <r>
    <x v="67"/>
    <x v="16"/>
    <n v="64.8"/>
    <n v="519.33000000000004"/>
    <n v="0"/>
  </r>
  <r>
    <x v="68"/>
    <x v="16"/>
    <n v="64.8"/>
    <n v="395.7"/>
    <n v="0"/>
  </r>
  <r>
    <x v="69"/>
    <x v="16"/>
    <n v="64.8"/>
    <n v="393.11"/>
    <n v="194.13"/>
  </r>
  <r>
    <x v="70"/>
    <x v="16"/>
    <n v="64.8"/>
    <n v="486.58"/>
    <n v="260.57"/>
  </r>
  <r>
    <x v="71"/>
    <x v="16"/>
    <n v="64.8"/>
    <n v="344.14"/>
    <n v="133.94999999999999"/>
  </r>
  <r>
    <x v="72"/>
    <x v="16"/>
    <n v="64.8"/>
    <n v="0"/>
    <n v="0"/>
  </r>
  <r>
    <x v="73"/>
    <x v="16"/>
    <n v="64.8"/>
    <n v="0"/>
    <n v="0"/>
  </r>
  <r>
    <x v="74"/>
    <x v="16"/>
    <n v="64.8"/>
    <n v="0"/>
    <n v="0"/>
  </r>
  <r>
    <x v="75"/>
    <x v="16"/>
    <n v="64.8"/>
    <n v="0"/>
    <n v="0"/>
  </r>
  <r>
    <x v="76"/>
    <x v="16"/>
    <n v="64.8"/>
    <n v="0"/>
    <n v="0"/>
  </r>
  <r>
    <x v="77"/>
    <x v="16"/>
    <n v="64.8"/>
    <n v="0"/>
    <n v="0"/>
  </r>
  <r>
    <x v="78"/>
    <x v="16"/>
    <n v="64.8"/>
    <n v="0"/>
    <n v="0"/>
  </r>
  <r>
    <x v="79"/>
    <x v="16"/>
    <n v="64.8"/>
    <n v="0"/>
    <n v="0"/>
  </r>
  <r>
    <x v="80"/>
    <x v="16"/>
    <n v="64.8"/>
    <n v="0"/>
    <n v="0"/>
  </r>
  <r>
    <x v="81"/>
    <x v="16"/>
    <n v="64.8"/>
    <n v="0"/>
    <n v="0"/>
  </r>
  <r>
    <x v="82"/>
    <x v="16"/>
    <n v="64.8"/>
    <n v="0"/>
    <n v="0"/>
  </r>
  <r>
    <x v="83"/>
    <x v="16"/>
    <n v="64.8"/>
    <n v="0"/>
    <n v="0"/>
  </r>
  <r>
    <x v="84"/>
    <x v="16"/>
    <n v="64.8"/>
    <n v="0"/>
    <n v="0"/>
  </r>
  <r>
    <x v="85"/>
    <x v="16"/>
    <n v="64.8"/>
    <n v="0"/>
    <n v="0"/>
  </r>
  <r>
    <x v="86"/>
    <x v="16"/>
    <n v="64.8"/>
    <n v="0"/>
    <n v="0"/>
  </r>
  <r>
    <x v="87"/>
    <x v="16"/>
    <n v="64.8"/>
    <n v="0"/>
    <n v="0"/>
  </r>
  <r>
    <x v="88"/>
    <x v="16"/>
    <n v="64.8"/>
    <n v="0"/>
    <n v="0"/>
  </r>
  <r>
    <x v="89"/>
    <x v="16"/>
    <n v="64.8"/>
    <n v="0"/>
    <n v="0"/>
  </r>
  <r>
    <x v="90"/>
    <x v="16"/>
    <n v="64.8"/>
    <n v="0"/>
    <n v="0"/>
  </r>
  <r>
    <x v="91"/>
    <x v="16"/>
    <n v="64.8"/>
    <n v="0"/>
    <n v="0"/>
  </r>
  <r>
    <x v="92"/>
    <x v="16"/>
    <n v="64.8"/>
    <n v="0"/>
    <n v="0"/>
  </r>
  <r>
    <x v="93"/>
    <x v="16"/>
    <n v="64.8"/>
    <n v="0"/>
    <n v="0"/>
  </r>
  <r>
    <x v="94"/>
    <x v="16"/>
    <n v="64.8"/>
    <n v="0"/>
    <n v="0"/>
  </r>
  <r>
    <x v="95"/>
    <x v="16"/>
    <n v="64.8"/>
    <n v="0"/>
    <n v="0"/>
  </r>
  <r>
    <x v="0"/>
    <x v="17"/>
    <n v="65.099999999999994"/>
    <n v="645.87"/>
    <n v="340.49"/>
  </r>
  <r>
    <x v="1"/>
    <x v="17"/>
    <n v="65.099999999999994"/>
    <n v="296.3"/>
    <n v="104.61"/>
  </r>
  <r>
    <x v="2"/>
    <x v="17"/>
    <n v="65.099999999999994"/>
    <n v="296.45"/>
    <n v="112.87"/>
  </r>
  <r>
    <x v="3"/>
    <x v="17"/>
    <n v="65.099999999999994"/>
    <n v="258.89999999999998"/>
    <n v="98.16"/>
  </r>
  <r>
    <x v="4"/>
    <x v="17"/>
    <n v="65.099999999999994"/>
    <n v="274.73"/>
    <n v="109.19"/>
  </r>
  <r>
    <x v="5"/>
    <x v="17"/>
    <n v="65.099999999999994"/>
    <n v="281.33999999999997"/>
    <n v="103.2"/>
  </r>
  <r>
    <x v="6"/>
    <x v="17"/>
    <n v="65.099999999999994"/>
    <n v="211.94"/>
    <n v="46.44"/>
  </r>
  <r>
    <x v="7"/>
    <x v="17"/>
    <n v="65.099999999999994"/>
    <n v="318.17"/>
    <n v="132.80000000000001"/>
  </r>
  <r>
    <x v="8"/>
    <x v="17"/>
    <n v="65.099999999999994"/>
    <n v="233.1"/>
    <n v="65.95"/>
  </r>
  <r>
    <x v="9"/>
    <x v="17"/>
    <n v="65.099999999999994"/>
    <n v="234.27"/>
    <n v="69.3"/>
  </r>
  <r>
    <x v="10"/>
    <x v="17"/>
    <n v="65.099999999999994"/>
    <n v="224.85"/>
    <n v="43.18"/>
  </r>
  <r>
    <x v="11"/>
    <x v="17"/>
    <n v="65.099999999999994"/>
    <n v="628.5"/>
    <n v="-231.8"/>
  </r>
  <r>
    <x v="12"/>
    <x v="17"/>
    <n v="65.099999999999994"/>
    <n v="503.95"/>
    <n v="19.86"/>
  </r>
  <r>
    <x v="13"/>
    <x v="17"/>
    <n v="65.099999999999994"/>
    <n v="157.38"/>
    <n v="-64.430000000000007"/>
  </r>
  <r>
    <x v="14"/>
    <x v="17"/>
    <n v="65.099999999999994"/>
    <n v="203.66"/>
    <n v="-59.72"/>
  </r>
  <r>
    <x v="15"/>
    <x v="17"/>
    <n v="65.099999999999994"/>
    <n v="223.15"/>
    <n v="-50.16"/>
  </r>
  <r>
    <x v="16"/>
    <x v="17"/>
    <n v="65.099999999999994"/>
    <n v="178.33"/>
    <n v="-72.23"/>
  </r>
  <r>
    <x v="17"/>
    <x v="17"/>
    <n v="65.099999999999994"/>
    <n v="241.78"/>
    <n v="-35.82"/>
  </r>
  <r>
    <x v="18"/>
    <x v="17"/>
    <n v="65.099999999999994"/>
    <n v="232.2"/>
    <n v="-29.08"/>
  </r>
  <r>
    <x v="19"/>
    <x v="17"/>
    <n v="65.099999999999994"/>
    <n v="287.95999999999998"/>
    <n v="-10.83"/>
  </r>
  <r>
    <x v="20"/>
    <x v="17"/>
    <n v="65.099999999999994"/>
    <n v="268.74"/>
    <n v="-8.9499999999999993"/>
  </r>
  <r>
    <x v="21"/>
    <x v="17"/>
    <n v="65.099999999999994"/>
    <n v="244.58"/>
    <n v="-17.46"/>
  </r>
  <r>
    <x v="22"/>
    <x v="17"/>
    <n v="65.099999999999994"/>
    <n v="214.85"/>
    <n v="-47.92"/>
  </r>
  <r>
    <x v="23"/>
    <x v="17"/>
    <n v="65.099999999999994"/>
    <n v="143.97"/>
    <n v="-84.93"/>
  </r>
  <r>
    <x v="24"/>
    <x v="17"/>
    <n v="65.099999999999994"/>
    <n v="748.31"/>
    <n v="464.45"/>
  </r>
  <r>
    <x v="25"/>
    <x v="17"/>
    <n v="65.099999999999994"/>
    <n v="318.11"/>
    <n v="169.56"/>
  </r>
  <r>
    <x v="26"/>
    <x v="17"/>
    <n v="65.099999999999994"/>
    <n v="310.2"/>
    <n v="170.14"/>
  </r>
  <r>
    <x v="27"/>
    <x v="17"/>
    <n v="65.099999999999994"/>
    <n v="214.6"/>
    <n v="122.51"/>
  </r>
  <r>
    <x v="28"/>
    <x v="17"/>
    <n v="65.099999999999994"/>
    <n v="294.83999999999997"/>
    <n v="172.11"/>
  </r>
  <r>
    <x v="29"/>
    <x v="17"/>
    <n v="65.099999999999994"/>
    <n v="386.29"/>
    <n v="233.69"/>
  </r>
  <r>
    <x v="30"/>
    <x v="17"/>
    <n v="65.099999999999994"/>
    <n v="350.19"/>
    <n v="209.66"/>
  </r>
  <r>
    <x v="31"/>
    <x v="17"/>
    <n v="65.099999999999994"/>
    <n v="391.49"/>
    <n v="241.43"/>
  </r>
  <r>
    <x v="32"/>
    <x v="17"/>
    <n v="65.099999999999994"/>
    <n v="304.11"/>
    <n v="193.88"/>
  </r>
  <r>
    <x v="33"/>
    <x v="17"/>
    <n v="65.099999999999994"/>
    <n v="330.84"/>
    <n v="198.65"/>
  </r>
  <r>
    <x v="34"/>
    <x v="17"/>
    <n v="65.099999999999994"/>
    <n v="376.45"/>
    <n v="217.74"/>
  </r>
  <r>
    <x v="35"/>
    <x v="17"/>
    <n v="65.099999999999994"/>
    <n v="245.82"/>
    <n v="125.67"/>
  </r>
  <r>
    <x v="36"/>
    <x v="17"/>
    <n v="65.099999999999994"/>
    <n v="977.46"/>
    <n v="576.16"/>
  </r>
  <r>
    <x v="37"/>
    <x v="17"/>
    <n v="65.099999999999994"/>
    <n v="360.89"/>
    <n v="186.15"/>
  </r>
  <r>
    <x v="38"/>
    <x v="17"/>
    <n v="65.099999999999994"/>
    <n v="416.77"/>
    <n v="204.59"/>
  </r>
  <r>
    <x v="39"/>
    <x v="17"/>
    <n v="65.099999999999994"/>
    <n v="342.25"/>
    <n v="0"/>
  </r>
  <r>
    <x v="40"/>
    <x v="17"/>
    <n v="65.099999999999994"/>
    <n v="458.86"/>
    <n v="0"/>
  </r>
  <r>
    <x v="41"/>
    <x v="17"/>
    <n v="65.099999999999994"/>
    <n v="419.29"/>
    <n v="221.04"/>
  </r>
  <r>
    <x v="42"/>
    <x v="17"/>
    <n v="65.099999999999994"/>
    <n v="427.05"/>
    <n v="0"/>
  </r>
  <r>
    <x v="43"/>
    <x v="17"/>
    <n v="65.099999999999994"/>
    <n v="508.68"/>
    <n v="0"/>
  </r>
  <r>
    <x v="44"/>
    <x v="17"/>
    <n v="65.099999999999994"/>
    <n v="487.74"/>
    <n v="0"/>
  </r>
  <r>
    <x v="45"/>
    <x v="17"/>
    <n v="65.099999999999994"/>
    <n v="473.23"/>
    <n v="0"/>
  </r>
  <r>
    <x v="46"/>
    <x v="17"/>
    <n v="65.099999999999994"/>
    <n v="389.85"/>
    <n v="0"/>
  </r>
  <r>
    <x v="47"/>
    <x v="17"/>
    <n v="65.099999999999994"/>
    <n v="289.04000000000002"/>
    <n v="110.15"/>
  </r>
  <r>
    <x v="48"/>
    <x v="17"/>
    <n v="65.099999999999994"/>
    <n v="1027"/>
    <n v="616.99"/>
  </r>
  <r>
    <x v="49"/>
    <x v="17"/>
    <n v="65.099999999999994"/>
    <n v="375.2"/>
    <n v="176.95"/>
  </r>
  <r>
    <x v="50"/>
    <x v="17"/>
    <n v="65.099999999999994"/>
    <n v="323.68"/>
    <n v="162.36000000000001"/>
  </r>
  <r>
    <x v="51"/>
    <x v="17"/>
    <n v="65.099999999999994"/>
    <n v="314.23"/>
    <n v="155.04"/>
  </r>
  <r>
    <x v="52"/>
    <x v="17"/>
    <n v="65.099999999999994"/>
    <n v="354.59"/>
    <n v="200.07"/>
  </r>
  <r>
    <x v="53"/>
    <x v="17"/>
    <n v="65.099999999999994"/>
    <n v="427.91"/>
    <n v="0"/>
  </r>
  <r>
    <x v="54"/>
    <x v="17"/>
    <n v="65.099999999999994"/>
    <n v="333.28"/>
    <n v="0"/>
  </r>
  <r>
    <x v="55"/>
    <x v="17"/>
    <n v="65.099999999999994"/>
    <n v="454.99"/>
    <n v="0"/>
  </r>
  <r>
    <x v="56"/>
    <x v="17"/>
    <n v="65.099999999999994"/>
    <n v="401.11"/>
    <n v="0"/>
  </r>
  <r>
    <x v="57"/>
    <x v="17"/>
    <n v="65.099999999999994"/>
    <n v="432.17"/>
    <n v="0"/>
  </r>
  <r>
    <x v="58"/>
    <x v="17"/>
    <n v="65.099999999999994"/>
    <n v="420.32"/>
    <n v="0"/>
  </r>
  <r>
    <x v="59"/>
    <x v="17"/>
    <n v="65.099999999999994"/>
    <n v="314.10000000000002"/>
    <n v="182.5"/>
  </r>
  <r>
    <x v="60"/>
    <x v="17"/>
    <n v="65.099999999999994"/>
    <n v="862.16"/>
    <n v="504.25"/>
  </r>
  <r>
    <x v="61"/>
    <x v="17"/>
    <n v="65.099999999999994"/>
    <n v="384.04"/>
    <n v="172.6"/>
  </r>
  <r>
    <x v="62"/>
    <x v="17"/>
    <n v="65.099999999999994"/>
    <n v="369.05"/>
    <n v="197.37"/>
  </r>
  <r>
    <x v="63"/>
    <x v="17"/>
    <n v="65.099999999999994"/>
    <n v="350.84"/>
    <n v="184.49"/>
  </r>
  <r>
    <x v="64"/>
    <x v="17"/>
    <n v="65.099999999999994"/>
    <n v="469.39"/>
    <n v="0"/>
  </r>
  <r>
    <x v="65"/>
    <x v="17"/>
    <n v="65.099999999999994"/>
    <n v="444.75"/>
    <n v="0"/>
  </r>
  <r>
    <x v="66"/>
    <x v="17"/>
    <n v="65.099999999999994"/>
    <n v="416.3"/>
    <n v="0"/>
  </r>
  <r>
    <x v="67"/>
    <x v="17"/>
    <n v="65.099999999999994"/>
    <n v="525.63"/>
    <n v="0"/>
  </r>
  <r>
    <x v="68"/>
    <x v="17"/>
    <n v="65.099999999999994"/>
    <n v="400.06"/>
    <n v="0"/>
  </r>
  <r>
    <x v="69"/>
    <x v="17"/>
    <n v="65.099999999999994"/>
    <n v="402.32"/>
    <n v="199.12"/>
  </r>
  <r>
    <x v="70"/>
    <x v="17"/>
    <n v="65.099999999999994"/>
    <n v="495.22"/>
    <n v="262.81"/>
  </r>
  <r>
    <x v="71"/>
    <x v="17"/>
    <n v="65.099999999999994"/>
    <n v="354.63"/>
    <n v="140.85"/>
  </r>
  <r>
    <x v="72"/>
    <x v="17"/>
    <n v="65.099999999999994"/>
    <n v="0"/>
    <n v="0"/>
  </r>
  <r>
    <x v="73"/>
    <x v="17"/>
    <n v="65.099999999999994"/>
    <n v="0"/>
    <n v="0"/>
  </r>
  <r>
    <x v="74"/>
    <x v="17"/>
    <n v="65.099999999999994"/>
    <n v="0"/>
    <n v="0"/>
  </r>
  <r>
    <x v="75"/>
    <x v="17"/>
    <n v="65.099999999999994"/>
    <n v="0"/>
    <n v="0"/>
  </r>
  <r>
    <x v="76"/>
    <x v="17"/>
    <n v="65.099999999999994"/>
    <n v="0"/>
    <n v="0"/>
  </r>
  <r>
    <x v="77"/>
    <x v="17"/>
    <n v="65.099999999999994"/>
    <n v="0"/>
    <n v="0"/>
  </r>
  <r>
    <x v="78"/>
    <x v="17"/>
    <n v="65.099999999999994"/>
    <n v="0"/>
    <n v="0"/>
  </r>
  <r>
    <x v="79"/>
    <x v="17"/>
    <n v="65.099999999999994"/>
    <n v="0"/>
    <n v="0"/>
  </r>
  <r>
    <x v="80"/>
    <x v="17"/>
    <n v="65.099999999999994"/>
    <n v="0"/>
    <n v="0"/>
  </r>
  <r>
    <x v="81"/>
    <x v="17"/>
    <n v="65.099999999999994"/>
    <n v="0"/>
    <n v="0"/>
  </r>
  <r>
    <x v="82"/>
    <x v="17"/>
    <n v="65.099999999999994"/>
    <n v="0"/>
    <n v="0"/>
  </r>
  <r>
    <x v="83"/>
    <x v="17"/>
    <n v="65.099999999999994"/>
    <n v="0"/>
    <n v="0"/>
  </r>
  <r>
    <x v="84"/>
    <x v="17"/>
    <n v="65.099999999999994"/>
    <n v="0"/>
    <n v="0"/>
  </r>
  <r>
    <x v="85"/>
    <x v="17"/>
    <n v="65.099999999999994"/>
    <n v="0"/>
    <n v="0"/>
  </r>
  <r>
    <x v="86"/>
    <x v="17"/>
    <n v="65.099999999999994"/>
    <n v="0"/>
    <n v="0"/>
  </r>
  <r>
    <x v="87"/>
    <x v="17"/>
    <n v="65.099999999999994"/>
    <n v="0"/>
    <n v="0"/>
  </r>
  <r>
    <x v="88"/>
    <x v="17"/>
    <n v="65.099999999999994"/>
    <n v="0"/>
    <n v="0"/>
  </r>
  <r>
    <x v="89"/>
    <x v="17"/>
    <n v="65.099999999999994"/>
    <n v="0"/>
    <n v="0"/>
  </r>
  <r>
    <x v="90"/>
    <x v="17"/>
    <n v="65.099999999999994"/>
    <n v="0"/>
    <n v="0"/>
  </r>
  <r>
    <x v="91"/>
    <x v="17"/>
    <n v="65.099999999999994"/>
    <n v="0"/>
    <n v="0"/>
  </r>
  <r>
    <x v="92"/>
    <x v="17"/>
    <n v="65.099999999999994"/>
    <n v="0"/>
    <n v="0"/>
  </r>
  <r>
    <x v="93"/>
    <x v="17"/>
    <n v="65.099999999999994"/>
    <n v="0"/>
    <n v="0"/>
  </r>
  <r>
    <x v="94"/>
    <x v="17"/>
    <n v="65.099999999999994"/>
    <n v="0"/>
    <n v="0"/>
  </r>
  <r>
    <x v="95"/>
    <x v="17"/>
    <n v="65.099999999999994"/>
    <n v="0"/>
    <n v="0"/>
  </r>
  <r>
    <x v="0"/>
    <x v="18"/>
    <n v="65.400000000000006"/>
    <n v="652.72"/>
    <n v="343.19"/>
  </r>
  <r>
    <x v="1"/>
    <x v="18"/>
    <n v="65.400000000000006"/>
    <n v="302.74"/>
    <n v="107.4"/>
  </r>
  <r>
    <x v="2"/>
    <x v="18"/>
    <n v="65.400000000000006"/>
    <n v="302.82"/>
    <n v="115.78"/>
  </r>
  <r>
    <x v="3"/>
    <x v="18"/>
    <n v="65.400000000000006"/>
    <n v="265.81"/>
    <n v="102.98"/>
  </r>
  <r>
    <x v="4"/>
    <x v="18"/>
    <n v="65.400000000000006"/>
    <n v="280.89999999999998"/>
    <n v="112.37"/>
  </r>
  <r>
    <x v="5"/>
    <x v="18"/>
    <n v="65.400000000000006"/>
    <n v="287.75"/>
    <n v="106.07"/>
  </r>
  <r>
    <x v="6"/>
    <x v="18"/>
    <n v="65.400000000000006"/>
    <n v="218.69"/>
    <n v="50.58"/>
  </r>
  <r>
    <x v="7"/>
    <x v="18"/>
    <n v="65.400000000000006"/>
    <n v="324.56"/>
    <n v="136.22"/>
  </r>
  <r>
    <x v="8"/>
    <x v="18"/>
    <n v="65.400000000000006"/>
    <n v="240.02"/>
    <n v="71.72"/>
  </r>
  <r>
    <x v="9"/>
    <x v="18"/>
    <n v="65.400000000000006"/>
    <n v="241.1"/>
    <n v="75.599999999999994"/>
  </r>
  <r>
    <x v="10"/>
    <x v="18"/>
    <n v="65.400000000000006"/>
    <n v="231.7"/>
    <n v="48.01"/>
  </r>
  <r>
    <x v="11"/>
    <x v="18"/>
    <n v="65.400000000000006"/>
    <n v="631.6"/>
    <n v="-245.41"/>
  </r>
  <r>
    <x v="12"/>
    <x v="18"/>
    <n v="65.400000000000006"/>
    <n v="514.13"/>
    <n v="21.93"/>
  </r>
  <r>
    <x v="13"/>
    <x v="18"/>
    <n v="65.400000000000006"/>
    <n v="166.3"/>
    <n v="-61.92"/>
  </r>
  <r>
    <x v="14"/>
    <x v="18"/>
    <n v="65.400000000000006"/>
    <n v="209.29"/>
    <n v="-59.76"/>
  </r>
  <r>
    <x v="15"/>
    <x v="18"/>
    <n v="65.400000000000006"/>
    <n v="231.87"/>
    <n v="-48.93"/>
  </r>
  <r>
    <x v="16"/>
    <x v="18"/>
    <n v="65.400000000000006"/>
    <n v="184.68"/>
    <n v="-71.819999999999993"/>
  </r>
  <r>
    <x v="17"/>
    <x v="18"/>
    <n v="65.400000000000006"/>
    <n v="251.38"/>
    <n v="-34.07"/>
  </r>
  <r>
    <x v="18"/>
    <x v="18"/>
    <n v="65.400000000000006"/>
    <n v="240.93"/>
    <n v="-27.47"/>
  </r>
  <r>
    <x v="19"/>
    <x v="18"/>
    <n v="65.400000000000006"/>
    <n v="295.8"/>
    <n v="-9.5500000000000007"/>
  </r>
  <r>
    <x v="20"/>
    <x v="18"/>
    <n v="65.400000000000006"/>
    <n v="278.02999999999997"/>
    <n v="-7.59"/>
  </r>
  <r>
    <x v="21"/>
    <x v="18"/>
    <n v="65.400000000000006"/>
    <n v="254.43"/>
    <n v="-15.87"/>
  </r>
  <r>
    <x v="22"/>
    <x v="18"/>
    <n v="65.400000000000006"/>
    <n v="223.71"/>
    <n v="-46.27"/>
  </r>
  <r>
    <x v="23"/>
    <x v="18"/>
    <n v="65.400000000000006"/>
    <n v="157.69999999999999"/>
    <n v="-80.989999999999995"/>
  </r>
  <r>
    <x v="24"/>
    <x v="18"/>
    <n v="65.400000000000006"/>
    <n v="758.14"/>
    <n v="462.49"/>
  </r>
  <r>
    <x v="25"/>
    <x v="18"/>
    <n v="65.400000000000006"/>
    <n v="325.61"/>
    <n v="168.89"/>
  </r>
  <r>
    <x v="26"/>
    <x v="18"/>
    <n v="65.400000000000006"/>
    <n v="316.83999999999997"/>
    <n v="168.87"/>
  </r>
  <r>
    <x v="27"/>
    <x v="18"/>
    <n v="65.400000000000006"/>
    <n v="220.9"/>
    <n v="119.4"/>
  </r>
  <r>
    <x v="28"/>
    <x v="18"/>
    <n v="65.400000000000006"/>
    <n v="301.51"/>
    <n v="172.51"/>
  </r>
  <r>
    <x v="29"/>
    <x v="18"/>
    <n v="65.400000000000006"/>
    <n v="393.48"/>
    <n v="232.67"/>
  </r>
  <r>
    <x v="30"/>
    <x v="18"/>
    <n v="65.400000000000006"/>
    <n v="357.19"/>
    <n v="208.09"/>
  </r>
  <r>
    <x v="31"/>
    <x v="18"/>
    <n v="65.400000000000006"/>
    <n v="398.53"/>
    <n v="239.89"/>
  </r>
  <r>
    <x v="32"/>
    <x v="18"/>
    <n v="65.400000000000006"/>
    <n v="310.01"/>
    <n v="192.56"/>
  </r>
  <r>
    <x v="33"/>
    <x v="18"/>
    <n v="65.400000000000006"/>
    <n v="337.78"/>
    <n v="198.06"/>
  </r>
  <r>
    <x v="34"/>
    <x v="18"/>
    <n v="65.400000000000006"/>
    <n v="384.22"/>
    <n v="216.9"/>
  </r>
  <r>
    <x v="35"/>
    <x v="18"/>
    <n v="65.400000000000006"/>
    <n v="252.89"/>
    <n v="125.33"/>
  </r>
  <r>
    <x v="36"/>
    <x v="18"/>
    <n v="65.400000000000006"/>
    <n v="985.7"/>
    <n v="574.5"/>
  </r>
  <r>
    <x v="37"/>
    <x v="18"/>
    <n v="65.400000000000006"/>
    <n v="367.38"/>
    <n v="186.26"/>
  </r>
  <r>
    <x v="38"/>
    <x v="18"/>
    <n v="65.400000000000006"/>
    <n v="423.75"/>
    <n v="202.21"/>
  </r>
  <r>
    <x v="39"/>
    <x v="18"/>
    <n v="65.400000000000006"/>
    <n v="347.67"/>
    <n v="0"/>
  </r>
  <r>
    <x v="40"/>
    <x v="18"/>
    <n v="65.400000000000006"/>
    <n v="464.91"/>
    <n v="0"/>
  </r>
  <r>
    <x v="41"/>
    <x v="18"/>
    <n v="65.400000000000006"/>
    <n v="425.15"/>
    <n v="217.24"/>
  </r>
  <r>
    <x v="42"/>
    <x v="18"/>
    <n v="65.400000000000006"/>
    <n v="432.58"/>
    <n v="0"/>
  </r>
  <r>
    <x v="43"/>
    <x v="18"/>
    <n v="65.400000000000006"/>
    <n v="514.26"/>
    <n v="0"/>
  </r>
  <r>
    <x v="44"/>
    <x v="18"/>
    <n v="65.400000000000006"/>
    <n v="493.63"/>
    <n v="0"/>
  </r>
  <r>
    <x v="45"/>
    <x v="18"/>
    <n v="65.400000000000006"/>
    <n v="479.61"/>
    <n v="0"/>
  </r>
  <r>
    <x v="46"/>
    <x v="18"/>
    <n v="65.400000000000006"/>
    <n v="396.13"/>
    <n v="0"/>
  </r>
  <r>
    <x v="47"/>
    <x v="18"/>
    <n v="65.400000000000006"/>
    <n v="296.8"/>
    <n v="114.35"/>
  </r>
  <r>
    <x v="48"/>
    <x v="18"/>
    <n v="65.400000000000006"/>
    <n v="1035.98"/>
    <n v="616.29"/>
  </r>
  <r>
    <x v="49"/>
    <x v="18"/>
    <n v="65.400000000000006"/>
    <n v="382.21"/>
    <n v="176.78"/>
  </r>
  <r>
    <x v="50"/>
    <x v="18"/>
    <n v="65.400000000000006"/>
    <n v="330.43"/>
    <n v="161.26"/>
  </r>
  <r>
    <x v="51"/>
    <x v="18"/>
    <n v="65.400000000000006"/>
    <n v="320.70999999999998"/>
    <n v="154.52000000000001"/>
  </r>
  <r>
    <x v="52"/>
    <x v="18"/>
    <n v="65.400000000000006"/>
    <n v="360.34"/>
    <n v="199.01"/>
  </r>
  <r>
    <x v="53"/>
    <x v="18"/>
    <n v="65.400000000000006"/>
    <n v="434.39"/>
    <n v="0"/>
  </r>
  <r>
    <x v="54"/>
    <x v="18"/>
    <n v="65.400000000000006"/>
    <n v="338.41"/>
    <n v="0"/>
  </r>
  <r>
    <x v="55"/>
    <x v="18"/>
    <n v="65.400000000000006"/>
    <n v="461.52"/>
    <n v="0"/>
  </r>
  <r>
    <x v="56"/>
    <x v="18"/>
    <n v="65.400000000000006"/>
    <n v="407.34"/>
    <n v="0"/>
  </r>
  <r>
    <x v="57"/>
    <x v="18"/>
    <n v="65.400000000000006"/>
    <n v="438.68"/>
    <n v="0"/>
  </r>
  <r>
    <x v="58"/>
    <x v="18"/>
    <n v="65.400000000000006"/>
    <n v="427.96"/>
    <n v="0"/>
  </r>
  <r>
    <x v="59"/>
    <x v="18"/>
    <n v="65.400000000000006"/>
    <n v="321.02999999999997"/>
    <n v="185.34"/>
  </r>
  <r>
    <x v="60"/>
    <x v="18"/>
    <n v="65.400000000000006"/>
    <n v="869.41"/>
    <n v="502.82"/>
  </r>
  <r>
    <x v="61"/>
    <x v="18"/>
    <n v="65.400000000000006"/>
    <n v="391.15"/>
    <n v="173.16"/>
  </r>
  <r>
    <x v="62"/>
    <x v="18"/>
    <n v="65.400000000000006"/>
    <n v="375.28"/>
    <n v="195.24"/>
  </r>
  <r>
    <x v="63"/>
    <x v="18"/>
    <n v="65.400000000000006"/>
    <n v="356.95"/>
    <n v="183.69"/>
  </r>
  <r>
    <x v="64"/>
    <x v="18"/>
    <n v="65.400000000000006"/>
    <n v="476.26"/>
    <n v="0"/>
  </r>
  <r>
    <x v="65"/>
    <x v="18"/>
    <n v="65.400000000000006"/>
    <n v="451.98"/>
    <n v="0"/>
  </r>
  <r>
    <x v="66"/>
    <x v="18"/>
    <n v="65.400000000000006"/>
    <n v="422.57"/>
    <n v="0"/>
  </r>
  <r>
    <x v="67"/>
    <x v="18"/>
    <n v="65.400000000000006"/>
    <n v="532.16"/>
    <n v="0"/>
  </r>
  <r>
    <x v="68"/>
    <x v="18"/>
    <n v="65.400000000000006"/>
    <n v="404.55"/>
    <n v="0"/>
  </r>
  <r>
    <x v="69"/>
    <x v="18"/>
    <n v="65.400000000000006"/>
    <n v="411.97"/>
    <n v="205.1"/>
  </r>
  <r>
    <x v="70"/>
    <x v="18"/>
    <n v="65.400000000000006"/>
    <n v="504.26"/>
    <n v="265.81"/>
  </r>
  <r>
    <x v="71"/>
    <x v="18"/>
    <n v="65.400000000000006"/>
    <n v="365.71"/>
    <n v="149.46"/>
  </r>
  <r>
    <x v="72"/>
    <x v="18"/>
    <n v="65.400000000000006"/>
    <n v="0"/>
    <n v="0"/>
  </r>
  <r>
    <x v="73"/>
    <x v="18"/>
    <n v="65.400000000000006"/>
    <n v="0"/>
    <n v="0"/>
  </r>
  <r>
    <x v="74"/>
    <x v="18"/>
    <n v="65.400000000000006"/>
    <n v="0"/>
    <n v="0"/>
  </r>
  <r>
    <x v="75"/>
    <x v="18"/>
    <n v="65.400000000000006"/>
    <n v="0"/>
    <n v="0"/>
  </r>
  <r>
    <x v="76"/>
    <x v="18"/>
    <n v="65.400000000000006"/>
    <n v="0"/>
    <n v="0"/>
  </r>
  <r>
    <x v="77"/>
    <x v="18"/>
    <n v="65.400000000000006"/>
    <n v="0"/>
    <n v="0"/>
  </r>
  <r>
    <x v="78"/>
    <x v="18"/>
    <n v="65.400000000000006"/>
    <n v="0"/>
    <n v="0"/>
  </r>
  <r>
    <x v="79"/>
    <x v="18"/>
    <n v="65.400000000000006"/>
    <n v="0"/>
    <n v="0"/>
  </r>
  <r>
    <x v="80"/>
    <x v="18"/>
    <n v="65.400000000000006"/>
    <n v="0"/>
    <n v="0"/>
  </r>
  <r>
    <x v="81"/>
    <x v="18"/>
    <n v="65.400000000000006"/>
    <n v="0"/>
    <n v="0"/>
  </r>
  <r>
    <x v="82"/>
    <x v="18"/>
    <n v="65.400000000000006"/>
    <n v="0"/>
    <n v="0"/>
  </r>
  <r>
    <x v="83"/>
    <x v="18"/>
    <n v="65.400000000000006"/>
    <n v="0"/>
    <n v="0"/>
  </r>
  <r>
    <x v="84"/>
    <x v="18"/>
    <n v="65.400000000000006"/>
    <n v="0"/>
    <n v="0"/>
  </r>
  <r>
    <x v="85"/>
    <x v="18"/>
    <n v="65.400000000000006"/>
    <n v="0"/>
    <n v="0"/>
  </r>
  <r>
    <x v="86"/>
    <x v="18"/>
    <n v="65.400000000000006"/>
    <n v="0"/>
    <n v="0"/>
  </r>
  <r>
    <x v="87"/>
    <x v="18"/>
    <n v="65.400000000000006"/>
    <n v="0"/>
    <n v="0"/>
  </r>
  <r>
    <x v="88"/>
    <x v="18"/>
    <n v="65.400000000000006"/>
    <n v="0"/>
    <n v="0"/>
  </r>
  <r>
    <x v="89"/>
    <x v="18"/>
    <n v="65.400000000000006"/>
    <n v="0"/>
    <n v="0"/>
  </r>
  <r>
    <x v="90"/>
    <x v="18"/>
    <n v="65.400000000000006"/>
    <n v="0"/>
    <n v="0"/>
  </r>
  <r>
    <x v="91"/>
    <x v="18"/>
    <n v="65.400000000000006"/>
    <n v="0"/>
    <n v="0"/>
  </r>
  <r>
    <x v="92"/>
    <x v="18"/>
    <n v="65.400000000000006"/>
    <n v="0"/>
    <n v="0"/>
  </r>
  <r>
    <x v="93"/>
    <x v="18"/>
    <n v="65.400000000000006"/>
    <n v="0"/>
    <n v="0"/>
  </r>
  <r>
    <x v="94"/>
    <x v="18"/>
    <n v="65.400000000000006"/>
    <n v="0"/>
    <n v="0"/>
  </r>
  <r>
    <x v="95"/>
    <x v="18"/>
    <n v="65.400000000000006"/>
    <n v="0"/>
    <n v="0"/>
  </r>
  <r>
    <x v="0"/>
    <x v="19"/>
    <n v="65.7"/>
    <n v="659.72"/>
    <n v="345.78"/>
  </r>
  <r>
    <x v="1"/>
    <x v="19"/>
    <n v="65.7"/>
    <n v="309.49"/>
    <n v="110.78"/>
  </r>
  <r>
    <x v="2"/>
    <x v="19"/>
    <n v="65.7"/>
    <n v="309.49"/>
    <n v="119.29"/>
  </r>
  <r>
    <x v="3"/>
    <x v="19"/>
    <n v="65.7"/>
    <n v="273.06"/>
    <n v="108.56"/>
  </r>
  <r>
    <x v="4"/>
    <x v="19"/>
    <n v="65.7"/>
    <n v="287.38"/>
    <n v="116.14"/>
  </r>
  <r>
    <x v="5"/>
    <x v="19"/>
    <n v="65.7"/>
    <n v="294.48"/>
    <n v="109.53"/>
  </r>
  <r>
    <x v="6"/>
    <x v="19"/>
    <n v="65.7"/>
    <n v="225.82"/>
    <n v="55.56"/>
  </r>
  <r>
    <x v="7"/>
    <x v="19"/>
    <n v="65.7"/>
    <n v="331.23"/>
    <n v="140.22999999999999"/>
  </r>
  <r>
    <x v="8"/>
    <x v="19"/>
    <n v="65.7"/>
    <n v="247.31"/>
    <n v="78.45"/>
  </r>
  <r>
    <x v="9"/>
    <x v="19"/>
    <n v="65.7"/>
    <n v="248.28"/>
    <n v="82.79"/>
  </r>
  <r>
    <x v="10"/>
    <x v="19"/>
    <n v="65.7"/>
    <n v="238.91"/>
    <n v="53.72"/>
  </r>
  <r>
    <x v="11"/>
    <x v="19"/>
    <n v="65.7"/>
    <n v="634.48"/>
    <n v="-259.77999999999997"/>
  </r>
  <r>
    <x v="12"/>
    <x v="19"/>
    <n v="65.7"/>
    <n v="525.08000000000004"/>
    <n v="24.11"/>
  </r>
  <r>
    <x v="13"/>
    <x v="19"/>
    <n v="65.7"/>
    <n v="177.04"/>
    <n v="-58.83"/>
  </r>
  <r>
    <x v="14"/>
    <x v="19"/>
    <n v="65.7"/>
    <n v="215.83"/>
    <n v="-59.62"/>
  </r>
  <r>
    <x v="15"/>
    <x v="19"/>
    <n v="65.7"/>
    <n v="241.68"/>
    <n v="-47.49"/>
  </r>
  <r>
    <x v="16"/>
    <x v="19"/>
    <n v="65.7"/>
    <n v="192.11"/>
    <n v="-71.05"/>
  </r>
  <r>
    <x v="17"/>
    <x v="19"/>
    <n v="65.7"/>
    <n v="262.14"/>
    <n v="-32.07"/>
  </r>
  <r>
    <x v="18"/>
    <x v="19"/>
    <n v="65.7"/>
    <n v="250.72"/>
    <n v="-25.65"/>
  </r>
  <r>
    <x v="19"/>
    <x v="19"/>
    <n v="65.7"/>
    <n v="304.45999999999998"/>
    <n v="-8.1199999999999992"/>
  </r>
  <r>
    <x v="20"/>
    <x v="19"/>
    <n v="65.7"/>
    <n v="288.39"/>
    <n v="-6.11"/>
  </r>
  <r>
    <x v="21"/>
    <x v="19"/>
    <n v="65.7"/>
    <n v="265.47000000000003"/>
    <n v="-14.16"/>
  </r>
  <r>
    <x v="22"/>
    <x v="19"/>
    <n v="65.7"/>
    <n v="233.74"/>
    <n v="-44.3"/>
  </r>
  <r>
    <x v="23"/>
    <x v="19"/>
    <n v="65.7"/>
    <n v="173.33"/>
    <n v="-76.86"/>
  </r>
  <r>
    <x v="24"/>
    <x v="19"/>
    <n v="65.7"/>
    <n v="768.2"/>
    <n v="460.3"/>
  </r>
  <r>
    <x v="25"/>
    <x v="19"/>
    <n v="65.7"/>
    <n v="333.48"/>
    <n v="168.62"/>
  </r>
  <r>
    <x v="26"/>
    <x v="19"/>
    <n v="65.7"/>
    <n v="323.77999999999997"/>
    <n v="167.77"/>
  </r>
  <r>
    <x v="27"/>
    <x v="19"/>
    <n v="65.7"/>
    <n v="227.55"/>
    <n v="116.5"/>
  </r>
  <r>
    <x v="28"/>
    <x v="19"/>
    <n v="65.7"/>
    <n v="308.48"/>
    <n v="173.38"/>
  </r>
  <r>
    <x v="29"/>
    <x v="19"/>
    <n v="65.7"/>
    <n v="400.94"/>
    <n v="231.74"/>
  </r>
  <r>
    <x v="30"/>
    <x v="19"/>
    <n v="65.7"/>
    <n v="364.47"/>
    <n v="206.68"/>
  </r>
  <r>
    <x v="31"/>
    <x v="19"/>
    <n v="65.7"/>
    <n v="405.84"/>
    <n v="238.47"/>
  </r>
  <r>
    <x v="32"/>
    <x v="19"/>
    <n v="65.7"/>
    <n v="316.16000000000003"/>
    <n v="191.4"/>
  </r>
  <r>
    <x v="33"/>
    <x v="19"/>
    <n v="65.7"/>
    <n v="345.01"/>
    <n v="197.69"/>
  </r>
  <r>
    <x v="34"/>
    <x v="19"/>
    <n v="65.7"/>
    <n v="392.32"/>
    <n v="216.35"/>
  </r>
  <r>
    <x v="35"/>
    <x v="19"/>
    <n v="65.7"/>
    <n v="260.33999999999997"/>
    <n v="125.56"/>
  </r>
  <r>
    <x v="36"/>
    <x v="19"/>
    <n v="65.7"/>
    <n v="994.03"/>
    <n v="572.6"/>
  </r>
  <r>
    <x v="37"/>
    <x v="19"/>
    <n v="65.7"/>
    <n v="374.17"/>
    <n v="186.89"/>
  </r>
  <r>
    <x v="38"/>
    <x v="19"/>
    <n v="65.7"/>
    <n v="431.09"/>
    <n v="200.31"/>
  </r>
  <r>
    <x v="39"/>
    <x v="19"/>
    <n v="65.7"/>
    <n v="353.32"/>
    <n v="0"/>
  </r>
  <r>
    <x v="40"/>
    <x v="19"/>
    <n v="65.7"/>
    <n v="471.17"/>
    <n v="0"/>
  </r>
  <r>
    <x v="41"/>
    <x v="19"/>
    <n v="65.7"/>
    <n v="431.28"/>
    <n v="213.47"/>
  </r>
  <r>
    <x v="42"/>
    <x v="19"/>
    <n v="65.7"/>
    <n v="438.33"/>
    <n v="0"/>
  </r>
  <r>
    <x v="43"/>
    <x v="19"/>
    <n v="65.7"/>
    <n v="519.98"/>
    <n v="0"/>
  </r>
  <r>
    <x v="44"/>
    <x v="19"/>
    <n v="65.7"/>
    <n v="499.7"/>
    <n v="0"/>
  </r>
  <r>
    <x v="45"/>
    <x v="19"/>
    <n v="65.7"/>
    <n v="486.2"/>
    <n v="0"/>
  </r>
  <r>
    <x v="46"/>
    <x v="19"/>
    <n v="65.7"/>
    <n v="402.68"/>
    <n v="0"/>
  </r>
  <r>
    <x v="47"/>
    <x v="19"/>
    <n v="65.7"/>
    <n v="304.97000000000003"/>
    <n v="119.98"/>
  </r>
  <r>
    <x v="48"/>
    <x v="19"/>
    <n v="65.7"/>
    <n v="1045.08"/>
    <n v="615.35"/>
  </r>
  <r>
    <x v="49"/>
    <x v="19"/>
    <n v="65.7"/>
    <n v="389.56"/>
    <n v="177.19"/>
  </r>
  <r>
    <x v="50"/>
    <x v="19"/>
    <n v="65.7"/>
    <n v="337.55"/>
    <n v="160.66999999999999"/>
  </r>
  <r>
    <x v="51"/>
    <x v="19"/>
    <n v="65.7"/>
    <n v="327.54000000000002"/>
    <n v="154.61000000000001"/>
  </r>
  <r>
    <x v="52"/>
    <x v="19"/>
    <n v="65.7"/>
    <n v="366.36"/>
    <n v="198.37"/>
  </r>
  <r>
    <x v="53"/>
    <x v="19"/>
    <n v="65.7"/>
    <n v="441.13"/>
    <n v="0"/>
  </r>
  <r>
    <x v="54"/>
    <x v="19"/>
    <n v="65.7"/>
    <n v="343.76"/>
    <n v="0"/>
  </r>
  <r>
    <x v="55"/>
    <x v="19"/>
    <n v="65.7"/>
    <n v="468.3"/>
    <n v="0"/>
  </r>
  <r>
    <x v="56"/>
    <x v="19"/>
    <n v="65.7"/>
    <n v="413.82"/>
    <n v="0"/>
  </r>
  <r>
    <x v="57"/>
    <x v="19"/>
    <n v="65.7"/>
    <n v="445.44"/>
    <n v="0"/>
  </r>
  <r>
    <x v="58"/>
    <x v="19"/>
    <n v="65.7"/>
    <n v="435.93"/>
    <n v="0"/>
  </r>
  <r>
    <x v="59"/>
    <x v="19"/>
    <n v="65.7"/>
    <n v="328.35"/>
    <n v="188.48"/>
  </r>
  <r>
    <x v="60"/>
    <x v="19"/>
    <n v="65.7"/>
    <n v="876.76"/>
    <n v="501.24"/>
  </r>
  <r>
    <x v="61"/>
    <x v="19"/>
    <n v="65.7"/>
    <n v="398.62"/>
    <n v="174.44"/>
  </r>
  <r>
    <x v="62"/>
    <x v="19"/>
    <n v="65.7"/>
    <n v="381.83"/>
    <n v="193.53"/>
  </r>
  <r>
    <x v="63"/>
    <x v="19"/>
    <n v="65.7"/>
    <n v="363.37"/>
    <n v="183.34"/>
  </r>
  <r>
    <x v="64"/>
    <x v="19"/>
    <n v="65.7"/>
    <n v="483.42"/>
    <n v="0"/>
  </r>
  <r>
    <x v="65"/>
    <x v="19"/>
    <n v="65.7"/>
    <n v="459.53"/>
    <n v="0"/>
  </r>
  <r>
    <x v="66"/>
    <x v="19"/>
    <n v="65.7"/>
    <n v="429.09"/>
    <n v="0"/>
  </r>
  <r>
    <x v="67"/>
    <x v="19"/>
    <n v="65.7"/>
    <n v="538.91999999999996"/>
    <n v="0"/>
  </r>
  <r>
    <x v="68"/>
    <x v="19"/>
    <n v="65.7"/>
    <n v="409.15"/>
    <n v="0"/>
  </r>
  <r>
    <x v="69"/>
    <x v="19"/>
    <n v="65.7"/>
    <n v="422.08"/>
    <n v="212.2"/>
  </r>
  <r>
    <x v="70"/>
    <x v="19"/>
    <n v="65.7"/>
    <n v="513.72"/>
    <n v="269.70999999999998"/>
  </r>
  <r>
    <x v="71"/>
    <x v="19"/>
    <n v="65.7"/>
    <n v="377.4"/>
    <n v="159.94"/>
  </r>
  <r>
    <x v="72"/>
    <x v="19"/>
    <n v="65.7"/>
    <n v="0"/>
    <n v="0"/>
  </r>
  <r>
    <x v="73"/>
    <x v="19"/>
    <n v="65.7"/>
    <n v="0"/>
    <n v="0"/>
  </r>
  <r>
    <x v="74"/>
    <x v="19"/>
    <n v="65.7"/>
    <n v="0"/>
    <n v="0"/>
  </r>
  <r>
    <x v="75"/>
    <x v="19"/>
    <n v="65.7"/>
    <n v="0"/>
    <n v="0"/>
  </r>
  <r>
    <x v="76"/>
    <x v="19"/>
    <n v="65.7"/>
    <n v="0"/>
    <n v="0"/>
  </r>
  <r>
    <x v="77"/>
    <x v="19"/>
    <n v="65.7"/>
    <n v="0"/>
    <n v="0"/>
  </r>
  <r>
    <x v="78"/>
    <x v="19"/>
    <n v="65.7"/>
    <n v="0"/>
    <n v="0"/>
  </r>
  <r>
    <x v="79"/>
    <x v="19"/>
    <n v="65.7"/>
    <n v="0"/>
    <n v="0"/>
  </r>
  <r>
    <x v="80"/>
    <x v="19"/>
    <n v="65.7"/>
    <n v="0"/>
    <n v="0"/>
  </r>
  <r>
    <x v="81"/>
    <x v="19"/>
    <n v="65.7"/>
    <n v="0"/>
    <n v="0"/>
  </r>
  <r>
    <x v="82"/>
    <x v="19"/>
    <n v="65.7"/>
    <n v="0"/>
    <n v="0"/>
  </r>
  <r>
    <x v="83"/>
    <x v="19"/>
    <n v="65.7"/>
    <n v="0"/>
    <n v="0"/>
  </r>
  <r>
    <x v="84"/>
    <x v="19"/>
    <n v="65.7"/>
    <n v="0"/>
    <n v="0"/>
  </r>
  <r>
    <x v="85"/>
    <x v="19"/>
    <n v="65.7"/>
    <n v="0"/>
    <n v="0"/>
  </r>
  <r>
    <x v="86"/>
    <x v="19"/>
    <n v="65.7"/>
    <n v="0"/>
    <n v="0"/>
  </r>
  <r>
    <x v="87"/>
    <x v="19"/>
    <n v="65.7"/>
    <n v="0"/>
    <n v="0"/>
  </r>
  <r>
    <x v="88"/>
    <x v="19"/>
    <n v="65.7"/>
    <n v="0"/>
    <n v="0"/>
  </r>
  <r>
    <x v="89"/>
    <x v="19"/>
    <n v="65.7"/>
    <n v="0"/>
    <n v="0"/>
  </r>
  <r>
    <x v="90"/>
    <x v="19"/>
    <n v="65.7"/>
    <n v="0"/>
    <n v="0"/>
  </r>
  <r>
    <x v="91"/>
    <x v="19"/>
    <n v="65.7"/>
    <n v="0"/>
    <n v="0"/>
  </r>
  <r>
    <x v="92"/>
    <x v="19"/>
    <n v="65.7"/>
    <n v="0"/>
    <n v="0"/>
  </r>
  <r>
    <x v="93"/>
    <x v="19"/>
    <n v="65.7"/>
    <n v="0"/>
    <n v="0"/>
  </r>
  <r>
    <x v="94"/>
    <x v="19"/>
    <n v="65.7"/>
    <n v="0"/>
    <n v="0"/>
  </r>
  <r>
    <x v="95"/>
    <x v="19"/>
    <n v="65.7"/>
    <n v="0"/>
    <n v="0"/>
  </r>
  <r>
    <x v="0"/>
    <x v="20"/>
    <n v="66"/>
    <n v="666.84"/>
    <n v="348.25"/>
  </r>
  <r>
    <x v="1"/>
    <x v="20"/>
    <n v="66"/>
    <n v="316.56"/>
    <n v="114.88"/>
  </r>
  <r>
    <x v="2"/>
    <x v="20"/>
    <n v="66"/>
    <n v="316.45999999999998"/>
    <n v="123.52"/>
  </r>
  <r>
    <x v="3"/>
    <x v="20"/>
    <n v="66"/>
    <n v="280.68"/>
    <n v="114.99"/>
  </r>
  <r>
    <x v="4"/>
    <x v="20"/>
    <n v="66"/>
    <n v="294.18"/>
    <n v="120.61"/>
  </r>
  <r>
    <x v="5"/>
    <x v="20"/>
    <n v="66"/>
    <n v="301.52999999999997"/>
    <n v="113.7"/>
  </r>
  <r>
    <x v="6"/>
    <x v="20"/>
    <n v="66"/>
    <n v="233.34"/>
    <n v="61.52"/>
  </r>
  <r>
    <x v="7"/>
    <x v="20"/>
    <n v="66"/>
    <n v="338.2"/>
    <n v="144.9"/>
  </r>
  <r>
    <x v="8"/>
    <x v="20"/>
    <n v="66"/>
    <n v="254.97"/>
    <n v="86.24"/>
  </r>
  <r>
    <x v="9"/>
    <x v="20"/>
    <n v="66"/>
    <n v="255.81"/>
    <n v="90.94"/>
  </r>
  <r>
    <x v="10"/>
    <x v="20"/>
    <n v="66"/>
    <n v="246.5"/>
    <n v="60.4"/>
  </r>
  <r>
    <x v="11"/>
    <x v="20"/>
    <n v="66"/>
    <n v="637.09"/>
    <n v="-274.95"/>
  </r>
  <r>
    <x v="12"/>
    <x v="20"/>
    <n v="66"/>
    <n v="536.88"/>
    <n v="26.36"/>
  </r>
  <r>
    <x v="13"/>
    <x v="20"/>
    <n v="66"/>
    <n v="189.9"/>
    <n v="-55.1"/>
  </r>
  <r>
    <x v="14"/>
    <x v="20"/>
    <n v="66"/>
    <n v="223.53"/>
    <n v="-59.22"/>
  </r>
  <r>
    <x v="15"/>
    <x v="20"/>
    <n v="66"/>
    <n v="252.71"/>
    <n v="-45.8"/>
  </r>
  <r>
    <x v="16"/>
    <x v="20"/>
    <n v="66"/>
    <n v="200.83"/>
    <n v="-69.83"/>
  </r>
  <r>
    <x v="17"/>
    <x v="20"/>
    <n v="66"/>
    <n v="274.20999999999998"/>
    <n v="-29.79"/>
  </r>
  <r>
    <x v="18"/>
    <x v="20"/>
    <n v="66"/>
    <n v="261.7"/>
    <n v="-23.58"/>
  </r>
  <r>
    <x v="19"/>
    <x v="20"/>
    <n v="66"/>
    <n v="314.06"/>
    <n v="-6.55"/>
  </r>
  <r>
    <x v="20"/>
    <x v="20"/>
    <n v="66"/>
    <n v="299.94"/>
    <n v="-4.51"/>
  </r>
  <r>
    <x v="21"/>
    <x v="20"/>
    <n v="66"/>
    <n v="277.81"/>
    <n v="-12.3"/>
  </r>
  <r>
    <x v="22"/>
    <x v="20"/>
    <n v="66"/>
    <n v="245.06"/>
    <n v="-41.97"/>
  </r>
  <r>
    <x v="23"/>
    <x v="20"/>
    <n v="66"/>
    <n v="191.03"/>
    <n v="-72.569999999999993"/>
  </r>
  <r>
    <x v="24"/>
    <x v="20"/>
    <n v="66"/>
    <n v="778.49"/>
    <n v="457.95"/>
  </r>
  <r>
    <x v="25"/>
    <x v="20"/>
    <n v="66"/>
    <n v="341.71"/>
    <n v="168.92"/>
  </r>
  <r>
    <x v="26"/>
    <x v="20"/>
    <n v="66"/>
    <n v="331.02"/>
    <n v="166.95"/>
  </r>
  <r>
    <x v="27"/>
    <x v="20"/>
    <n v="66"/>
    <n v="234.58"/>
    <n v="113.95"/>
  </r>
  <r>
    <x v="28"/>
    <x v="20"/>
    <n v="66"/>
    <n v="315.76"/>
    <n v="174.79"/>
  </r>
  <r>
    <x v="29"/>
    <x v="20"/>
    <n v="66"/>
    <n v="408.67"/>
    <n v="230.96"/>
  </r>
  <r>
    <x v="30"/>
    <x v="20"/>
    <n v="66"/>
    <n v="372.04"/>
    <n v="205.54"/>
  </r>
  <r>
    <x v="31"/>
    <x v="20"/>
    <n v="66"/>
    <n v="413.43"/>
    <n v="237.29"/>
  </r>
  <r>
    <x v="32"/>
    <x v="20"/>
    <n v="66"/>
    <n v="322.55"/>
    <n v="190.49"/>
  </r>
  <r>
    <x v="33"/>
    <x v="20"/>
    <n v="66"/>
    <n v="352.53"/>
    <n v="197.64"/>
  </r>
  <r>
    <x v="34"/>
    <x v="20"/>
    <n v="66"/>
    <n v="400.74"/>
    <n v="216.19"/>
  </r>
  <r>
    <x v="35"/>
    <x v="20"/>
    <n v="66"/>
    <n v="268.17"/>
    <n v="126.56"/>
  </r>
  <r>
    <x v="36"/>
    <x v="20"/>
    <n v="66"/>
    <n v="1002.44"/>
    <n v="570.51"/>
  </r>
  <r>
    <x v="37"/>
    <x v="20"/>
    <n v="66"/>
    <n v="381.27"/>
    <n v="188.2"/>
  </r>
  <r>
    <x v="38"/>
    <x v="20"/>
    <n v="66"/>
    <n v="438.79"/>
    <n v="199.19"/>
  </r>
  <r>
    <x v="39"/>
    <x v="20"/>
    <n v="66"/>
    <n v="359.22"/>
    <n v="0"/>
  </r>
  <r>
    <x v="40"/>
    <x v="20"/>
    <n v="66"/>
    <n v="477.65"/>
    <n v="0"/>
  </r>
  <r>
    <x v="41"/>
    <x v="20"/>
    <n v="66"/>
    <n v="437.7"/>
    <n v="209.94"/>
  </r>
  <r>
    <x v="42"/>
    <x v="20"/>
    <n v="66"/>
    <n v="444.29"/>
    <n v="0"/>
  </r>
  <r>
    <x v="43"/>
    <x v="20"/>
    <n v="66"/>
    <n v="525.86"/>
    <n v="0"/>
  </r>
  <r>
    <x v="44"/>
    <x v="20"/>
    <n v="66"/>
    <n v="505.95"/>
    <n v="0"/>
  </r>
  <r>
    <x v="45"/>
    <x v="20"/>
    <n v="66"/>
    <n v="493.01"/>
    <n v="0"/>
  </r>
  <r>
    <x v="46"/>
    <x v="20"/>
    <n v="66"/>
    <n v="409.5"/>
    <n v="0"/>
  </r>
  <r>
    <x v="47"/>
    <x v="20"/>
    <n v="66"/>
    <n v="313.58"/>
    <n v="127.26"/>
  </r>
  <r>
    <x v="48"/>
    <x v="20"/>
    <n v="66"/>
    <n v="1054.29"/>
    <n v="614.23"/>
  </r>
  <r>
    <x v="49"/>
    <x v="20"/>
    <n v="66"/>
    <n v="397.27"/>
    <n v="178.35"/>
  </r>
  <r>
    <x v="50"/>
    <x v="20"/>
    <n v="66"/>
    <n v="345.07"/>
    <n v="160.75"/>
  </r>
  <r>
    <x v="51"/>
    <x v="20"/>
    <n v="66"/>
    <n v="334.75"/>
    <n v="155.47"/>
  </r>
  <r>
    <x v="52"/>
    <x v="20"/>
    <n v="66"/>
    <n v="372.67"/>
    <n v="198.24"/>
  </r>
  <r>
    <x v="53"/>
    <x v="20"/>
    <n v="66"/>
    <n v="448.12"/>
    <n v="0"/>
  </r>
  <r>
    <x v="54"/>
    <x v="20"/>
    <n v="66"/>
    <n v="349.35"/>
    <n v="0"/>
  </r>
  <r>
    <x v="55"/>
    <x v="20"/>
    <n v="66"/>
    <n v="475.34"/>
    <n v="0"/>
  </r>
  <r>
    <x v="56"/>
    <x v="20"/>
    <n v="66"/>
    <n v="420.55"/>
    <n v="0"/>
  </r>
  <r>
    <x v="57"/>
    <x v="20"/>
    <n v="66"/>
    <n v="452.46"/>
    <n v="0"/>
  </r>
  <r>
    <x v="58"/>
    <x v="20"/>
    <n v="66"/>
    <n v="444.24"/>
    <n v="0"/>
  </r>
  <r>
    <x v="59"/>
    <x v="20"/>
    <n v="66"/>
    <n v="336.08"/>
    <n v="191.95"/>
  </r>
  <r>
    <x v="60"/>
    <x v="20"/>
    <n v="66"/>
    <n v="884.2"/>
    <n v="499.61"/>
  </r>
  <r>
    <x v="61"/>
    <x v="20"/>
    <n v="66"/>
    <n v="406.44"/>
    <n v="176.64"/>
  </r>
  <r>
    <x v="62"/>
    <x v="20"/>
    <n v="66"/>
    <n v="388.71"/>
    <n v="192.41"/>
  </r>
  <r>
    <x v="63"/>
    <x v="20"/>
    <n v="66"/>
    <n v="370.11"/>
    <n v="183.59"/>
  </r>
  <r>
    <x v="64"/>
    <x v="20"/>
    <n v="66"/>
    <n v="490.86"/>
    <n v="0"/>
  </r>
  <r>
    <x v="65"/>
    <x v="20"/>
    <n v="66"/>
    <n v="467.42"/>
    <n v="0"/>
  </r>
  <r>
    <x v="66"/>
    <x v="20"/>
    <n v="66"/>
    <n v="435.88"/>
    <n v="0"/>
  </r>
  <r>
    <x v="67"/>
    <x v="20"/>
    <n v="66"/>
    <n v="545.91999999999996"/>
    <n v="0"/>
  </r>
  <r>
    <x v="68"/>
    <x v="20"/>
    <n v="66"/>
    <n v="413.86"/>
    <n v="0"/>
  </r>
  <r>
    <x v="69"/>
    <x v="20"/>
    <n v="66"/>
    <n v="432.66"/>
    <n v="220.57"/>
  </r>
  <r>
    <x v="70"/>
    <x v="20"/>
    <n v="66"/>
    <n v="523.6"/>
    <n v="274.63"/>
  </r>
  <r>
    <x v="71"/>
    <x v="20"/>
    <n v="66"/>
    <n v="389.73"/>
    <n v="172.39"/>
  </r>
  <r>
    <x v="72"/>
    <x v="20"/>
    <n v="66"/>
    <n v="0"/>
    <n v="0"/>
  </r>
  <r>
    <x v="73"/>
    <x v="20"/>
    <n v="66"/>
    <n v="0"/>
    <n v="0"/>
  </r>
  <r>
    <x v="74"/>
    <x v="20"/>
    <n v="66"/>
    <n v="0"/>
    <n v="0"/>
  </r>
  <r>
    <x v="75"/>
    <x v="20"/>
    <n v="66"/>
    <n v="0"/>
    <n v="0"/>
  </r>
  <r>
    <x v="76"/>
    <x v="20"/>
    <n v="66"/>
    <n v="0"/>
    <n v="0"/>
  </r>
  <r>
    <x v="77"/>
    <x v="20"/>
    <n v="66"/>
    <n v="0"/>
    <n v="0"/>
  </r>
  <r>
    <x v="78"/>
    <x v="20"/>
    <n v="66"/>
    <n v="0"/>
    <n v="0"/>
  </r>
  <r>
    <x v="79"/>
    <x v="20"/>
    <n v="66"/>
    <n v="0"/>
    <n v="0"/>
  </r>
  <r>
    <x v="80"/>
    <x v="20"/>
    <n v="66"/>
    <n v="0"/>
    <n v="0"/>
  </r>
  <r>
    <x v="81"/>
    <x v="20"/>
    <n v="66"/>
    <n v="0"/>
    <n v="0"/>
  </r>
  <r>
    <x v="82"/>
    <x v="20"/>
    <n v="66"/>
    <n v="0"/>
    <n v="0"/>
  </r>
  <r>
    <x v="83"/>
    <x v="20"/>
    <n v="66"/>
    <n v="0"/>
    <n v="0"/>
  </r>
  <r>
    <x v="84"/>
    <x v="20"/>
    <n v="66"/>
    <n v="0"/>
    <n v="0"/>
  </r>
  <r>
    <x v="85"/>
    <x v="20"/>
    <n v="66"/>
    <n v="0"/>
    <n v="0"/>
  </r>
  <r>
    <x v="86"/>
    <x v="20"/>
    <n v="66"/>
    <n v="0"/>
    <n v="0"/>
  </r>
  <r>
    <x v="87"/>
    <x v="20"/>
    <n v="66"/>
    <n v="0"/>
    <n v="0"/>
  </r>
  <r>
    <x v="88"/>
    <x v="20"/>
    <n v="66"/>
    <n v="0"/>
    <n v="0"/>
  </r>
  <r>
    <x v="89"/>
    <x v="20"/>
    <n v="66"/>
    <n v="0"/>
    <n v="0"/>
  </r>
  <r>
    <x v="90"/>
    <x v="20"/>
    <n v="66"/>
    <n v="0"/>
    <n v="0"/>
  </r>
  <r>
    <x v="91"/>
    <x v="20"/>
    <n v="66"/>
    <n v="0"/>
    <n v="0"/>
  </r>
  <r>
    <x v="92"/>
    <x v="20"/>
    <n v="66"/>
    <n v="0"/>
    <n v="0"/>
  </r>
  <r>
    <x v="93"/>
    <x v="20"/>
    <n v="66"/>
    <n v="0"/>
    <n v="0"/>
  </r>
  <r>
    <x v="94"/>
    <x v="20"/>
    <n v="66"/>
    <n v="0"/>
    <n v="0"/>
  </r>
  <r>
    <x v="95"/>
    <x v="20"/>
    <n v="66"/>
    <n v="0"/>
    <n v="0"/>
  </r>
  <r>
    <x v="0"/>
    <x v="21"/>
    <n v="66.3"/>
    <n v="674.09"/>
    <n v="350.62"/>
  </r>
  <r>
    <x v="1"/>
    <x v="21"/>
    <n v="66.3"/>
    <n v="323.95"/>
    <n v="119.81"/>
  </r>
  <r>
    <x v="2"/>
    <x v="21"/>
    <n v="66.3"/>
    <n v="323.76"/>
    <n v="128.59"/>
  </r>
  <r>
    <x v="3"/>
    <x v="21"/>
    <n v="66.3"/>
    <n v="288.64999999999998"/>
    <n v="122.35"/>
  </r>
  <r>
    <x v="4"/>
    <x v="21"/>
    <n v="66.3"/>
    <n v="301.3"/>
    <n v="125.9"/>
  </r>
  <r>
    <x v="5"/>
    <x v="21"/>
    <n v="66.3"/>
    <n v="308.92"/>
    <n v="118.72"/>
  </r>
  <r>
    <x v="6"/>
    <x v="21"/>
    <n v="66.3"/>
    <n v="241.25"/>
    <n v="68.58"/>
  </r>
  <r>
    <x v="7"/>
    <x v="21"/>
    <n v="66.3"/>
    <n v="345.47"/>
    <n v="150.36000000000001"/>
  </r>
  <r>
    <x v="8"/>
    <x v="21"/>
    <n v="66.3"/>
    <n v="263.02"/>
    <n v="95.17"/>
  </r>
  <r>
    <x v="9"/>
    <x v="21"/>
    <n v="66.3"/>
    <n v="263.69"/>
    <n v="100.1"/>
  </r>
  <r>
    <x v="10"/>
    <x v="21"/>
    <n v="66.3"/>
    <n v="254.49"/>
    <n v="68.19"/>
  </r>
  <r>
    <x v="11"/>
    <x v="21"/>
    <n v="66.3"/>
    <n v="639.41"/>
    <n v="-291"/>
  </r>
  <r>
    <x v="12"/>
    <x v="21"/>
    <n v="66.3"/>
    <n v="549.63"/>
    <n v="28.69"/>
  </r>
  <r>
    <x v="13"/>
    <x v="21"/>
    <n v="66.3"/>
    <n v="205.18"/>
    <n v="-50.73"/>
  </r>
  <r>
    <x v="14"/>
    <x v="21"/>
    <n v="66.3"/>
    <n v="232.67"/>
    <n v="-58.49"/>
  </r>
  <r>
    <x v="15"/>
    <x v="21"/>
    <n v="66.3"/>
    <n v="265.08999999999997"/>
    <n v="-43.85"/>
  </r>
  <r>
    <x v="16"/>
    <x v="21"/>
    <n v="66.3"/>
    <n v="211.15"/>
    <n v="-68.08"/>
  </r>
  <r>
    <x v="17"/>
    <x v="21"/>
    <n v="66.3"/>
    <n v="287.73"/>
    <n v="-27.21"/>
  </r>
  <r>
    <x v="18"/>
    <x v="21"/>
    <n v="66.3"/>
    <n v="274.01"/>
    <n v="-21.24"/>
  </r>
  <r>
    <x v="19"/>
    <x v="21"/>
    <n v="66.3"/>
    <n v="324.70999999999998"/>
    <n v="-4.82"/>
  </r>
  <r>
    <x v="20"/>
    <x v="21"/>
    <n v="66.3"/>
    <n v="312.77999999999997"/>
    <n v="-2.77"/>
  </r>
  <r>
    <x v="21"/>
    <x v="21"/>
    <n v="66.3"/>
    <n v="291.57"/>
    <n v="-10.31"/>
  </r>
  <r>
    <x v="22"/>
    <x v="21"/>
    <n v="66.3"/>
    <n v="257.83"/>
    <n v="-39.26"/>
  </r>
  <r>
    <x v="23"/>
    <x v="21"/>
    <n v="66.3"/>
    <n v="210.92"/>
    <n v="-68.12"/>
  </r>
  <r>
    <x v="24"/>
    <x v="21"/>
    <n v="66.3"/>
    <n v="788.99"/>
    <n v="455.49"/>
  </r>
  <r>
    <x v="25"/>
    <x v="21"/>
    <n v="66.3"/>
    <n v="350.32"/>
    <n v="169.92"/>
  </r>
  <r>
    <x v="26"/>
    <x v="21"/>
    <n v="66.3"/>
    <n v="338.57"/>
    <n v="166.54"/>
  </r>
  <r>
    <x v="27"/>
    <x v="21"/>
    <n v="66.3"/>
    <n v="241.98"/>
    <n v="111.91"/>
  </r>
  <r>
    <x v="28"/>
    <x v="21"/>
    <n v="66.3"/>
    <n v="323.33999999999997"/>
    <n v="176.81"/>
  </r>
  <r>
    <x v="29"/>
    <x v="21"/>
    <n v="66.3"/>
    <n v="416.67"/>
    <n v="230.45"/>
  </r>
  <r>
    <x v="30"/>
    <x v="21"/>
    <n v="66.3"/>
    <n v="379.91"/>
    <n v="204.81"/>
  </r>
  <r>
    <x v="31"/>
    <x v="21"/>
    <n v="66.3"/>
    <n v="421.28"/>
    <n v="236.47"/>
  </r>
  <r>
    <x v="32"/>
    <x v="21"/>
    <n v="66.3"/>
    <n v="329.18"/>
    <n v="189.96"/>
  </r>
  <r>
    <x v="33"/>
    <x v="21"/>
    <n v="66.3"/>
    <n v="360.33"/>
    <n v="198"/>
  </r>
  <r>
    <x v="34"/>
    <x v="21"/>
    <n v="66.3"/>
    <n v="409.5"/>
    <n v="216.55"/>
  </r>
  <r>
    <x v="35"/>
    <x v="21"/>
    <n v="66.3"/>
    <n v="276.39"/>
    <n v="128.54"/>
  </r>
  <r>
    <x v="36"/>
    <x v="21"/>
    <n v="66.3"/>
    <n v="1010.91"/>
    <n v="568.29999999999995"/>
  </r>
  <r>
    <x v="37"/>
    <x v="21"/>
    <n v="66.3"/>
    <n v="388.7"/>
    <n v="190.34"/>
  </r>
  <r>
    <x v="38"/>
    <x v="21"/>
    <n v="66.3"/>
    <n v="446.87"/>
    <n v="199.19"/>
  </r>
  <r>
    <x v="39"/>
    <x v="21"/>
    <n v="66.3"/>
    <n v="365.38"/>
    <n v="0"/>
  </r>
  <r>
    <x v="40"/>
    <x v="21"/>
    <n v="66.3"/>
    <n v="484.35"/>
    <n v="0"/>
  </r>
  <r>
    <x v="41"/>
    <x v="21"/>
    <n v="66.3"/>
    <n v="444.41"/>
    <n v="206.95"/>
  </r>
  <r>
    <x v="42"/>
    <x v="21"/>
    <n v="66.3"/>
    <n v="450.47"/>
    <n v="0"/>
  </r>
  <r>
    <x v="43"/>
    <x v="21"/>
    <n v="66.3"/>
    <n v="531.89"/>
    <n v="0"/>
  </r>
  <r>
    <x v="44"/>
    <x v="21"/>
    <n v="66.3"/>
    <n v="512.37"/>
    <n v="0"/>
  </r>
  <r>
    <x v="45"/>
    <x v="21"/>
    <n v="66.3"/>
    <n v="500.05"/>
    <n v="0"/>
  </r>
  <r>
    <x v="46"/>
    <x v="21"/>
    <n v="66.3"/>
    <n v="416.6"/>
    <n v="0"/>
  </r>
  <r>
    <x v="47"/>
    <x v="21"/>
    <n v="66.3"/>
    <n v="322.62"/>
    <n v="136.38"/>
  </r>
  <r>
    <x v="48"/>
    <x v="21"/>
    <n v="66.3"/>
    <n v="1063.5899999999999"/>
    <n v="612.99"/>
  </r>
  <r>
    <x v="49"/>
    <x v="21"/>
    <n v="66.3"/>
    <n v="405.34"/>
    <n v="180.42"/>
  </r>
  <r>
    <x v="50"/>
    <x v="21"/>
    <n v="66.3"/>
    <n v="352.99"/>
    <n v="161.65"/>
  </r>
  <r>
    <x v="51"/>
    <x v="21"/>
    <n v="66.3"/>
    <n v="342.34"/>
    <n v="157.27000000000001"/>
  </r>
  <r>
    <x v="52"/>
    <x v="21"/>
    <n v="66.3"/>
    <n v="379.27"/>
    <n v="198.75"/>
  </r>
  <r>
    <x v="53"/>
    <x v="21"/>
    <n v="66.3"/>
    <n v="455.39"/>
    <n v="0"/>
  </r>
  <r>
    <x v="54"/>
    <x v="21"/>
    <n v="66.3"/>
    <n v="355.18"/>
    <n v="0"/>
  </r>
  <r>
    <x v="55"/>
    <x v="21"/>
    <n v="66.3"/>
    <n v="482.63"/>
    <n v="0"/>
  </r>
  <r>
    <x v="56"/>
    <x v="21"/>
    <n v="66.3"/>
    <n v="427.55"/>
    <n v="0"/>
  </r>
  <r>
    <x v="57"/>
    <x v="21"/>
    <n v="66.3"/>
    <n v="459.73"/>
    <n v="0"/>
  </r>
  <r>
    <x v="58"/>
    <x v="21"/>
    <n v="66.3"/>
    <n v="452.89"/>
    <n v="0"/>
  </r>
  <r>
    <x v="59"/>
    <x v="21"/>
    <n v="66.3"/>
    <n v="344.22"/>
    <n v="195.8"/>
  </r>
  <r>
    <x v="60"/>
    <x v="21"/>
    <n v="66.3"/>
    <n v="891.74"/>
    <n v="497.99"/>
  </r>
  <r>
    <x v="61"/>
    <x v="21"/>
    <n v="66.3"/>
    <n v="414.63"/>
    <n v="179.95"/>
  </r>
  <r>
    <x v="62"/>
    <x v="21"/>
    <n v="66.3"/>
    <n v="395.95"/>
    <n v="192.05"/>
  </r>
  <r>
    <x v="63"/>
    <x v="21"/>
    <n v="66.3"/>
    <n v="377.17"/>
    <n v="184.57"/>
  </r>
  <r>
    <x v="64"/>
    <x v="21"/>
    <n v="66.3"/>
    <n v="498.6"/>
    <n v="0"/>
  </r>
  <r>
    <x v="65"/>
    <x v="21"/>
    <n v="66.3"/>
    <n v="475.65"/>
    <n v="0"/>
  </r>
  <r>
    <x v="66"/>
    <x v="21"/>
    <n v="66.3"/>
    <n v="442.94"/>
    <n v="0"/>
  </r>
  <r>
    <x v="67"/>
    <x v="21"/>
    <n v="66.3"/>
    <n v="553.15"/>
    <n v="0"/>
  </r>
  <r>
    <x v="68"/>
    <x v="21"/>
    <n v="66.3"/>
    <n v="418.69"/>
    <n v="0"/>
  </r>
  <r>
    <x v="69"/>
    <x v="21"/>
    <n v="66.3"/>
    <n v="443.7"/>
    <n v="230.29"/>
  </r>
  <r>
    <x v="70"/>
    <x v="21"/>
    <n v="66.3"/>
    <n v="533.92999999999995"/>
    <n v="280.66000000000003"/>
  </r>
  <r>
    <x v="71"/>
    <x v="21"/>
    <n v="66.3"/>
    <n v="402.71"/>
    <n v="186.86"/>
  </r>
  <r>
    <x v="72"/>
    <x v="21"/>
    <n v="66.3"/>
    <n v="0"/>
    <n v="0"/>
  </r>
  <r>
    <x v="73"/>
    <x v="21"/>
    <n v="66.3"/>
    <n v="0"/>
    <n v="0"/>
  </r>
  <r>
    <x v="74"/>
    <x v="21"/>
    <n v="66.3"/>
    <n v="0"/>
    <n v="0"/>
  </r>
  <r>
    <x v="75"/>
    <x v="21"/>
    <n v="66.3"/>
    <n v="0"/>
    <n v="0"/>
  </r>
  <r>
    <x v="76"/>
    <x v="21"/>
    <n v="66.3"/>
    <n v="0"/>
    <n v="0"/>
  </r>
  <r>
    <x v="77"/>
    <x v="21"/>
    <n v="66.3"/>
    <n v="0"/>
    <n v="0"/>
  </r>
  <r>
    <x v="78"/>
    <x v="21"/>
    <n v="66.3"/>
    <n v="0"/>
    <n v="0"/>
  </r>
  <r>
    <x v="79"/>
    <x v="21"/>
    <n v="66.3"/>
    <n v="0"/>
    <n v="0"/>
  </r>
  <r>
    <x v="80"/>
    <x v="21"/>
    <n v="66.3"/>
    <n v="0"/>
    <n v="0"/>
  </r>
  <r>
    <x v="81"/>
    <x v="21"/>
    <n v="66.3"/>
    <n v="0"/>
    <n v="0"/>
  </r>
  <r>
    <x v="82"/>
    <x v="21"/>
    <n v="66.3"/>
    <n v="0"/>
    <n v="0"/>
  </r>
  <r>
    <x v="83"/>
    <x v="21"/>
    <n v="66.3"/>
    <n v="0"/>
    <n v="0"/>
  </r>
  <r>
    <x v="84"/>
    <x v="21"/>
    <n v="66.3"/>
    <n v="0"/>
    <n v="0"/>
  </r>
  <r>
    <x v="85"/>
    <x v="21"/>
    <n v="66.3"/>
    <n v="0"/>
    <n v="0"/>
  </r>
  <r>
    <x v="86"/>
    <x v="21"/>
    <n v="66.3"/>
    <n v="0"/>
    <n v="0"/>
  </r>
  <r>
    <x v="87"/>
    <x v="21"/>
    <n v="66.3"/>
    <n v="0"/>
    <n v="0"/>
  </r>
  <r>
    <x v="88"/>
    <x v="21"/>
    <n v="66.3"/>
    <n v="0"/>
    <n v="0"/>
  </r>
  <r>
    <x v="89"/>
    <x v="21"/>
    <n v="66.3"/>
    <n v="0"/>
    <n v="0"/>
  </r>
  <r>
    <x v="90"/>
    <x v="21"/>
    <n v="66.3"/>
    <n v="0"/>
    <n v="0"/>
  </r>
  <r>
    <x v="91"/>
    <x v="21"/>
    <n v="66.3"/>
    <n v="0"/>
    <n v="0"/>
  </r>
  <r>
    <x v="92"/>
    <x v="21"/>
    <n v="66.3"/>
    <n v="0"/>
    <n v="0"/>
  </r>
  <r>
    <x v="93"/>
    <x v="21"/>
    <n v="66.3"/>
    <n v="0"/>
    <n v="0"/>
  </r>
  <r>
    <x v="94"/>
    <x v="21"/>
    <n v="66.3"/>
    <n v="0"/>
    <n v="0"/>
  </r>
  <r>
    <x v="95"/>
    <x v="21"/>
    <n v="66.3"/>
    <n v="0"/>
    <n v="0"/>
  </r>
  <r>
    <x v="0"/>
    <x v="22"/>
    <n v="66.599999999999994"/>
    <n v="681.44"/>
    <n v="352.94"/>
  </r>
  <r>
    <x v="1"/>
    <x v="22"/>
    <n v="66.599999999999994"/>
    <n v="331.68"/>
    <n v="125.71"/>
  </r>
  <r>
    <x v="2"/>
    <x v="22"/>
    <n v="66.599999999999994"/>
    <n v="331.37"/>
    <n v="134.62"/>
  </r>
  <r>
    <x v="3"/>
    <x v="22"/>
    <n v="66.599999999999994"/>
    <n v="296.98"/>
    <n v="130.69999999999999"/>
  </r>
  <r>
    <x v="4"/>
    <x v="22"/>
    <n v="66.599999999999994"/>
    <n v="308.74"/>
    <n v="132.11000000000001"/>
  </r>
  <r>
    <x v="5"/>
    <x v="22"/>
    <n v="66.599999999999994"/>
    <n v="316.64999999999998"/>
    <n v="124.71"/>
  </r>
  <r>
    <x v="6"/>
    <x v="22"/>
    <n v="66.599999999999994"/>
    <n v="249.57"/>
    <n v="76.84"/>
  </r>
  <r>
    <x v="7"/>
    <x v="22"/>
    <n v="66.599999999999994"/>
    <n v="353.04"/>
    <n v="156.68"/>
  </r>
  <r>
    <x v="8"/>
    <x v="22"/>
    <n v="66.599999999999994"/>
    <n v="271.45"/>
    <n v="105.29"/>
  </r>
  <r>
    <x v="9"/>
    <x v="22"/>
    <n v="66.599999999999994"/>
    <n v="271.93"/>
    <n v="110.26"/>
  </r>
  <r>
    <x v="10"/>
    <x v="22"/>
    <n v="66.599999999999994"/>
    <n v="262.88"/>
    <n v="77.16"/>
  </r>
  <r>
    <x v="11"/>
    <x v="22"/>
    <n v="66.599999999999994"/>
    <n v="641.39"/>
    <n v="-307.98"/>
  </r>
  <r>
    <x v="12"/>
    <x v="22"/>
    <n v="66.599999999999994"/>
    <n v="563.47"/>
    <n v="31.08"/>
  </r>
  <r>
    <x v="13"/>
    <x v="22"/>
    <n v="66.599999999999994"/>
    <n v="223.17"/>
    <n v="-45.71"/>
  </r>
  <r>
    <x v="14"/>
    <x v="22"/>
    <n v="66.599999999999994"/>
    <n v="243.61"/>
    <n v="-57.3"/>
  </r>
  <r>
    <x v="15"/>
    <x v="22"/>
    <n v="66.599999999999994"/>
    <n v="278.99"/>
    <n v="-41.65"/>
  </r>
  <r>
    <x v="16"/>
    <x v="22"/>
    <n v="66.599999999999994"/>
    <n v="223.38"/>
    <n v="-65.67"/>
  </r>
  <r>
    <x v="17"/>
    <x v="22"/>
    <n v="66.599999999999994"/>
    <n v="302.83"/>
    <n v="-24.31"/>
  </r>
  <r>
    <x v="18"/>
    <x v="22"/>
    <n v="66.599999999999994"/>
    <n v="287.77999999999997"/>
    <n v="-18.62"/>
  </r>
  <r>
    <x v="19"/>
    <x v="22"/>
    <n v="66.599999999999994"/>
    <n v="336.55"/>
    <n v="-2.92"/>
  </r>
  <r>
    <x v="20"/>
    <x v="22"/>
    <n v="66.599999999999994"/>
    <n v="327.04000000000002"/>
    <n v="-0.89"/>
  </r>
  <r>
    <x v="21"/>
    <x v="22"/>
    <n v="66.599999999999994"/>
    <n v="306.87"/>
    <n v="-8.17"/>
  </r>
  <r>
    <x v="22"/>
    <x v="22"/>
    <n v="66.599999999999994"/>
    <n v="272.17"/>
    <n v="-36.15"/>
  </r>
  <r>
    <x v="23"/>
    <x v="22"/>
    <n v="66.599999999999994"/>
    <n v="233.1"/>
    <n v="-63.55"/>
  </r>
  <r>
    <x v="24"/>
    <x v="22"/>
    <n v="66.599999999999994"/>
    <n v="799.68"/>
    <n v="453.02"/>
  </r>
  <r>
    <x v="25"/>
    <x v="22"/>
    <n v="66.599999999999994"/>
    <n v="359.3"/>
    <n v="171.8"/>
  </r>
  <r>
    <x v="26"/>
    <x v="22"/>
    <n v="66.599999999999994"/>
    <n v="346.43"/>
    <n v="166.66"/>
  </r>
  <r>
    <x v="27"/>
    <x v="22"/>
    <n v="66.599999999999994"/>
    <n v="249.79"/>
    <n v="110.54"/>
  </r>
  <r>
    <x v="28"/>
    <x v="22"/>
    <n v="66.599999999999994"/>
    <n v="331.23"/>
    <n v="179.48"/>
  </r>
  <r>
    <x v="29"/>
    <x v="22"/>
    <n v="66.599999999999994"/>
    <n v="424.92"/>
    <n v="230.28"/>
  </r>
  <r>
    <x v="30"/>
    <x v="22"/>
    <n v="66.599999999999994"/>
    <n v="388.07"/>
    <n v="204.6"/>
  </r>
  <r>
    <x v="31"/>
    <x v="22"/>
    <n v="66.599999999999994"/>
    <n v="429.39"/>
    <n v="236.12"/>
  </r>
  <r>
    <x v="32"/>
    <x v="22"/>
    <n v="66.599999999999994"/>
    <n v="336.05"/>
    <n v="189.89"/>
  </r>
  <r>
    <x v="33"/>
    <x v="22"/>
    <n v="66.599999999999994"/>
    <n v="368.43"/>
    <n v="198.87"/>
  </r>
  <r>
    <x v="34"/>
    <x v="22"/>
    <n v="66.599999999999994"/>
    <n v="418.59"/>
    <n v="217.53"/>
  </r>
  <r>
    <x v="35"/>
    <x v="22"/>
    <n v="66.599999999999994"/>
    <n v="285.02"/>
    <n v="131.69"/>
  </r>
  <r>
    <x v="36"/>
    <x v="22"/>
    <n v="66.599999999999994"/>
    <n v="1019.43"/>
    <n v="566.05999999999995"/>
  </r>
  <r>
    <x v="37"/>
    <x v="22"/>
    <n v="66.599999999999994"/>
    <n v="396.47"/>
    <n v="193.46"/>
  </r>
  <r>
    <x v="38"/>
    <x v="22"/>
    <n v="66.599999999999994"/>
    <n v="455.34"/>
    <n v="200.68"/>
  </r>
  <r>
    <x v="39"/>
    <x v="22"/>
    <n v="66.599999999999994"/>
    <n v="371.78"/>
    <n v="0"/>
  </r>
  <r>
    <x v="40"/>
    <x v="22"/>
    <n v="66.599999999999994"/>
    <n v="491.27"/>
    <n v="0"/>
  </r>
  <r>
    <x v="41"/>
    <x v="22"/>
    <n v="66.599999999999994"/>
    <n v="451.44"/>
    <n v="204.81"/>
  </r>
  <r>
    <x v="42"/>
    <x v="22"/>
    <n v="66.599999999999994"/>
    <n v="456.87"/>
    <n v="0"/>
  </r>
  <r>
    <x v="43"/>
    <x v="22"/>
    <n v="66.599999999999994"/>
    <n v="538.07000000000005"/>
    <n v="0"/>
  </r>
  <r>
    <x v="44"/>
    <x v="22"/>
    <n v="66.599999999999994"/>
    <n v="518.96"/>
    <n v="0"/>
  </r>
  <r>
    <x v="45"/>
    <x v="22"/>
    <n v="66.599999999999994"/>
    <n v="507.3"/>
    <n v="0"/>
  </r>
  <r>
    <x v="46"/>
    <x v="22"/>
    <n v="66.599999999999994"/>
    <n v="423.99"/>
    <n v="0"/>
  </r>
  <r>
    <x v="47"/>
    <x v="22"/>
    <n v="66.599999999999994"/>
    <n v="332.12"/>
    <n v="147.43"/>
  </r>
  <r>
    <x v="48"/>
    <x v="22"/>
    <n v="66.599999999999994"/>
    <n v="1072.96"/>
    <n v="611.72"/>
  </r>
  <r>
    <x v="49"/>
    <x v="22"/>
    <n v="66.599999999999994"/>
    <n v="413.79"/>
    <n v="183.54"/>
  </r>
  <r>
    <x v="50"/>
    <x v="22"/>
    <n v="66.599999999999994"/>
    <n v="361.35"/>
    <n v="163.54"/>
  </r>
  <r>
    <x v="51"/>
    <x v="22"/>
    <n v="66.599999999999994"/>
    <n v="350.35"/>
    <n v="160.13999999999999"/>
  </r>
  <r>
    <x v="52"/>
    <x v="22"/>
    <n v="66.599999999999994"/>
    <n v="386.18"/>
    <n v="200.01"/>
  </r>
  <r>
    <x v="53"/>
    <x v="22"/>
    <n v="66.599999999999994"/>
    <n v="462.92"/>
    <n v="0"/>
  </r>
  <r>
    <x v="54"/>
    <x v="22"/>
    <n v="66.599999999999994"/>
    <n v="361.26"/>
    <n v="0"/>
  </r>
  <r>
    <x v="55"/>
    <x v="22"/>
    <n v="66.599999999999994"/>
    <n v="490.19"/>
    <n v="0"/>
  </r>
  <r>
    <x v="56"/>
    <x v="22"/>
    <n v="66.599999999999994"/>
    <n v="434.8"/>
    <n v="0"/>
  </r>
  <r>
    <x v="57"/>
    <x v="22"/>
    <n v="66.599999999999994"/>
    <n v="467.26"/>
    <n v="0"/>
  </r>
  <r>
    <x v="58"/>
    <x v="22"/>
    <n v="66.599999999999994"/>
    <n v="461.88"/>
    <n v="0"/>
  </r>
  <r>
    <x v="59"/>
    <x v="22"/>
    <n v="66.599999999999994"/>
    <n v="352.81"/>
    <n v="200.05"/>
  </r>
  <r>
    <x v="60"/>
    <x v="22"/>
    <n v="66.599999999999994"/>
    <n v="899.34"/>
    <n v="496.5"/>
  </r>
  <r>
    <x v="61"/>
    <x v="22"/>
    <n v="66.599999999999994"/>
    <n v="423.2"/>
    <n v="184.57"/>
  </r>
  <r>
    <x v="62"/>
    <x v="22"/>
    <n v="66.599999999999994"/>
    <n v="403.55"/>
    <n v="192.63"/>
  </r>
  <r>
    <x v="63"/>
    <x v="22"/>
    <n v="66.599999999999994"/>
    <n v="384.57"/>
    <n v="186.42"/>
  </r>
  <r>
    <x v="64"/>
    <x v="22"/>
    <n v="66.599999999999994"/>
    <n v="506.64"/>
    <n v="0"/>
  </r>
  <r>
    <x v="65"/>
    <x v="22"/>
    <n v="66.599999999999994"/>
    <n v="484.25"/>
    <n v="0"/>
  </r>
  <r>
    <x v="66"/>
    <x v="22"/>
    <n v="66.599999999999994"/>
    <n v="450.27"/>
    <n v="0"/>
  </r>
  <r>
    <x v="67"/>
    <x v="22"/>
    <n v="66.599999999999994"/>
    <n v="560.64"/>
    <n v="0"/>
  </r>
  <r>
    <x v="68"/>
    <x v="22"/>
    <n v="66.599999999999994"/>
    <n v="423.61"/>
    <n v="0"/>
  </r>
  <r>
    <x v="69"/>
    <x v="22"/>
    <n v="66.599999999999994"/>
    <n v="455.21"/>
    <n v="241.41"/>
  </r>
  <r>
    <x v="70"/>
    <x v="22"/>
    <n v="66.599999999999994"/>
    <n v="544.69000000000005"/>
    <n v="287.85000000000002"/>
  </r>
  <r>
    <x v="71"/>
    <x v="22"/>
    <n v="66.599999999999994"/>
    <n v="416.36"/>
    <n v="203.3"/>
  </r>
  <r>
    <x v="72"/>
    <x v="22"/>
    <n v="66.599999999999994"/>
    <n v="0"/>
    <n v="0"/>
  </r>
  <r>
    <x v="73"/>
    <x v="22"/>
    <n v="66.599999999999994"/>
    <n v="0"/>
    <n v="0"/>
  </r>
  <r>
    <x v="74"/>
    <x v="22"/>
    <n v="66.599999999999994"/>
    <n v="0"/>
    <n v="0"/>
  </r>
  <r>
    <x v="75"/>
    <x v="22"/>
    <n v="66.599999999999994"/>
    <n v="0"/>
    <n v="0"/>
  </r>
  <r>
    <x v="76"/>
    <x v="22"/>
    <n v="66.599999999999994"/>
    <n v="0"/>
    <n v="0"/>
  </r>
  <r>
    <x v="77"/>
    <x v="22"/>
    <n v="66.599999999999994"/>
    <n v="0"/>
    <n v="0"/>
  </r>
  <r>
    <x v="78"/>
    <x v="22"/>
    <n v="66.599999999999994"/>
    <n v="0"/>
    <n v="0"/>
  </r>
  <r>
    <x v="79"/>
    <x v="22"/>
    <n v="66.599999999999994"/>
    <n v="0"/>
    <n v="0"/>
  </r>
  <r>
    <x v="80"/>
    <x v="22"/>
    <n v="66.599999999999994"/>
    <n v="0"/>
    <n v="0"/>
  </r>
  <r>
    <x v="81"/>
    <x v="22"/>
    <n v="66.599999999999994"/>
    <n v="0"/>
    <n v="0"/>
  </r>
  <r>
    <x v="82"/>
    <x v="22"/>
    <n v="66.599999999999994"/>
    <n v="0"/>
    <n v="0"/>
  </r>
  <r>
    <x v="83"/>
    <x v="22"/>
    <n v="66.599999999999994"/>
    <n v="0"/>
    <n v="0"/>
  </r>
  <r>
    <x v="84"/>
    <x v="22"/>
    <n v="66.599999999999994"/>
    <n v="0"/>
    <n v="0"/>
  </r>
  <r>
    <x v="85"/>
    <x v="22"/>
    <n v="66.599999999999994"/>
    <n v="0"/>
    <n v="0"/>
  </r>
  <r>
    <x v="86"/>
    <x v="22"/>
    <n v="66.599999999999994"/>
    <n v="0"/>
    <n v="0"/>
  </r>
  <r>
    <x v="87"/>
    <x v="22"/>
    <n v="66.599999999999994"/>
    <n v="0"/>
    <n v="0"/>
  </r>
  <r>
    <x v="88"/>
    <x v="22"/>
    <n v="66.599999999999994"/>
    <n v="0"/>
    <n v="0"/>
  </r>
  <r>
    <x v="89"/>
    <x v="22"/>
    <n v="66.599999999999994"/>
    <n v="0"/>
    <n v="0"/>
  </r>
  <r>
    <x v="90"/>
    <x v="22"/>
    <n v="66.599999999999994"/>
    <n v="0"/>
    <n v="0"/>
  </r>
  <r>
    <x v="91"/>
    <x v="22"/>
    <n v="66.599999999999994"/>
    <n v="0"/>
    <n v="0"/>
  </r>
  <r>
    <x v="92"/>
    <x v="22"/>
    <n v="66.599999999999994"/>
    <n v="0"/>
    <n v="0"/>
  </r>
  <r>
    <x v="93"/>
    <x v="22"/>
    <n v="66.599999999999994"/>
    <n v="0"/>
    <n v="0"/>
  </r>
  <r>
    <x v="94"/>
    <x v="22"/>
    <n v="66.599999999999994"/>
    <n v="0"/>
    <n v="0"/>
  </r>
  <r>
    <x v="95"/>
    <x v="22"/>
    <n v="66.599999999999994"/>
    <n v="0"/>
    <n v="0"/>
  </r>
  <r>
    <x v="0"/>
    <x v="23"/>
    <n v="66.900000000000006"/>
    <n v="688.88"/>
    <n v="355.28"/>
  </r>
  <r>
    <x v="1"/>
    <x v="23"/>
    <n v="66.900000000000006"/>
    <n v="339.75"/>
    <n v="132.66999999999999"/>
  </r>
  <r>
    <x v="2"/>
    <x v="23"/>
    <n v="66.900000000000006"/>
    <n v="339.3"/>
    <n v="141.74"/>
  </r>
  <r>
    <x v="3"/>
    <x v="23"/>
    <n v="66.900000000000006"/>
    <n v="305.67"/>
    <n v="140.09"/>
  </r>
  <r>
    <x v="4"/>
    <x v="23"/>
    <n v="66.900000000000006"/>
    <n v="316.51"/>
    <n v="139.35"/>
  </r>
  <r>
    <x v="5"/>
    <x v="23"/>
    <n v="66.900000000000006"/>
    <n v="324.72000000000003"/>
    <n v="131.82"/>
  </r>
  <r>
    <x v="6"/>
    <x v="23"/>
    <n v="66.900000000000006"/>
    <n v="258.31"/>
    <n v="86.39"/>
  </r>
  <r>
    <x v="7"/>
    <x v="23"/>
    <n v="66.900000000000006"/>
    <n v="360.9"/>
    <n v="163.95"/>
  </r>
  <r>
    <x v="8"/>
    <x v="23"/>
    <n v="66.900000000000006"/>
    <n v="280.27"/>
    <n v="116.58"/>
  </r>
  <r>
    <x v="9"/>
    <x v="23"/>
    <n v="66.900000000000006"/>
    <n v="280.52999999999997"/>
    <n v="121.38"/>
  </r>
  <r>
    <x v="10"/>
    <x v="23"/>
    <n v="66.900000000000006"/>
    <n v="271.67"/>
    <n v="87.38"/>
  </r>
  <r>
    <x v="11"/>
    <x v="23"/>
    <n v="66.900000000000006"/>
    <n v="643"/>
    <n v="-325.97000000000003"/>
  </r>
  <r>
    <x v="12"/>
    <x v="23"/>
    <n v="66.900000000000006"/>
    <n v="578.54999999999995"/>
    <n v="33.5"/>
  </r>
  <r>
    <x v="13"/>
    <x v="23"/>
    <n v="66.900000000000006"/>
    <n v="244.06"/>
    <n v="-40.07"/>
  </r>
  <r>
    <x v="14"/>
    <x v="23"/>
    <n v="66.900000000000006"/>
    <n v="256.79000000000002"/>
    <n v="-55.51"/>
  </r>
  <r>
    <x v="15"/>
    <x v="23"/>
    <n v="66.900000000000006"/>
    <n v="294.52999999999997"/>
    <n v="-39.200000000000003"/>
  </r>
  <r>
    <x v="16"/>
    <x v="23"/>
    <n v="66.900000000000006"/>
    <n v="237.93"/>
    <n v="-62.52"/>
  </r>
  <r>
    <x v="17"/>
    <x v="23"/>
    <n v="66.900000000000006"/>
    <n v="319.66000000000003"/>
    <n v="-21.08"/>
  </r>
  <r>
    <x v="18"/>
    <x v="23"/>
    <n v="66.900000000000006"/>
    <n v="303.14999999999998"/>
    <n v="-15.71"/>
  </r>
  <r>
    <x v="19"/>
    <x v="23"/>
    <n v="66.900000000000006"/>
    <n v="349.74"/>
    <n v="-0.87"/>
  </r>
  <r>
    <x v="20"/>
    <x v="23"/>
    <n v="66.900000000000006"/>
    <n v="342.83"/>
    <n v="1.1299999999999999"/>
  </r>
  <r>
    <x v="21"/>
    <x v="23"/>
    <n v="66.900000000000006"/>
    <n v="323.8"/>
    <n v="-5.89"/>
  </r>
  <r>
    <x v="22"/>
    <x v="23"/>
    <n v="66.900000000000006"/>
    <n v="288.2"/>
    <n v="-32.630000000000003"/>
  </r>
  <r>
    <x v="23"/>
    <x v="23"/>
    <n v="66.900000000000006"/>
    <n v="257.60000000000002"/>
    <n v="-58.87"/>
  </r>
  <r>
    <x v="24"/>
    <x v="23"/>
    <n v="66.900000000000006"/>
    <n v="810.53"/>
    <n v="450.63"/>
  </r>
  <r>
    <x v="25"/>
    <x v="23"/>
    <n v="66.900000000000006"/>
    <n v="368.67"/>
    <n v="174.68"/>
  </r>
  <r>
    <x v="26"/>
    <x v="23"/>
    <n v="66.900000000000006"/>
    <n v="354.59"/>
    <n v="167.46"/>
  </r>
  <r>
    <x v="27"/>
    <x v="23"/>
    <n v="66.900000000000006"/>
    <n v="258"/>
    <n v="109.98"/>
  </r>
  <r>
    <x v="28"/>
    <x v="23"/>
    <n v="66.900000000000006"/>
    <n v="339.42"/>
    <n v="182.79"/>
  </r>
  <r>
    <x v="29"/>
    <x v="23"/>
    <n v="66.900000000000006"/>
    <n v="433.44"/>
    <n v="230.57"/>
  </r>
  <r>
    <x v="30"/>
    <x v="23"/>
    <n v="66.900000000000006"/>
    <n v="396.52"/>
    <n v="205.05"/>
  </r>
  <r>
    <x v="31"/>
    <x v="23"/>
    <n v="66.900000000000006"/>
    <n v="437.77"/>
    <n v="236.38"/>
  </r>
  <r>
    <x v="32"/>
    <x v="23"/>
    <n v="66.900000000000006"/>
    <n v="343.16"/>
    <n v="190.39"/>
  </r>
  <r>
    <x v="33"/>
    <x v="23"/>
    <n v="66.900000000000006"/>
    <n v="376.8"/>
    <n v="200.32"/>
  </r>
  <r>
    <x v="34"/>
    <x v="23"/>
    <n v="66.900000000000006"/>
    <n v="427.99"/>
    <n v="219.21"/>
  </r>
  <r>
    <x v="35"/>
    <x v="23"/>
    <n v="66.900000000000006"/>
    <n v="294.05"/>
    <n v="136.22"/>
  </r>
  <r>
    <x v="36"/>
    <x v="23"/>
    <n v="66.900000000000006"/>
    <n v="1027.96"/>
    <n v="563.86"/>
  </r>
  <r>
    <x v="37"/>
    <x v="23"/>
    <n v="66.900000000000006"/>
    <n v="404.57"/>
    <n v="197.67"/>
  </r>
  <r>
    <x v="38"/>
    <x v="23"/>
    <n v="66.900000000000006"/>
    <n v="464.24"/>
    <n v="204.08"/>
  </r>
  <r>
    <x v="39"/>
    <x v="23"/>
    <n v="66.900000000000006"/>
    <n v="378.45"/>
    <n v="0"/>
  </r>
  <r>
    <x v="40"/>
    <x v="23"/>
    <n v="66.900000000000006"/>
    <n v="498.42"/>
    <n v="0"/>
  </r>
  <r>
    <x v="41"/>
    <x v="23"/>
    <n v="66.900000000000006"/>
    <n v="458.8"/>
    <n v="203.92"/>
  </r>
  <r>
    <x v="42"/>
    <x v="23"/>
    <n v="66.900000000000006"/>
    <n v="463.5"/>
    <n v="0"/>
  </r>
  <r>
    <x v="43"/>
    <x v="23"/>
    <n v="66.900000000000006"/>
    <n v="544.39"/>
    <n v="0"/>
  </r>
  <r>
    <x v="44"/>
    <x v="23"/>
    <n v="66.900000000000006"/>
    <n v="525.71"/>
    <n v="0"/>
  </r>
  <r>
    <x v="45"/>
    <x v="23"/>
    <n v="66.900000000000006"/>
    <n v="514.76"/>
    <n v="0"/>
  </r>
  <r>
    <x v="46"/>
    <x v="23"/>
    <n v="66.900000000000006"/>
    <n v="431.66"/>
    <n v="0"/>
  </r>
  <r>
    <x v="47"/>
    <x v="23"/>
    <n v="66.900000000000006"/>
    <n v="342.08"/>
    <n v="160.43"/>
  </r>
  <r>
    <x v="48"/>
    <x v="23"/>
    <n v="66.900000000000006"/>
    <n v="1082.3900000000001"/>
    <n v="610.49"/>
  </r>
  <r>
    <x v="49"/>
    <x v="23"/>
    <n v="66.900000000000006"/>
    <n v="422.63"/>
    <n v="187.84"/>
  </r>
  <r>
    <x v="50"/>
    <x v="23"/>
    <n v="66.900000000000006"/>
    <n v="370.15"/>
    <n v="166.57"/>
  </r>
  <r>
    <x v="51"/>
    <x v="23"/>
    <n v="66.900000000000006"/>
    <n v="358.78"/>
    <n v="164.22"/>
  </r>
  <r>
    <x v="52"/>
    <x v="23"/>
    <n v="66.900000000000006"/>
    <n v="393.41"/>
    <n v="202.14"/>
  </r>
  <r>
    <x v="53"/>
    <x v="23"/>
    <n v="66.900000000000006"/>
    <n v="470.72"/>
    <n v="0"/>
  </r>
  <r>
    <x v="54"/>
    <x v="23"/>
    <n v="66.900000000000006"/>
    <n v="367.59"/>
    <n v="0"/>
  </r>
  <r>
    <x v="55"/>
    <x v="23"/>
    <n v="66.900000000000006"/>
    <n v="498"/>
    <n v="0"/>
  </r>
  <r>
    <x v="56"/>
    <x v="23"/>
    <n v="66.900000000000006"/>
    <n v="442.32"/>
    <n v="0"/>
  </r>
  <r>
    <x v="57"/>
    <x v="23"/>
    <n v="66.900000000000006"/>
    <n v="475.05"/>
    <n v="0"/>
  </r>
  <r>
    <x v="58"/>
    <x v="23"/>
    <n v="66.900000000000006"/>
    <n v="471.22"/>
    <n v="0"/>
  </r>
  <r>
    <x v="59"/>
    <x v="23"/>
    <n v="66.900000000000006"/>
    <n v="361.84"/>
    <n v="204.73"/>
  </r>
  <r>
    <x v="60"/>
    <x v="23"/>
    <n v="66.900000000000006"/>
    <n v="907.01"/>
    <n v="495.21"/>
  </r>
  <r>
    <x v="61"/>
    <x v="23"/>
    <n v="66.900000000000006"/>
    <n v="432.16"/>
    <n v="190.65"/>
  </r>
  <r>
    <x v="62"/>
    <x v="23"/>
    <n v="66.900000000000006"/>
    <n v="411.53"/>
    <n v="194.31"/>
  </r>
  <r>
    <x v="63"/>
    <x v="23"/>
    <n v="66.900000000000006"/>
    <n v="392.33"/>
    <n v="189.26"/>
  </r>
  <r>
    <x v="64"/>
    <x v="23"/>
    <n v="66.900000000000006"/>
    <n v="514.99"/>
    <n v="0"/>
  </r>
  <r>
    <x v="65"/>
    <x v="23"/>
    <n v="66.900000000000006"/>
    <n v="493.2"/>
    <n v="0"/>
  </r>
  <r>
    <x v="66"/>
    <x v="23"/>
    <n v="66.900000000000006"/>
    <n v="457.87"/>
    <n v="0"/>
  </r>
  <r>
    <x v="67"/>
    <x v="23"/>
    <n v="66.900000000000006"/>
    <n v="568.37"/>
    <n v="0"/>
  </r>
  <r>
    <x v="68"/>
    <x v="23"/>
    <n v="66.900000000000006"/>
    <n v="428.62"/>
    <n v="0"/>
  </r>
  <r>
    <x v="69"/>
    <x v="23"/>
    <n v="66.900000000000006"/>
    <n v="467.19"/>
    <n v="253.94"/>
  </r>
  <r>
    <x v="70"/>
    <x v="23"/>
    <n v="66.900000000000006"/>
    <n v="555.9"/>
    <n v="296.22000000000003"/>
  </r>
  <r>
    <x v="71"/>
    <x v="23"/>
    <n v="66.900000000000006"/>
    <n v="430.67"/>
    <n v="221.58"/>
  </r>
  <r>
    <x v="72"/>
    <x v="23"/>
    <n v="66.900000000000006"/>
    <n v="0"/>
    <n v="0"/>
  </r>
  <r>
    <x v="73"/>
    <x v="23"/>
    <n v="66.900000000000006"/>
    <n v="0"/>
    <n v="0"/>
  </r>
  <r>
    <x v="74"/>
    <x v="23"/>
    <n v="66.900000000000006"/>
    <n v="0"/>
    <n v="0"/>
  </r>
  <r>
    <x v="75"/>
    <x v="23"/>
    <n v="66.900000000000006"/>
    <n v="0"/>
    <n v="0"/>
  </r>
  <r>
    <x v="76"/>
    <x v="23"/>
    <n v="66.900000000000006"/>
    <n v="0"/>
    <n v="0"/>
  </r>
  <r>
    <x v="77"/>
    <x v="23"/>
    <n v="66.900000000000006"/>
    <n v="0"/>
    <n v="0"/>
  </r>
  <r>
    <x v="78"/>
    <x v="23"/>
    <n v="66.900000000000006"/>
    <n v="0"/>
    <n v="0"/>
  </r>
  <r>
    <x v="79"/>
    <x v="23"/>
    <n v="66.900000000000006"/>
    <n v="0"/>
    <n v="0"/>
  </r>
  <r>
    <x v="80"/>
    <x v="23"/>
    <n v="66.900000000000006"/>
    <n v="0"/>
    <n v="0"/>
  </r>
  <r>
    <x v="81"/>
    <x v="23"/>
    <n v="66.900000000000006"/>
    <n v="0"/>
    <n v="0"/>
  </r>
  <r>
    <x v="82"/>
    <x v="23"/>
    <n v="66.900000000000006"/>
    <n v="0"/>
    <n v="0"/>
  </r>
  <r>
    <x v="83"/>
    <x v="23"/>
    <n v="66.900000000000006"/>
    <n v="0"/>
    <n v="0"/>
  </r>
  <r>
    <x v="84"/>
    <x v="23"/>
    <n v="66.900000000000006"/>
    <n v="0"/>
    <n v="0"/>
  </r>
  <r>
    <x v="85"/>
    <x v="23"/>
    <n v="66.900000000000006"/>
    <n v="0"/>
    <n v="0"/>
  </r>
  <r>
    <x v="86"/>
    <x v="23"/>
    <n v="66.900000000000006"/>
    <n v="0"/>
    <n v="0"/>
  </r>
  <r>
    <x v="87"/>
    <x v="23"/>
    <n v="66.900000000000006"/>
    <n v="0"/>
    <n v="0"/>
  </r>
  <r>
    <x v="88"/>
    <x v="23"/>
    <n v="66.900000000000006"/>
    <n v="0"/>
    <n v="0"/>
  </r>
  <r>
    <x v="89"/>
    <x v="23"/>
    <n v="66.900000000000006"/>
    <n v="0"/>
    <n v="0"/>
  </r>
  <r>
    <x v="90"/>
    <x v="23"/>
    <n v="66.900000000000006"/>
    <n v="0"/>
    <n v="0"/>
  </r>
  <r>
    <x v="91"/>
    <x v="23"/>
    <n v="66.900000000000006"/>
    <n v="0"/>
    <n v="0"/>
  </r>
  <r>
    <x v="92"/>
    <x v="23"/>
    <n v="66.900000000000006"/>
    <n v="0"/>
    <n v="0"/>
  </r>
  <r>
    <x v="93"/>
    <x v="23"/>
    <n v="66.900000000000006"/>
    <n v="0"/>
    <n v="0"/>
  </r>
  <r>
    <x v="94"/>
    <x v="23"/>
    <n v="66.900000000000006"/>
    <n v="0"/>
    <n v="0"/>
  </r>
  <r>
    <x v="95"/>
    <x v="23"/>
    <n v="66.900000000000006"/>
    <n v="0"/>
    <n v="0"/>
  </r>
  <r>
    <x v="0"/>
    <x v="24"/>
    <n v="67.2"/>
    <n v="696.39"/>
    <n v="357.76"/>
  </r>
  <r>
    <x v="1"/>
    <x v="24"/>
    <n v="67.2"/>
    <n v="348.14"/>
    <n v="140.80000000000001"/>
  </r>
  <r>
    <x v="2"/>
    <x v="24"/>
    <n v="67.2"/>
    <n v="347.55"/>
    <n v="150.02000000000001"/>
  </r>
  <r>
    <x v="3"/>
    <x v="24"/>
    <n v="67.2"/>
    <n v="314.73"/>
    <n v="150.5"/>
  </r>
  <r>
    <x v="4"/>
    <x v="24"/>
    <n v="67.2"/>
    <n v="324.62"/>
    <n v="147.69"/>
  </r>
  <r>
    <x v="5"/>
    <x v="24"/>
    <n v="67.2"/>
    <n v="333.13"/>
    <n v="140.16"/>
  </r>
  <r>
    <x v="6"/>
    <x v="24"/>
    <n v="67.2"/>
    <n v="267.45999999999998"/>
    <n v="97.28"/>
  </r>
  <r>
    <x v="7"/>
    <x v="24"/>
    <n v="67.2"/>
    <n v="369.06"/>
    <n v="172.23"/>
  </r>
  <r>
    <x v="8"/>
    <x v="24"/>
    <n v="67.2"/>
    <n v="289.48"/>
    <n v="128.97999999999999"/>
  </r>
  <r>
    <x v="9"/>
    <x v="24"/>
    <n v="67.2"/>
    <n v="289.48"/>
    <n v="133.35"/>
  </r>
  <r>
    <x v="10"/>
    <x v="24"/>
    <n v="67.2"/>
    <n v="280.87"/>
    <n v="98.87"/>
  </r>
  <r>
    <x v="11"/>
    <x v="24"/>
    <n v="67.2"/>
    <n v="644.22"/>
    <n v="-345.04"/>
  </r>
  <r>
    <x v="12"/>
    <x v="24"/>
    <n v="67.2"/>
    <n v="595.08000000000004"/>
    <n v="35.94"/>
  </r>
  <r>
    <x v="13"/>
    <x v="24"/>
    <n v="67.2"/>
    <n v="267.98"/>
    <n v="-33.880000000000003"/>
  </r>
  <r>
    <x v="14"/>
    <x v="24"/>
    <n v="67.2"/>
    <n v="272.74"/>
    <n v="-52.95"/>
  </r>
  <r>
    <x v="15"/>
    <x v="24"/>
    <n v="67.2"/>
    <n v="311.87"/>
    <n v="-36.520000000000003"/>
  </r>
  <r>
    <x v="16"/>
    <x v="24"/>
    <n v="67.2"/>
    <n v="255.23"/>
    <n v="-58.53"/>
  </r>
  <r>
    <x v="17"/>
    <x v="24"/>
    <n v="67.2"/>
    <n v="338.37"/>
    <n v="-17.52"/>
  </r>
  <r>
    <x v="18"/>
    <x v="24"/>
    <n v="67.2"/>
    <n v="320.26"/>
    <n v="-12.5"/>
  </r>
  <r>
    <x v="19"/>
    <x v="24"/>
    <n v="67.2"/>
    <n v="364.45"/>
    <n v="1.36"/>
  </r>
  <r>
    <x v="20"/>
    <x v="24"/>
    <n v="67.2"/>
    <n v="360.25"/>
    <n v="3.3"/>
  </r>
  <r>
    <x v="21"/>
    <x v="24"/>
    <n v="67.2"/>
    <n v="342.45"/>
    <n v="-3.47"/>
  </r>
  <r>
    <x v="22"/>
    <x v="24"/>
    <n v="67.2"/>
    <n v="306.04000000000002"/>
    <n v="-28.7"/>
  </r>
  <r>
    <x v="23"/>
    <x v="24"/>
    <n v="67.2"/>
    <n v="284.38"/>
    <n v="-54.1"/>
  </r>
  <r>
    <x v="24"/>
    <x v="24"/>
    <n v="67.2"/>
    <n v="821.52"/>
    <n v="448.43"/>
  </r>
  <r>
    <x v="25"/>
    <x v="24"/>
    <n v="67.2"/>
    <n v="378.42"/>
    <n v="178.67"/>
  </r>
  <r>
    <x v="26"/>
    <x v="24"/>
    <n v="67.2"/>
    <n v="363.05"/>
    <n v="169.07"/>
  </r>
  <r>
    <x v="27"/>
    <x v="24"/>
    <n v="67.2"/>
    <n v="266.64"/>
    <n v="110.33"/>
  </r>
  <r>
    <x v="28"/>
    <x v="24"/>
    <n v="67.2"/>
    <n v="347.92"/>
    <n v="186.69"/>
  </r>
  <r>
    <x v="29"/>
    <x v="24"/>
    <n v="67.2"/>
    <n v="442.19"/>
    <n v="231.39"/>
  </r>
  <r>
    <x v="30"/>
    <x v="24"/>
    <n v="67.2"/>
    <n v="405.25"/>
    <n v="206.24"/>
  </r>
  <r>
    <x v="31"/>
    <x v="24"/>
    <n v="67.2"/>
    <n v="446.39"/>
    <n v="237.32"/>
  </r>
  <r>
    <x v="32"/>
    <x v="24"/>
    <n v="67.2"/>
    <n v="350.5"/>
    <n v="191.52"/>
  </r>
  <r>
    <x v="33"/>
    <x v="24"/>
    <n v="67.2"/>
    <n v="385.45"/>
    <n v="202.41"/>
  </r>
  <r>
    <x v="34"/>
    <x v="24"/>
    <n v="67.2"/>
    <n v="437.71"/>
    <n v="221.63"/>
  </r>
  <r>
    <x v="35"/>
    <x v="24"/>
    <n v="67.2"/>
    <n v="303.5"/>
    <n v="142.27000000000001"/>
  </r>
  <r>
    <x v="36"/>
    <x v="24"/>
    <n v="67.2"/>
    <n v="1036.5"/>
    <n v="561.79"/>
  </r>
  <r>
    <x v="37"/>
    <x v="24"/>
    <n v="67.2"/>
    <n v="413.01"/>
    <n v="203.05"/>
  </r>
  <r>
    <x v="38"/>
    <x v="24"/>
    <n v="67.2"/>
    <n v="473.55"/>
    <n v="209.77"/>
  </r>
  <r>
    <x v="39"/>
    <x v="24"/>
    <n v="67.2"/>
    <n v="385.39"/>
    <n v="0"/>
  </r>
  <r>
    <x v="40"/>
    <x v="24"/>
    <n v="67.2"/>
    <n v="505.78"/>
    <n v="0"/>
  </r>
  <r>
    <x v="41"/>
    <x v="24"/>
    <n v="67.2"/>
    <n v="466.5"/>
    <n v="204.71"/>
  </r>
  <r>
    <x v="42"/>
    <x v="24"/>
    <n v="67.2"/>
    <n v="470.35"/>
    <n v="0"/>
  </r>
  <r>
    <x v="43"/>
    <x v="24"/>
    <n v="67.2"/>
    <n v="550.84"/>
    <n v="0"/>
  </r>
  <r>
    <x v="44"/>
    <x v="24"/>
    <n v="67.2"/>
    <n v="532.61"/>
    <n v="0"/>
  </r>
  <r>
    <x v="45"/>
    <x v="24"/>
    <n v="67.2"/>
    <n v="522.41999999999996"/>
    <n v="0"/>
  </r>
  <r>
    <x v="46"/>
    <x v="24"/>
    <n v="67.2"/>
    <n v="439.62"/>
    <n v="0"/>
  </r>
  <r>
    <x v="47"/>
    <x v="24"/>
    <n v="67.2"/>
    <n v="352.5"/>
    <n v="175.29"/>
  </r>
  <r>
    <x v="48"/>
    <x v="24"/>
    <n v="67.2"/>
    <n v="1091.83"/>
    <n v="609.38"/>
  </r>
  <r>
    <x v="49"/>
    <x v="24"/>
    <n v="67.2"/>
    <n v="431.85"/>
    <n v="193.43"/>
  </r>
  <r>
    <x v="50"/>
    <x v="24"/>
    <n v="67.2"/>
    <n v="379.42"/>
    <n v="170.88"/>
  </r>
  <r>
    <x v="51"/>
    <x v="24"/>
    <n v="67.2"/>
    <n v="367.66"/>
    <n v="169.64"/>
  </r>
  <r>
    <x v="52"/>
    <x v="24"/>
    <n v="67.2"/>
    <n v="400.96"/>
    <n v="205.24"/>
  </r>
  <r>
    <x v="53"/>
    <x v="24"/>
    <n v="67.2"/>
    <n v="478.78"/>
    <n v="0"/>
  </r>
  <r>
    <x v="54"/>
    <x v="24"/>
    <n v="67.2"/>
    <n v="374.18"/>
    <n v="0"/>
  </r>
  <r>
    <x v="55"/>
    <x v="24"/>
    <n v="67.2"/>
    <n v="506.07"/>
    <n v="0"/>
  </r>
  <r>
    <x v="56"/>
    <x v="24"/>
    <n v="67.2"/>
    <n v="450.09"/>
    <n v="0"/>
  </r>
  <r>
    <x v="57"/>
    <x v="24"/>
    <n v="67.2"/>
    <n v="483.08"/>
    <n v="0"/>
  </r>
  <r>
    <x v="58"/>
    <x v="24"/>
    <n v="67.2"/>
    <n v="480.89"/>
    <n v="0"/>
  </r>
  <r>
    <x v="59"/>
    <x v="24"/>
    <n v="67.2"/>
    <n v="371.33"/>
    <n v="209.88"/>
  </r>
  <r>
    <x v="60"/>
    <x v="24"/>
    <n v="67.2"/>
    <n v="914.71"/>
    <n v="494.2"/>
  </r>
  <r>
    <x v="61"/>
    <x v="24"/>
    <n v="67.2"/>
    <n v="441.51"/>
    <n v="198.27"/>
  </r>
  <r>
    <x v="62"/>
    <x v="24"/>
    <n v="67.2"/>
    <n v="419.9"/>
    <n v="197.21"/>
  </r>
  <r>
    <x v="63"/>
    <x v="24"/>
    <n v="67.2"/>
    <n v="400.45"/>
    <n v="193.21"/>
  </r>
  <r>
    <x v="64"/>
    <x v="24"/>
    <n v="67.2"/>
    <n v="523.65"/>
    <n v="0"/>
  </r>
  <r>
    <x v="65"/>
    <x v="24"/>
    <n v="67.2"/>
    <n v="502.53"/>
    <n v="0"/>
  </r>
  <r>
    <x v="66"/>
    <x v="24"/>
    <n v="67.2"/>
    <n v="465.75"/>
    <n v="0"/>
  </r>
  <r>
    <x v="67"/>
    <x v="24"/>
    <n v="67.2"/>
    <n v="576.35"/>
    <n v="0"/>
  </r>
  <r>
    <x v="68"/>
    <x v="24"/>
    <n v="67.2"/>
    <n v="433.72"/>
    <n v="0"/>
  </r>
  <r>
    <x v="69"/>
    <x v="24"/>
    <n v="67.2"/>
    <n v="479.63"/>
    <n v="267.77"/>
  </r>
  <r>
    <x v="70"/>
    <x v="24"/>
    <n v="67.2"/>
    <n v="567.54999999999995"/>
    <n v="305.73"/>
  </r>
  <r>
    <x v="71"/>
    <x v="24"/>
    <n v="67.2"/>
    <n v="445.65"/>
    <n v="241.42"/>
  </r>
  <r>
    <x v="72"/>
    <x v="24"/>
    <n v="67.2"/>
    <n v="0"/>
    <n v="0"/>
  </r>
  <r>
    <x v="73"/>
    <x v="24"/>
    <n v="67.2"/>
    <n v="0"/>
    <n v="0"/>
  </r>
  <r>
    <x v="74"/>
    <x v="24"/>
    <n v="67.2"/>
    <n v="0"/>
    <n v="0"/>
  </r>
  <r>
    <x v="75"/>
    <x v="24"/>
    <n v="67.2"/>
    <n v="0"/>
    <n v="0"/>
  </r>
  <r>
    <x v="76"/>
    <x v="24"/>
    <n v="67.2"/>
    <n v="0"/>
    <n v="0"/>
  </r>
  <r>
    <x v="77"/>
    <x v="24"/>
    <n v="67.2"/>
    <n v="0"/>
    <n v="0"/>
  </r>
  <r>
    <x v="78"/>
    <x v="24"/>
    <n v="67.2"/>
    <n v="0"/>
    <n v="0"/>
  </r>
  <r>
    <x v="79"/>
    <x v="24"/>
    <n v="67.2"/>
    <n v="0"/>
    <n v="0"/>
  </r>
  <r>
    <x v="80"/>
    <x v="24"/>
    <n v="67.2"/>
    <n v="0"/>
    <n v="0"/>
  </r>
  <r>
    <x v="81"/>
    <x v="24"/>
    <n v="67.2"/>
    <n v="0"/>
    <n v="0"/>
  </r>
  <r>
    <x v="82"/>
    <x v="24"/>
    <n v="67.2"/>
    <n v="0"/>
    <n v="0"/>
  </r>
  <r>
    <x v="83"/>
    <x v="24"/>
    <n v="67.2"/>
    <n v="0"/>
    <n v="0"/>
  </r>
  <r>
    <x v="84"/>
    <x v="24"/>
    <n v="67.2"/>
    <n v="0"/>
    <n v="0"/>
  </r>
  <r>
    <x v="85"/>
    <x v="24"/>
    <n v="67.2"/>
    <n v="0"/>
    <n v="0"/>
  </r>
  <r>
    <x v="86"/>
    <x v="24"/>
    <n v="67.2"/>
    <n v="0"/>
    <n v="0"/>
  </r>
  <r>
    <x v="87"/>
    <x v="24"/>
    <n v="67.2"/>
    <n v="0"/>
    <n v="0"/>
  </r>
  <r>
    <x v="88"/>
    <x v="24"/>
    <n v="67.2"/>
    <n v="0"/>
    <n v="0"/>
  </r>
  <r>
    <x v="89"/>
    <x v="24"/>
    <n v="67.2"/>
    <n v="0"/>
    <n v="0"/>
  </r>
  <r>
    <x v="90"/>
    <x v="24"/>
    <n v="67.2"/>
    <n v="0"/>
    <n v="0"/>
  </r>
  <r>
    <x v="91"/>
    <x v="24"/>
    <n v="67.2"/>
    <n v="0"/>
    <n v="0"/>
  </r>
  <r>
    <x v="92"/>
    <x v="24"/>
    <n v="67.2"/>
    <n v="0"/>
    <n v="0"/>
  </r>
  <r>
    <x v="93"/>
    <x v="24"/>
    <n v="67.2"/>
    <n v="0"/>
    <n v="0"/>
  </r>
  <r>
    <x v="94"/>
    <x v="24"/>
    <n v="67.2"/>
    <n v="0"/>
    <n v="0"/>
  </r>
  <r>
    <x v="95"/>
    <x v="24"/>
    <n v="67.2"/>
    <n v="0"/>
    <n v="0"/>
  </r>
  <r>
    <x v="0"/>
    <x v="25"/>
    <n v="67.5"/>
    <n v="703.95"/>
    <n v="360.55"/>
  </r>
  <r>
    <x v="1"/>
    <x v="25"/>
    <n v="67.5"/>
    <n v="356.87"/>
    <n v="150.16"/>
  </r>
  <r>
    <x v="2"/>
    <x v="25"/>
    <n v="67.5"/>
    <n v="356.11"/>
    <n v="159.52000000000001"/>
  </r>
  <r>
    <x v="3"/>
    <x v="25"/>
    <n v="67.5"/>
    <n v="324.12"/>
    <n v="161.91"/>
  </r>
  <r>
    <x v="4"/>
    <x v="25"/>
    <n v="67.5"/>
    <n v="333.04"/>
    <n v="157.19"/>
  </r>
  <r>
    <x v="5"/>
    <x v="25"/>
    <n v="67.5"/>
    <n v="341.88"/>
    <n v="149.81"/>
  </r>
  <r>
    <x v="6"/>
    <x v="25"/>
    <n v="67.5"/>
    <n v="277.02"/>
    <n v="109.48"/>
  </r>
  <r>
    <x v="7"/>
    <x v="25"/>
    <n v="67.5"/>
    <n v="377.51"/>
    <n v="181.53"/>
  </r>
  <r>
    <x v="8"/>
    <x v="25"/>
    <n v="67.5"/>
    <n v="299.06"/>
    <n v="142.33000000000001"/>
  </r>
  <r>
    <x v="9"/>
    <x v="25"/>
    <n v="67.5"/>
    <n v="298.77"/>
    <n v="146"/>
  </r>
  <r>
    <x v="10"/>
    <x v="25"/>
    <n v="67.5"/>
    <n v="290.47000000000003"/>
    <n v="111.58"/>
  </r>
  <r>
    <x v="11"/>
    <x v="25"/>
    <n v="67.5"/>
    <n v="645.01"/>
    <n v="-365.27"/>
  </r>
  <r>
    <x v="12"/>
    <x v="25"/>
    <n v="67.5"/>
    <n v="613.30999999999995"/>
    <n v="38.4"/>
  </r>
  <r>
    <x v="13"/>
    <x v="25"/>
    <n v="67.5"/>
    <n v="294.89999999999998"/>
    <n v="-27.21"/>
  </r>
  <r>
    <x v="14"/>
    <x v="25"/>
    <n v="67.5"/>
    <n v="292.05"/>
    <n v="-49.45"/>
  </r>
  <r>
    <x v="15"/>
    <x v="25"/>
    <n v="67.5"/>
    <n v="331.12"/>
    <n v="-33.659999999999997"/>
  </r>
  <r>
    <x v="16"/>
    <x v="25"/>
    <n v="67.5"/>
    <n v="275.77"/>
    <n v="-53.63"/>
  </r>
  <r>
    <x v="17"/>
    <x v="25"/>
    <n v="67.5"/>
    <n v="359.1"/>
    <n v="-13.63"/>
  </r>
  <r>
    <x v="18"/>
    <x v="25"/>
    <n v="67.5"/>
    <n v="339.26"/>
    <n v="-9.01"/>
  </r>
  <r>
    <x v="19"/>
    <x v="25"/>
    <n v="67.5"/>
    <n v="380.88"/>
    <n v="3.75"/>
  </r>
  <r>
    <x v="20"/>
    <x v="25"/>
    <n v="67.5"/>
    <n v="379.42"/>
    <n v="5.62"/>
  </r>
  <r>
    <x v="21"/>
    <x v="25"/>
    <n v="67.5"/>
    <n v="362.9"/>
    <n v="-0.91"/>
  </r>
  <r>
    <x v="22"/>
    <x v="25"/>
    <n v="67.5"/>
    <n v="325.77999999999997"/>
    <n v="-24.39"/>
  </r>
  <r>
    <x v="23"/>
    <x v="25"/>
    <n v="67.5"/>
    <n v="313.31"/>
    <n v="-49.26"/>
  </r>
  <r>
    <x v="24"/>
    <x v="25"/>
    <n v="67.5"/>
    <n v="832.62"/>
    <n v="446.52"/>
  </r>
  <r>
    <x v="25"/>
    <x v="25"/>
    <n v="67.5"/>
    <n v="388.54"/>
    <n v="183.85"/>
  </r>
  <r>
    <x v="26"/>
    <x v="25"/>
    <n v="67.5"/>
    <n v="371.82"/>
    <n v="171.6"/>
  </r>
  <r>
    <x v="27"/>
    <x v="25"/>
    <n v="67.5"/>
    <n v="275.72000000000003"/>
    <n v="111.67"/>
  </r>
  <r>
    <x v="28"/>
    <x v="25"/>
    <n v="67.5"/>
    <n v="356.7"/>
    <n v="191.07"/>
  </r>
  <r>
    <x v="29"/>
    <x v="25"/>
    <n v="67.5"/>
    <n v="451.17"/>
    <n v="232.81"/>
  </r>
  <r>
    <x v="30"/>
    <x v="25"/>
    <n v="67.5"/>
    <n v="414.26"/>
    <n v="208.26"/>
  </r>
  <r>
    <x v="31"/>
    <x v="25"/>
    <n v="67.5"/>
    <n v="455.25"/>
    <n v="239.01"/>
  </r>
  <r>
    <x v="32"/>
    <x v="25"/>
    <n v="67.5"/>
    <n v="358.06"/>
    <n v="193.33"/>
  </r>
  <r>
    <x v="33"/>
    <x v="25"/>
    <n v="67.5"/>
    <n v="394.35"/>
    <n v="205.14"/>
  </r>
  <r>
    <x v="34"/>
    <x v="25"/>
    <n v="67.5"/>
    <n v="447.73"/>
    <n v="224.83"/>
  </r>
  <r>
    <x v="35"/>
    <x v="25"/>
    <n v="67.5"/>
    <n v="313.33999999999997"/>
    <n v="149.94"/>
  </r>
  <r>
    <x v="36"/>
    <x v="25"/>
    <n v="67.5"/>
    <n v="1045"/>
    <n v="559.91"/>
  </r>
  <r>
    <x v="37"/>
    <x v="25"/>
    <n v="67.5"/>
    <n v="421.79"/>
    <n v="209.63"/>
  </r>
  <r>
    <x v="38"/>
    <x v="25"/>
    <n v="67.5"/>
    <n v="483.3"/>
    <n v="218.06"/>
  </r>
  <r>
    <x v="39"/>
    <x v="25"/>
    <n v="67.5"/>
    <n v="392.58"/>
    <n v="0"/>
  </r>
  <r>
    <x v="40"/>
    <x v="25"/>
    <n v="67.5"/>
    <n v="513.35"/>
    <n v="0"/>
  </r>
  <r>
    <x v="41"/>
    <x v="25"/>
    <n v="67.5"/>
    <n v="474.54"/>
    <n v="207.61"/>
  </r>
  <r>
    <x v="42"/>
    <x v="25"/>
    <n v="67.5"/>
    <n v="477.43"/>
    <n v="0"/>
  </r>
  <r>
    <x v="43"/>
    <x v="25"/>
    <n v="67.5"/>
    <n v="557.41"/>
    <n v="0"/>
  </r>
  <r>
    <x v="44"/>
    <x v="25"/>
    <n v="67.5"/>
    <n v="539.66"/>
    <n v="0"/>
  </r>
  <r>
    <x v="45"/>
    <x v="25"/>
    <n v="67.5"/>
    <n v="530.28"/>
    <n v="0"/>
  </r>
  <r>
    <x v="46"/>
    <x v="25"/>
    <n v="67.5"/>
    <n v="447.85"/>
    <n v="0"/>
  </r>
  <r>
    <x v="47"/>
    <x v="25"/>
    <n v="67.5"/>
    <n v="363.37"/>
    <n v="191.76"/>
  </r>
  <r>
    <x v="48"/>
    <x v="25"/>
    <n v="67.5"/>
    <n v="1101.28"/>
    <n v="608.44000000000005"/>
  </r>
  <r>
    <x v="49"/>
    <x v="25"/>
    <n v="67.5"/>
    <n v="441.47"/>
    <n v="200.35"/>
  </r>
  <r>
    <x v="50"/>
    <x v="25"/>
    <n v="67.5"/>
    <n v="389.16"/>
    <n v="176.56"/>
  </r>
  <r>
    <x v="51"/>
    <x v="25"/>
    <n v="67.5"/>
    <n v="376.98"/>
    <n v="176.46"/>
  </r>
  <r>
    <x v="52"/>
    <x v="25"/>
    <n v="67.5"/>
    <n v="408.84"/>
    <n v="209.38"/>
  </r>
  <r>
    <x v="53"/>
    <x v="25"/>
    <n v="67.5"/>
    <n v="487.12"/>
    <n v="0"/>
  </r>
  <r>
    <x v="54"/>
    <x v="25"/>
    <n v="67.5"/>
    <n v="381.02"/>
    <n v="0"/>
  </r>
  <r>
    <x v="55"/>
    <x v="25"/>
    <n v="67.5"/>
    <n v="514.39"/>
    <n v="0"/>
  </r>
  <r>
    <x v="56"/>
    <x v="25"/>
    <n v="67.5"/>
    <n v="458.11"/>
    <n v="0"/>
  </r>
  <r>
    <x v="57"/>
    <x v="25"/>
    <n v="67.5"/>
    <n v="491.34"/>
    <n v="0"/>
  </r>
  <r>
    <x v="58"/>
    <x v="25"/>
    <n v="67.5"/>
    <n v="490.89"/>
    <n v="0"/>
  </r>
  <r>
    <x v="59"/>
    <x v="25"/>
    <n v="67.5"/>
    <n v="381.27"/>
    <n v="215.52"/>
  </r>
  <r>
    <x v="60"/>
    <x v="25"/>
    <n v="67.5"/>
    <n v="922.44"/>
    <n v="493.53"/>
  </r>
  <r>
    <x v="61"/>
    <x v="25"/>
    <n v="67.5"/>
    <n v="451.25"/>
    <n v="207.45"/>
  </r>
  <r>
    <x v="62"/>
    <x v="25"/>
    <n v="67.5"/>
    <n v="428.69"/>
    <n v="201.43"/>
  </r>
  <r>
    <x v="63"/>
    <x v="25"/>
    <n v="67.5"/>
    <n v="408.93"/>
    <n v="198.35"/>
  </r>
  <r>
    <x v="64"/>
    <x v="25"/>
    <n v="67.5"/>
    <n v="532.61"/>
    <n v="0"/>
  </r>
  <r>
    <x v="65"/>
    <x v="25"/>
    <n v="67.5"/>
    <n v="512.22"/>
    <n v="0"/>
  </r>
  <r>
    <x v="66"/>
    <x v="25"/>
    <n v="67.5"/>
    <n v="473.89"/>
    <n v="0"/>
  </r>
  <r>
    <x v="67"/>
    <x v="25"/>
    <n v="67.5"/>
    <n v="584.58000000000004"/>
    <n v="0"/>
  </r>
  <r>
    <x v="68"/>
    <x v="25"/>
    <n v="67.5"/>
    <n v="438.88"/>
    <n v="0"/>
  </r>
  <r>
    <x v="69"/>
    <x v="25"/>
    <n v="67.5"/>
    <n v="492.51"/>
    <n v="282.74"/>
  </r>
  <r>
    <x v="70"/>
    <x v="25"/>
    <n v="67.5"/>
    <n v="579.63"/>
    <n v="316.27"/>
  </r>
  <r>
    <x v="71"/>
    <x v="25"/>
    <n v="67.5"/>
    <n v="461.3"/>
    <n v="262.5"/>
  </r>
  <r>
    <x v="72"/>
    <x v="25"/>
    <n v="67.5"/>
    <n v="0"/>
    <n v="0"/>
  </r>
  <r>
    <x v="73"/>
    <x v="25"/>
    <n v="67.5"/>
    <n v="0"/>
    <n v="0"/>
  </r>
  <r>
    <x v="74"/>
    <x v="25"/>
    <n v="67.5"/>
    <n v="0"/>
    <n v="0"/>
  </r>
  <r>
    <x v="75"/>
    <x v="25"/>
    <n v="67.5"/>
    <n v="0"/>
    <n v="0"/>
  </r>
  <r>
    <x v="76"/>
    <x v="25"/>
    <n v="67.5"/>
    <n v="0"/>
    <n v="0"/>
  </r>
  <r>
    <x v="77"/>
    <x v="25"/>
    <n v="67.5"/>
    <n v="0"/>
    <n v="0"/>
  </r>
  <r>
    <x v="78"/>
    <x v="25"/>
    <n v="67.5"/>
    <n v="0"/>
    <n v="0"/>
  </r>
  <r>
    <x v="79"/>
    <x v="25"/>
    <n v="67.5"/>
    <n v="0"/>
    <n v="0"/>
  </r>
  <r>
    <x v="80"/>
    <x v="25"/>
    <n v="67.5"/>
    <n v="0"/>
    <n v="0"/>
  </r>
  <r>
    <x v="81"/>
    <x v="25"/>
    <n v="67.5"/>
    <n v="0"/>
    <n v="0"/>
  </r>
  <r>
    <x v="82"/>
    <x v="25"/>
    <n v="67.5"/>
    <n v="0"/>
    <n v="0"/>
  </r>
  <r>
    <x v="83"/>
    <x v="25"/>
    <n v="67.5"/>
    <n v="0"/>
    <n v="0"/>
  </r>
  <r>
    <x v="84"/>
    <x v="25"/>
    <n v="67.5"/>
    <n v="0"/>
    <n v="0"/>
  </r>
  <r>
    <x v="85"/>
    <x v="25"/>
    <n v="67.5"/>
    <n v="0"/>
    <n v="0"/>
  </r>
  <r>
    <x v="86"/>
    <x v="25"/>
    <n v="67.5"/>
    <n v="0"/>
    <n v="0"/>
  </r>
  <r>
    <x v="87"/>
    <x v="25"/>
    <n v="67.5"/>
    <n v="0"/>
    <n v="0"/>
  </r>
  <r>
    <x v="88"/>
    <x v="25"/>
    <n v="67.5"/>
    <n v="0"/>
    <n v="0"/>
  </r>
  <r>
    <x v="89"/>
    <x v="25"/>
    <n v="67.5"/>
    <n v="0"/>
    <n v="0"/>
  </r>
  <r>
    <x v="90"/>
    <x v="25"/>
    <n v="67.5"/>
    <n v="0"/>
    <n v="0"/>
  </r>
  <r>
    <x v="91"/>
    <x v="25"/>
    <n v="67.5"/>
    <n v="0"/>
    <n v="0"/>
  </r>
  <r>
    <x v="92"/>
    <x v="25"/>
    <n v="67.5"/>
    <n v="0"/>
    <n v="0"/>
  </r>
  <r>
    <x v="93"/>
    <x v="25"/>
    <n v="67.5"/>
    <n v="0"/>
    <n v="0"/>
  </r>
  <r>
    <x v="94"/>
    <x v="25"/>
    <n v="67.5"/>
    <n v="0"/>
    <n v="0"/>
  </r>
  <r>
    <x v="95"/>
    <x v="25"/>
    <n v="67.5"/>
    <n v="0"/>
    <n v="0"/>
  </r>
  <r>
    <x v="0"/>
    <x v="26"/>
    <n v="67.8"/>
    <n v="711.53"/>
    <n v="363.86"/>
  </r>
  <r>
    <x v="1"/>
    <x v="26"/>
    <n v="67.8"/>
    <n v="365.91"/>
    <n v="160.75"/>
  </r>
  <r>
    <x v="2"/>
    <x v="26"/>
    <n v="67.8"/>
    <n v="364.97"/>
    <n v="170.25"/>
  </r>
  <r>
    <x v="3"/>
    <x v="26"/>
    <n v="67.8"/>
    <n v="333.85"/>
    <n v="174.21"/>
  </r>
  <r>
    <x v="4"/>
    <x v="26"/>
    <n v="67.8"/>
    <n v="341.78"/>
    <n v="167.84"/>
  </r>
  <r>
    <x v="5"/>
    <x v="26"/>
    <n v="67.8"/>
    <n v="350.96"/>
    <n v="160.80000000000001"/>
  </r>
  <r>
    <x v="6"/>
    <x v="26"/>
    <n v="67.8"/>
    <n v="286.98"/>
    <n v="122.92"/>
  </r>
  <r>
    <x v="7"/>
    <x v="26"/>
    <n v="67.8"/>
    <n v="386.22"/>
    <n v="191.85"/>
  </r>
  <r>
    <x v="8"/>
    <x v="26"/>
    <n v="67.8"/>
    <n v="309.01"/>
    <n v="156.41"/>
  </r>
  <r>
    <x v="9"/>
    <x v="26"/>
    <n v="67.8"/>
    <n v="308.39"/>
    <n v="159.08000000000001"/>
  </r>
  <r>
    <x v="10"/>
    <x v="26"/>
    <n v="67.8"/>
    <n v="300.45999999999998"/>
    <n v="125.42"/>
  </r>
  <r>
    <x v="11"/>
    <x v="26"/>
    <n v="67.8"/>
    <n v="645.38"/>
    <n v="-386.76"/>
  </r>
  <r>
    <x v="12"/>
    <x v="26"/>
    <n v="67.8"/>
    <n v="633.54999999999995"/>
    <n v="40.85"/>
  </r>
  <r>
    <x v="13"/>
    <x v="26"/>
    <n v="67.8"/>
    <n v="324.66000000000003"/>
    <n v="-20.190000000000001"/>
  </r>
  <r>
    <x v="14"/>
    <x v="26"/>
    <n v="67.8"/>
    <n v="315.38"/>
    <n v="-44.82"/>
  </r>
  <r>
    <x v="15"/>
    <x v="26"/>
    <n v="67.8"/>
    <n v="352.4"/>
    <n v="-30.71"/>
  </r>
  <r>
    <x v="16"/>
    <x v="26"/>
    <n v="67.8"/>
    <n v="300.06"/>
    <n v="-47.8"/>
  </r>
  <r>
    <x v="17"/>
    <x v="26"/>
    <n v="67.8"/>
    <n v="381.99"/>
    <n v="-9.44"/>
  </r>
  <r>
    <x v="18"/>
    <x v="26"/>
    <n v="67.8"/>
    <n v="360.27"/>
    <n v="-5.25"/>
  </r>
  <r>
    <x v="19"/>
    <x v="26"/>
    <n v="67.8"/>
    <n v="399.22"/>
    <n v="6.3"/>
  </r>
  <r>
    <x v="20"/>
    <x v="26"/>
    <n v="67.8"/>
    <n v="400.42"/>
    <n v="8.1"/>
  </r>
  <r>
    <x v="21"/>
    <x v="26"/>
    <n v="67.8"/>
    <n v="385.22"/>
    <n v="1.78"/>
  </r>
  <r>
    <x v="22"/>
    <x v="26"/>
    <n v="67.8"/>
    <n v="347.52"/>
    <n v="-19.760000000000002"/>
  </r>
  <r>
    <x v="23"/>
    <x v="26"/>
    <n v="67.8"/>
    <n v="344.22"/>
    <n v="-44.39"/>
  </r>
  <r>
    <x v="24"/>
    <x v="26"/>
    <n v="67.8"/>
    <n v="843.77"/>
    <n v="445.01"/>
  </r>
  <r>
    <x v="25"/>
    <x v="26"/>
    <n v="67.8"/>
    <n v="399.03"/>
    <n v="190.25"/>
  </r>
  <r>
    <x v="26"/>
    <x v="26"/>
    <n v="67.8"/>
    <n v="380.87"/>
    <n v="175.14"/>
  </r>
  <r>
    <x v="27"/>
    <x v="26"/>
    <n v="67.8"/>
    <n v="285.24"/>
    <n v="113.98"/>
  </r>
  <r>
    <x v="28"/>
    <x v="26"/>
    <n v="67.8"/>
    <n v="365.76"/>
    <n v="195.85"/>
  </r>
  <r>
    <x v="29"/>
    <x v="26"/>
    <n v="67.8"/>
    <n v="460.35"/>
    <n v="234.88"/>
  </r>
  <r>
    <x v="30"/>
    <x v="26"/>
    <n v="67.8"/>
    <n v="423.52"/>
    <n v="211.14"/>
  </r>
  <r>
    <x v="31"/>
    <x v="26"/>
    <n v="67.8"/>
    <n v="464.32"/>
    <n v="241.48"/>
  </r>
  <r>
    <x v="32"/>
    <x v="26"/>
    <n v="67.8"/>
    <n v="365.83"/>
    <n v="195.84"/>
  </r>
  <r>
    <x v="33"/>
    <x v="26"/>
    <n v="67.8"/>
    <n v="403.5"/>
    <n v="208.51"/>
  </r>
  <r>
    <x v="34"/>
    <x v="26"/>
    <n v="67.8"/>
    <n v="458.03"/>
    <n v="228.76"/>
  </r>
  <r>
    <x v="35"/>
    <x v="26"/>
    <n v="67.8"/>
    <n v="323.58"/>
    <n v="159.24"/>
  </r>
  <r>
    <x v="36"/>
    <x v="26"/>
    <n v="67.8"/>
    <n v="1053.44"/>
    <n v="558.27"/>
  </r>
  <r>
    <x v="37"/>
    <x v="26"/>
    <n v="67.8"/>
    <n v="430.9"/>
    <n v="217.37"/>
  </r>
  <r>
    <x v="38"/>
    <x v="26"/>
    <n v="67.8"/>
    <n v="493.49"/>
    <n v="229.13"/>
  </r>
  <r>
    <x v="39"/>
    <x v="26"/>
    <n v="67.8"/>
    <n v="400.03"/>
    <n v="0"/>
  </r>
  <r>
    <x v="40"/>
    <x v="26"/>
    <n v="67.8"/>
    <n v="521.11"/>
    <n v="0"/>
  </r>
  <r>
    <x v="41"/>
    <x v="26"/>
    <n v="67.8"/>
    <n v="482.95"/>
    <n v="213.05"/>
  </r>
  <r>
    <x v="42"/>
    <x v="26"/>
    <n v="67.8"/>
    <n v="484.72"/>
    <n v="0"/>
  </r>
  <r>
    <x v="43"/>
    <x v="26"/>
    <n v="67.8"/>
    <n v="564.09"/>
    <n v="0"/>
  </r>
  <r>
    <x v="44"/>
    <x v="26"/>
    <n v="67.8"/>
    <n v="546.83000000000004"/>
    <n v="0"/>
  </r>
  <r>
    <x v="45"/>
    <x v="26"/>
    <n v="67.8"/>
    <n v="538.32000000000005"/>
    <n v="0"/>
  </r>
  <r>
    <x v="46"/>
    <x v="26"/>
    <n v="67.8"/>
    <n v="456.35"/>
    <n v="0"/>
  </r>
  <r>
    <x v="47"/>
    <x v="26"/>
    <n v="67.8"/>
    <n v="374.68"/>
    <n v="209.45"/>
  </r>
  <r>
    <x v="48"/>
    <x v="26"/>
    <n v="67.8"/>
    <n v="1110.68"/>
    <n v="607.73"/>
  </r>
  <r>
    <x v="49"/>
    <x v="26"/>
    <n v="67.8"/>
    <n v="451.48"/>
    <n v="208.62"/>
  </r>
  <r>
    <x v="50"/>
    <x v="26"/>
    <n v="67.8"/>
    <n v="399.39"/>
    <n v="183.69"/>
  </r>
  <r>
    <x v="51"/>
    <x v="26"/>
    <n v="67.8"/>
    <n v="386.77"/>
    <n v="184.75"/>
  </r>
  <r>
    <x v="52"/>
    <x v="26"/>
    <n v="67.8"/>
    <n v="417.06"/>
    <n v="214.65"/>
  </r>
  <r>
    <x v="53"/>
    <x v="26"/>
    <n v="67.8"/>
    <n v="495.71"/>
    <n v="0"/>
  </r>
  <r>
    <x v="54"/>
    <x v="26"/>
    <n v="67.8"/>
    <n v="388.12"/>
    <n v="0"/>
  </r>
  <r>
    <x v="55"/>
    <x v="26"/>
    <n v="67.8"/>
    <n v="522.95000000000005"/>
    <n v="0"/>
  </r>
  <r>
    <x v="56"/>
    <x v="26"/>
    <n v="67.8"/>
    <n v="466.37"/>
    <n v="0"/>
  </r>
  <r>
    <x v="57"/>
    <x v="26"/>
    <n v="67.8"/>
    <n v="499.84"/>
    <n v="0"/>
  </r>
  <r>
    <x v="58"/>
    <x v="26"/>
    <n v="67.8"/>
    <n v="501.2"/>
    <n v="0"/>
  </r>
  <r>
    <x v="59"/>
    <x v="26"/>
    <n v="67.8"/>
    <n v="391.68"/>
    <n v="221.67"/>
  </r>
  <r>
    <x v="60"/>
    <x v="26"/>
    <n v="67.8"/>
    <n v="930.17"/>
    <n v="493.23"/>
  </r>
  <r>
    <x v="61"/>
    <x v="26"/>
    <n v="67.8"/>
    <n v="461.37"/>
    <n v="218.13"/>
  </r>
  <r>
    <x v="62"/>
    <x v="26"/>
    <n v="67.8"/>
    <n v="437.89"/>
    <n v="207.03"/>
  </r>
  <r>
    <x v="63"/>
    <x v="26"/>
    <n v="67.8"/>
    <n v="417.8"/>
    <n v="204.75"/>
  </r>
  <r>
    <x v="64"/>
    <x v="26"/>
    <n v="67.8"/>
    <n v="541.88"/>
    <n v="0"/>
  </r>
  <r>
    <x v="65"/>
    <x v="26"/>
    <n v="67.8"/>
    <n v="522.29"/>
    <n v="0"/>
  </r>
  <r>
    <x v="66"/>
    <x v="26"/>
    <n v="67.8"/>
    <n v="482.3"/>
    <n v="0"/>
  </r>
  <r>
    <x v="67"/>
    <x v="26"/>
    <n v="67.8"/>
    <n v="593.05999999999995"/>
    <n v="0"/>
  </r>
  <r>
    <x v="68"/>
    <x v="26"/>
    <n v="67.8"/>
    <n v="444.1"/>
    <n v="0"/>
  </r>
  <r>
    <x v="69"/>
    <x v="26"/>
    <n v="67.8"/>
    <n v="505.81"/>
    <n v="298.58999999999997"/>
  </r>
  <r>
    <x v="70"/>
    <x v="26"/>
    <n v="67.8"/>
    <n v="592.14"/>
    <n v="327.7"/>
  </r>
  <r>
    <x v="71"/>
    <x v="26"/>
    <n v="67.8"/>
    <n v="477.59"/>
    <n v="284.35000000000002"/>
  </r>
  <r>
    <x v="72"/>
    <x v="26"/>
    <n v="67.8"/>
    <n v="0"/>
    <n v="0"/>
  </r>
  <r>
    <x v="73"/>
    <x v="26"/>
    <n v="67.8"/>
    <n v="0"/>
    <n v="0"/>
  </r>
  <r>
    <x v="74"/>
    <x v="26"/>
    <n v="67.8"/>
    <n v="0"/>
    <n v="0"/>
  </r>
  <r>
    <x v="75"/>
    <x v="26"/>
    <n v="67.8"/>
    <n v="0"/>
    <n v="0"/>
  </r>
  <r>
    <x v="76"/>
    <x v="26"/>
    <n v="67.8"/>
    <n v="0"/>
    <n v="0"/>
  </r>
  <r>
    <x v="77"/>
    <x v="26"/>
    <n v="67.8"/>
    <n v="0"/>
    <n v="0"/>
  </r>
  <r>
    <x v="78"/>
    <x v="26"/>
    <n v="67.8"/>
    <n v="0"/>
    <n v="0"/>
  </r>
  <r>
    <x v="79"/>
    <x v="26"/>
    <n v="67.8"/>
    <n v="0"/>
    <n v="0"/>
  </r>
  <r>
    <x v="80"/>
    <x v="26"/>
    <n v="67.8"/>
    <n v="0"/>
    <n v="0"/>
  </r>
  <r>
    <x v="81"/>
    <x v="26"/>
    <n v="67.8"/>
    <n v="0"/>
    <n v="0"/>
  </r>
  <r>
    <x v="82"/>
    <x v="26"/>
    <n v="67.8"/>
    <n v="0"/>
    <n v="0"/>
  </r>
  <r>
    <x v="83"/>
    <x v="26"/>
    <n v="67.8"/>
    <n v="0"/>
    <n v="0"/>
  </r>
  <r>
    <x v="84"/>
    <x v="26"/>
    <n v="67.8"/>
    <n v="0"/>
    <n v="0"/>
  </r>
  <r>
    <x v="85"/>
    <x v="26"/>
    <n v="67.8"/>
    <n v="0"/>
    <n v="0"/>
  </r>
  <r>
    <x v="86"/>
    <x v="26"/>
    <n v="67.8"/>
    <n v="0"/>
    <n v="0"/>
  </r>
  <r>
    <x v="87"/>
    <x v="26"/>
    <n v="67.8"/>
    <n v="0"/>
    <n v="0"/>
  </r>
  <r>
    <x v="88"/>
    <x v="26"/>
    <n v="67.8"/>
    <n v="0"/>
    <n v="0"/>
  </r>
  <r>
    <x v="89"/>
    <x v="26"/>
    <n v="67.8"/>
    <n v="0"/>
    <n v="0"/>
  </r>
  <r>
    <x v="90"/>
    <x v="26"/>
    <n v="67.8"/>
    <n v="0"/>
    <n v="0"/>
  </r>
  <r>
    <x v="91"/>
    <x v="26"/>
    <n v="67.8"/>
    <n v="0"/>
    <n v="0"/>
  </r>
  <r>
    <x v="92"/>
    <x v="26"/>
    <n v="67.8"/>
    <n v="0"/>
    <n v="0"/>
  </r>
  <r>
    <x v="93"/>
    <x v="26"/>
    <n v="67.8"/>
    <n v="0"/>
    <n v="0"/>
  </r>
  <r>
    <x v="94"/>
    <x v="26"/>
    <n v="67.8"/>
    <n v="0"/>
    <n v="0"/>
  </r>
  <r>
    <x v="95"/>
    <x v="26"/>
    <n v="67.8"/>
    <n v="0"/>
    <n v="0"/>
  </r>
  <r>
    <x v="0"/>
    <x v="27"/>
    <n v="68.099999999999994"/>
    <n v="719.11"/>
    <n v="367.92"/>
  </r>
  <r>
    <x v="1"/>
    <x v="27"/>
    <n v="68.099999999999994"/>
    <n v="375.25"/>
    <n v="172.54"/>
  </r>
  <r>
    <x v="2"/>
    <x v="27"/>
    <n v="68.099999999999994"/>
    <n v="374.11"/>
    <n v="182.14"/>
  </r>
  <r>
    <x v="3"/>
    <x v="27"/>
    <n v="68.099999999999994"/>
    <n v="343.89"/>
    <n v="187.25"/>
  </r>
  <r>
    <x v="4"/>
    <x v="27"/>
    <n v="68.099999999999994"/>
    <n v="350.82"/>
    <n v="179.6"/>
  </r>
  <r>
    <x v="5"/>
    <x v="27"/>
    <n v="68.099999999999994"/>
    <n v="360.35"/>
    <n v="173.12"/>
  </r>
  <r>
    <x v="6"/>
    <x v="27"/>
    <n v="68.099999999999994"/>
    <n v="297.32"/>
    <n v="137.44"/>
  </r>
  <r>
    <x v="7"/>
    <x v="27"/>
    <n v="68.099999999999994"/>
    <n v="395.19"/>
    <n v="203.11"/>
  </r>
  <r>
    <x v="8"/>
    <x v="27"/>
    <n v="68.099999999999994"/>
    <n v="319.3"/>
    <n v="170.91"/>
  </r>
  <r>
    <x v="9"/>
    <x v="27"/>
    <n v="68.099999999999994"/>
    <n v="318.3"/>
    <n v="172.29"/>
  </r>
  <r>
    <x v="10"/>
    <x v="27"/>
    <n v="68.099999999999994"/>
    <n v="310.83999999999997"/>
    <n v="140.19999999999999"/>
  </r>
  <r>
    <x v="11"/>
    <x v="27"/>
    <n v="68.099999999999994"/>
    <n v="645.32000000000005"/>
    <n v="-409.58"/>
  </r>
  <r>
    <x v="12"/>
    <x v="27"/>
    <n v="68.099999999999994"/>
    <n v="656.16"/>
    <n v="43.29"/>
  </r>
  <r>
    <x v="13"/>
    <x v="27"/>
    <n v="68.099999999999994"/>
    <n v="356.99"/>
    <n v="-12.95"/>
  </r>
  <r>
    <x v="14"/>
    <x v="27"/>
    <n v="68.099999999999994"/>
    <n v="343.4"/>
    <n v="-38.89"/>
  </r>
  <r>
    <x v="15"/>
    <x v="27"/>
    <n v="68.099999999999994"/>
    <n v="375.79"/>
    <n v="-27.75"/>
  </r>
  <r>
    <x v="16"/>
    <x v="27"/>
    <n v="68.099999999999994"/>
    <n v="328.6"/>
    <n v="-41.05"/>
  </r>
  <r>
    <x v="17"/>
    <x v="27"/>
    <n v="68.099999999999994"/>
    <n v="407.18"/>
    <n v="-4.9800000000000004"/>
  </r>
  <r>
    <x v="18"/>
    <x v="27"/>
    <n v="68.099999999999994"/>
    <n v="383.45"/>
    <n v="-1.24"/>
  </r>
  <r>
    <x v="19"/>
    <x v="27"/>
    <n v="68.099999999999994"/>
    <n v="419.73"/>
    <n v="9.01"/>
  </r>
  <r>
    <x v="20"/>
    <x v="27"/>
    <n v="68.099999999999994"/>
    <n v="423.38"/>
    <n v="10.71"/>
  </r>
  <r>
    <x v="21"/>
    <x v="27"/>
    <n v="68.099999999999994"/>
    <n v="409.47"/>
    <n v="4.5999999999999996"/>
  </r>
  <r>
    <x v="22"/>
    <x v="27"/>
    <n v="68.099999999999994"/>
    <n v="371.34"/>
    <n v="-14.87"/>
  </r>
  <r>
    <x v="23"/>
    <x v="27"/>
    <n v="68.099999999999994"/>
    <n v="376.87"/>
    <n v="-39.49"/>
  </r>
  <r>
    <x v="24"/>
    <x v="27"/>
    <n v="68.099999999999994"/>
    <n v="854.95"/>
    <n v="444.03"/>
  </r>
  <r>
    <x v="25"/>
    <x v="27"/>
    <n v="68.099999999999994"/>
    <n v="409.86"/>
    <n v="197.84"/>
  </r>
  <r>
    <x v="26"/>
    <x v="27"/>
    <n v="68.099999999999994"/>
    <n v="390.2"/>
    <n v="179.7"/>
  </r>
  <r>
    <x v="27"/>
    <x v="27"/>
    <n v="68.099999999999994"/>
    <n v="295.20999999999998"/>
    <n v="117.23"/>
  </r>
  <r>
    <x v="28"/>
    <x v="27"/>
    <n v="68.099999999999994"/>
    <n v="375.08"/>
    <n v="200.93"/>
  </r>
  <r>
    <x v="29"/>
    <x v="27"/>
    <n v="68.099999999999994"/>
    <n v="469.71"/>
    <n v="237.66"/>
  </r>
  <r>
    <x v="30"/>
    <x v="27"/>
    <n v="68.099999999999994"/>
    <n v="433.01"/>
    <n v="214.87"/>
  </r>
  <r>
    <x v="31"/>
    <x v="27"/>
    <n v="68.099999999999994"/>
    <n v="473.59"/>
    <n v="244.73"/>
  </r>
  <r>
    <x v="32"/>
    <x v="27"/>
    <n v="68.099999999999994"/>
    <n v="373.78"/>
    <n v="199.03"/>
  </r>
  <r>
    <x v="33"/>
    <x v="27"/>
    <n v="68.099999999999994"/>
    <n v="412.86"/>
    <n v="212.48"/>
  </r>
  <r>
    <x v="34"/>
    <x v="27"/>
    <n v="68.099999999999994"/>
    <n v="468.58"/>
    <n v="233.39"/>
  </r>
  <r>
    <x v="35"/>
    <x v="27"/>
    <n v="68.099999999999994"/>
    <n v="334.2"/>
    <n v="170.06"/>
  </r>
  <r>
    <x v="36"/>
    <x v="27"/>
    <n v="68.099999999999994"/>
    <n v="1061.78"/>
    <n v="556.91"/>
  </r>
  <r>
    <x v="37"/>
    <x v="27"/>
    <n v="68.099999999999994"/>
    <n v="440.35"/>
    <n v="226.2"/>
  </r>
  <r>
    <x v="38"/>
    <x v="27"/>
    <n v="68.099999999999994"/>
    <n v="504.13"/>
    <n v="242.97"/>
  </r>
  <r>
    <x v="39"/>
    <x v="27"/>
    <n v="68.099999999999994"/>
    <n v="407.74"/>
    <n v="0"/>
  </r>
  <r>
    <x v="40"/>
    <x v="27"/>
    <n v="68.099999999999994"/>
    <n v="529.05999999999995"/>
    <n v="0"/>
  </r>
  <r>
    <x v="41"/>
    <x v="27"/>
    <n v="68.099999999999994"/>
    <n v="491.73"/>
    <n v="221.4"/>
  </r>
  <r>
    <x v="42"/>
    <x v="27"/>
    <n v="68.099999999999994"/>
    <n v="492.24"/>
    <n v="0"/>
  </r>
  <r>
    <x v="43"/>
    <x v="27"/>
    <n v="68.099999999999994"/>
    <n v="570.86"/>
    <n v="0"/>
  </r>
  <r>
    <x v="44"/>
    <x v="27"/>
    <n v="68.099999999999994"/>
    <n v="554.1"/>
    <n v="0"/>
  </r>
  <r>
    <x v="45"/>
    <x v="27"/>
    <n v="68.099999999999994"/>
    <n v="546.51"/>
    <n v="0"/>
  </r>
  <r>
    <x v="46"/>
    <x v="27"/>
    <n v="68.099999999999994"/>
    <n v="465.11"/>
    <n v="0"/>
  </r>
  <r>
    <x v="47"/>
    <x v="27"/>
    <n v="68.099999999999994"/>
    <n v="386.43"/>
    <n v="227.87"/>
  </r>
  <r>
    <x v="48"/>
    <x v="27"/>
    <n v="68.099999999999994"/>
    <n v="1120.01"/>
    <n v="607.25"/>
  </r>
  <r>
    <x v="49"/>
    <x v="27"/>
    <n v="68.099999999999994"/>
    <n v="461.88"/>
    <n v="218.22"/>
  </r>
  <r>
    <x v="50"/>
    <x v="27"/>
    <n v="68.099999999999994"/>
    <n v="410.11"/>
    <n v="192.31"/>
  </r>
  <r>
    <x v="51"/>
    <x v="27"/>
    <n v="68.099999999999994"/>
    <n v="397.04"/>
    <n v="194.51"/>
  </r>
  <r>
    <x v="52"/>
    <x v="27"/>
    <n v="68.099999999999994"/>
    <n v="425.62"/>
    <n v="221.1"/>
  </r>
  <r>
    <x v="53"/>
    <x v="27"/>
    <n v="68.099999999999994"/>
    <n v="504.55"/>
    <n v="0"/>
  </r>
  <r>
    <x v="54"/>
    <x v="27"/>
    <n v="68.099999999999994"/>
    <n v="395.46"/>
    <n v="0"/>
  </r>
  <r>
    <x v="55"/>
    <x v="27"/>
    <n v="68.099999999999994"/>
    <n v="531.74"/>
    <n v="0"/>
  </r>
  <r>
    <x v="56"/>
    <x v="27"/>
    <n v="68.099999999999994"/>
    <n v="474.86"/>
    <n v="0"/>
  </r>
  <r>
    <x v="57"/>
    <x v="27"/>
    <n v="68.099999999999994"/>
    <n v="508.54"/>
    <n v="0"/>
  </r>
  <r>
    <x v="58"/>
    <x v="27"/>
    <n v="68.099999999999994"/>
    <n v="511.81"/>
    <n v="0"/>
  </r>
  <r>
    <x v="59"/>
    <x v="27"/>
    <n v="68.099999999999994"/>
    <n v="402.54"/>
    <n v="228.34"/>
  </r>
  <r>
    <x v="60"/>
    <x v="27"/>
    <n v="68.099999999999994"/>
    <n v="937.87"/>
    <n v="493.29"/>
  </r>
  <r>
    <x v="61"/>
    <x v="27"/>
    <n v="68.099999999999994"/>
    <n v="471.88"/>
    <n v="230.18"/>
  </r>
  <r>
    <x v="62"/>
    <x v="27"/>
    <n v="68.099999999999994"/>
    <n v="447.51"/>
    <n v="214.02"/>
  </r>
  <r>
    <x v="63"/>
    <x v="27"/>
    <n v="68.099999999999994"/>
    <n v="427.04"/>
    <n v="212.45"/>
  </r>
  <r>
    <x v="64"/>
    <x v="27"/>
    <n v="68.099999999999994"/>
    <n v="551.44000000000005"/>
    <n v="0"/>
  </r>
  <r>
    <x v="65"/>
    <x v="27"/>
    <n v="68.099999999999994"/>
    <n v="532.72"/>
    <n v="0"/>
  </r>
  <r>
    <x v="66"/>
    <x v="27"/>
    <n v="68.099999999999994"/>
    <n v="490.96"/>
    <n v="0"/>
  </r>
  <r>
    <x v="67"/>
    <x v="27"/>
    <n v="68.099999999999994"/>
    <n v="601.77"/>
    <n v="0"/>
  </r>
  <r>
    <x v="68"/>
    <x v="27"/>
    <n v="68.099999999999994"/>
    <n v="449.34"/>
    <n v="0"/>
  </r>
  <r>
    <x v="69"/>
    <x v="27"/>
    <n v="68.099999999999994"/>
    <n v="519.5"/>
    <n v="315"/>
  </r>
  <r>
    <x v="70"/>
    <x v="27"/>
    <n v="68.099999999999994"/>
    <n v="605.04"/>
    <n v="339.81"/>
  </r>
  <r>
    <x v="71"/>
    <x v="27"/>
    <n v="68.099999999999994"/>
    <n v="494.5"/>
    <n v="306.49"/>
  </r>
  <r>
    <x v="72"/>
    <x v="27"/>
    <n v="68.099999999999994"/>
    <n v="0"/>
    <n v="0"/>
  </r>
  <r>
    <x v="73"/>
    <x v="27"/>
    <n v="68.099999999999994"/>
    <n v="0"/>
    <n v="0"/>
  </r>
  <r>
    <x v="74"/>
    <x v="27"/>
    <n v="68.099999999999994"/>
    <n v="0"/>
    <n v="0"/>
  </r>
  <r>
    <x v="75"/>
    <x v="27"/>
    <n v="68.099999999999994"/>
    <n v="0"/>
    <n v="0"/>
  </r>
  <r>
    <x v="76"/>
    <x v="27"/>
    <n v="68.099999999999994"/>
    <n v="0"/>
    <n v="0"/>
  </r>
  <r>
    <x v="77"/>
    <x v="27"/>
    <n v="68.099999999999994"/>
    <n v="0"/>
    <n v="0"/>
  </r>
  <r>
    <x v="78"/>
    <x v="27"/>
    <n v="68.099999999999994"/>
    <n v="0"/>
    <n v="0"/>
  </r>
  <r>
    <x v="79"/>
    <x v="27"/>
    <n v="68.099999999999994"/>
    <n v="0"/>
    <n v="0"/>
  </r>
  <r>
    <x v="80"/>
    <x v="27"/>
    <n v="68.099999999999994"/>
    <n v="0"/>
    <n v="0"/>
  </r>
  <r>
    <x v="81"/>
    <x v="27"/>
    <n v="68.099999999999994"/>
    <n v="0"/>
    <n v="0"/>
  </r>
  <r>
    <x v="82"/>
    <x v="27"/>
    <n v="68.099999999999994"/>
    <n v="0"/>
    <n v="0"/>
  </r>
  <r>
    <x v="83"/>
    <x v="27"/>
    <n v="68.099999999999994"/>
    <n v="0"/>
    <n v="0"/>
  </r>
  <r>
    <x v="84"/>
    <x v="27"/>
    <n v="68.099999999999994"/>
    <n v="0"/>
    <n v="0"/>
  </r>
  <r>
    <x v="85"/>
    <x v="27"/>
    <n v="68.099999999999994"/>
    <n v="0"/>
    <n v="0"/>
  </r>
  <r>
    <x v="86"/>
    <x v="27"/>
    <n v="68.099999999999994"/>
    <n v="0"/>
    <n v="0"/>
  </r>
  <r>
    <x v="87"/>
    <x v="27"/>
    <n v="68.099999999999994"/>
    <n v="0"/>
    <n v="0"/>
  </r>
  <r>
    <x v="88"/>
    <x v="27"/>
    <n v="68.099999999999994"/>
    <n v="0"/>
    <n v="0"/>
  </r>
  <r>
    <x v="89"/>
    <x v="27"/>
    <n v="68.099999999999994"/>
    <n v="0"/>
    <n v="0"/>
  </r>
  <r>
    <x v="90"/>
    <x v="27"/>
    <n v="68.099999999999994"/>
    <n v="0"/>
    <n v="0"/>
  </r>
  <r>
    <x v="91"/>
    <x v="27"/>
    <n v="68.099999999999994"/>
    <n v="0"/>
    <n v="0"/>
  </r>
  <r>
    <x v="92"/>
    <x v="27"/>
    <n v="68.099999999999994"/>
    <n v="0"/>
    <n v="0"/>
  </r>
  <r>
    <x v="93"/>
    <x v="27"/>
    <n v="68.099999999999994"/>
    <n v="0"/>
    <n v="0"/>
  </r>
  <r>
    <x v="94"/>
    <x v="27"/>
    <n v="68.099999999999994"/>
    <n v="0"/>
    <n v="0"/>
  </r>
  <r>
    <x v="95"/>
    <x v="27"/>
    <n v="68.099999999999994"/>
    <n v="0"/>
    <n v="0"/>
  </r>
  <r>
    <x v="0"/>
    <x v="28"/>
    <n v="68.400000000000006"/>
    <n v="726.65"/>
    <n v="373.03"/>
  </r>
  <r>
    <x v="1"/>
    <x v="28"/>
    <n v="68.400000000000006"/>
    <n v="384.87"/>
    <n v="185.44"/>
  </r>
  <r>
    <x v="2"/>
    <x v="28"/>
    <n v="68.400000000000006"/>
    <n v="383.5"/>
    <n v="195.05"/>
  </r>
  <r>
    <x v="3"/>
    <x v="28"/>
    <n v="68.400000000000006"/>
    <n v="354.2"/>
    <n v="200.86"/>
  </r>
  <r>
    <x v="4"/>
    <x v="28"/>
    <n v="68.400000000000006"/>
    <n v="360.14"/>
    <n v="192.36"/>
  </r>
  <r>
    <x v="5"/>
    <x v="28"/>
    <n v="68.400000000000006"/>
    <n v="370.04"/>
    <n v="186.66"/>
  </r>
  <r>
    <x v="6"/>
    <x v="28"/>
    <n v="68.400000000000006"/>
    <n v="308.02999999999997"/>
    <n v="152.82"/>
  </r>
  <r>
    <x v="7"/>
    <x v="28"/>
    <n v="68.400000000000006"/>
    <n v="404.39"/>
    <n v="215.18"/>
  </r>
  <r>
    <x v="8"/>
    <x v="28"/>
    <n v="68.400000000000006"/>
    <n v="329.91"/>
    <n v="185.46"/>
  </r>
  <r>
    <x v="9"/>
    <x v="28"/>
    <n v="68.400000000000006"/>
    <n v="328.49"/>
    <n v="185.28"/>
  </r>
  <r>
    <x v="10"/>
    <x v="28"/>
    <n v="68.400000000000006"/>
    <n v="321.57"/>
    <n v="155.68"/>
  </r>
  <r>
    <x v="11"/>
    <x v="28"/>
    <n v="68.400000000000006"/>
    <n v="644.84"/>
    <n v="-433.83"/>
  </r>
  <r>
    <x v="12"/>
    <x v="28"/>
    <n v="68.400000000000006"/>
    <n v="681.54"/>
    <n v="45.72"/>
  </r>
  <r>
    <x v="13"/>
    <x v="28"/>
    <n v="68.400000000000006"/>
    <n v="391.55"/>
    <n v="-5.63"/>
  </r>
  <r>
    <x v="14"/>
    <x v="28"/>
    <n v="68.400000000000006"/>
    <n v="376.68"/>
    <n v="-31.53"/>
  </r>
  <r>
    <x v="15"/>
    <x v="28"/>
    <n v="68.400000000000006"/>
    <n v="401.38"/>
    <n v="-24.92"/>
  </r>
  <r>
    <x v="16"/>
    <x v="28"/>
    <n v="68.400000000000006"/>
    <n v="361.85"/>
    <n v="-33.44"/>
  </r>
  <r>
    <x v="17"/>
    <x v="28"/>
    <n v="68.400000000000006"/>
    <n v="434.84"/>
    <n v="-0.3"/>
  </r>
  <r>
    <x v="18"/>
    <x v="28"/>
    <n v="68.400000000000006"/>
    <n v="408.93"/>
    <n v="2.98"/>
  </r>
  <r>
    <x v="19"/>
    <x v="28"/>
    <n v="68.400000000000006"/>
    <n v="442.66"/>
    <n v="11.88"/>
  </r>
  <r>
    <x v="20"/>
    <x v="28"/>
    <n v="68.400000000000006"/>
    <n v="448.42"/>
    <n v="13.47"/>
  </r>
  <r>
    <x v="21"/>
    <x v="28"/>
    <n v="68.400000000000006"/>
    <n v="435.72"/>
    <n v="7.53"/>
  </r>
  <r>
    <x v="22"/>
    <x v="28"/>
    <n v="68.400000000000006"/>
    <n v="397.36"/>
    <n v="-9.7899999999999991"/>
  </r>
  <r>
    <x v="23"/>
    <x v="28"/>
    <n v="68.400000000000006"/>
    <n v="411.02"/>
    <n v="-34.590000000000003"/>
  </r>
  <r>
    <x v="24"/>
    <x v="28"/>
    <n v="68.400000000000006"/>
    <n v="866.11"/>
    <n v="443.71"/>
  </r>
  <r>
    <x v="25"/>
    <x v="28"/>
    <n v="68.400000000000006"/>
    <n v="421.02"/>
    <n v="206.56"/>
  </r>
  <r>
    <x v="26"/>
    <x v="28"/>
    <n v="68.400000000000006"/>
    <n v="399.79"/>
    <n v="185.3"/>
  </r>
  <r>
    <x v="27"/>
    <x v="28"/>
    <n v="68.400000000000006"/>
    <n v="305.63"/>
    <n v="121.32"/>
  </r>
  <r>
    <x v="28"/>
    <x v="28"/>
    <n v="68.400000000000006"/>
    <n v="384.63"/>
    <n v="206.31"/>
  </r>
  <r>
    <x v="29"/>
    <x v="28"/>
    <n v="68.400000000000006"/>
    <n v="479.24"/>
    <n v="241.17"/>
  </r>
  <r>
    <x v="30"/>
    <x v="28"/>
    <n v="68.400000000000006"/>
    <n v="442.72"/>
    <n v="219.42"/>
  </r>
  <r>
    <x v="31"/>
    <x v="28"/>
    <n v="68.400000000000006"/>
    <n v="483.02"/>
    <n v="248.73"/>
  </r>
  <r>
    <x v="32"/>
    <x v="28"/>
    <n v="68.400000000000006"/>
    <n v="381.91"/>
    <n v="202.87"/>
  </r>
  <r>
    <x v="33"/>
    <x v="28"/>
    <n v="68.400000000000006"/>
    <n v="422.43"/>
    <n v="217.02"/>
  </r>
  <r>
    <x v="34"/>
    <x v="28"/>
    <n v="68.400000000000006"/>
    <n v="479.35"/>
    <n v="238.63"/>
  </r>
  <r>
    <x v="35"/>
    <x v="28"/>
    <n v="68.400000000000006"/>
    <n v="345.18"/>
    <n v="182.2"/>
  </r>
  <r>
    <x v="36"/>
    <x v="28"/>
    <n v="68.400000000000006"/>
    <n v="1069.99"/>
    <n v="555.85"/>
  </r>
  <r>
    <x v="37"/>
    <x v="28"/>
    <n v="68.400000000000006"/>
    <n v="450.11"/>
    <n v="235.99"/>
  </r>
  <r>
    <x v="38"/>
    <x v="28"/>
    <n v="68.400000000000006"/>
    <n v="515.21"/>
    <n v="259.32"/>
  </r>
  <r>
    <x v="39"/>
    <x v="28"/>
    <n v="68.400000000000006"/>
    <n v="415.68"/>
    <n v="0"/>
  </r>
  <r>
    <x v="40"/>
    <x v="28"/>
    <n v="68.400000000000006"/>
    <n v="537.17999999999995"/>
    <n v="0"/>
  </r>
  <r>
    <x v="41"/>
    <x v="28"/>
    <n v="68.400000000000006"/>
    <n v="500.89"/>
    <n v="232.86"/>
  </r>
  <r>
    <x v="42"/>
    <x v="28"/>
    <n v="68.400000000000006"/>
    <n v="499.96"/>
    <n v="0"/>
  </r>
  <r>
    <x v="43"/>
    <x v="28"/>
    <n v="68.400000000000006"/>
    <n v="577.71"/>
    <n v="0"/>
  </r>
  <r>
    <x v="44"/>
    <x v="28"/>
    <n v="68.400000000000006"/>
    <n v="561.46"/>
    <n v="0"/>
  </r>
  <r>
    <x v="45"/>
    <x v="28"/>
    <n v="68.400000000000006"/>
    <n v="554.85"/>
    <n v="0"/>
  </r>
  <r>
    <x v="46"/>
    <x v="28"/>
    <n v="68.400000000000006"/>
    <n v="474.1"/>
    <n v="0"/>
  </r>
  <r>
    <x v="47"/>
    <x v="28"/>
    <n v="68.400000000000006"/>
    <n v="398.58"/>
    <n v="246.4"/>
  </r>
  <r>
    <x v="48"/>
    <x v="28"/>
    <n v="68.400000000000006"/>
    <n v="1129.23"/>
    <n v="607.02"/>
  </r>
  <r>
    <x v="49"/>
    <x v="28"/>
    <n v="68.400000000000006"/>
    <n v="472.65"/>
    <n v="229.07"/>
  </r>
  <r>
    <x v="50"/>
    <x v="28"/>
    <n v="68.400000000000006"/>
    <n v="421.34"/>
    <n v="202.43"/>
  </r>
  <r>
    <x v="51"/>
    <x v="28"/>
    <n v="68.400000000000006"/>
    <n v="407.77"/>
    <n v="205.73"/>
  </r>
  <r>
    <x v="52"/>
    <x v="28"/>
    <n v="68.400000000000006"/>
    <n v="434.51"/>
    <n v="228.78"/>
  </r>
  <r>
    <x v="53"/>
    <x v="28"/>
    <n v="68.400000000000006"/>
    <n v="513.62"/>
    <n v="0"/>
  </r>
  <r>
    <x v="54"/>
    <x v="28"/>
    <n v="68.400000000000006"/>
    <n v="403.05"/>
    <n v="0"/>
  </r>
  <r>
    <x v="55"/>
    <x v="28"/>
    <n v="68.400000000000006"/>
    <n v="540.75"/>
    <n v="0"/>
  </r>
  <r>
    <x v="56"/>
    <x v="28"/>
    <n v="68.400000000000006"/>
    <n v="483.55"/>
    <n v="0"/>
  </r>
  <r>
    <x v="57"/>
    <x v="28"/>
    <n v="68.400000000000006"/>
    <n v="517.42999999999995"/>
    <n v="0"/>
  </r>
  <r>
    <x v="58"/>
    <x v="28"/>
    <n v="68.400000000000006"/>
    <n v="522.67999999999995"/>
    <n v="0"/>
  </r>
  <r>
    <x v="59"/>
    <x v="28"/>
    <n v="68.400000000000006"/>
    <n v="413.83"/>
    <n v="235.51"/>
  </r>
  <r>
    <x v="60"/>
    <x v="28"/>
    <n v="68.400000000000006"/>
    <n v="945.53"/>
    <n v="493.72"/>
  </r>
  <r>
    <x v="61"/>
    <x v="28"/>
    <n v="68.400000000000006"/>
    <n v="482.75"/>
    <n v="243.41"/>
  </r>
  <r>
    <x v="62"/>
    <x v="28"/>
    <n v="68.400000000000006"/>
    <n v="457.57"/>
    <n v="222.35"/>
  </r>
  <r>
    <x v="63"/>
    <x v="28"/>
    <n v="68.400000000000006"/>
    <n v="436.66"/>
    <n v="221.46"/>
  </r>
  <r>
    <x v="64"/>
    <x v="28"/>
    <n v="68.400000000000006"/>
    <n v="561.29"/>
    <n v="0"/>
  </r>
  <r>
    <x v="65"/>
    <x v="28"/>
    <n v="68.400000000000006"/>
    <n v="543.5"/>
    <n v="0"/>
  </r>
  <r>
    <x v="66"/>
    <x v="28"/>
    <n v="68.400000000000006"/>
    <n v="499.85"/>
    <n v="0"/>
  </r>
  <r>
    <x v="67"/>
    <x v="28"/>
    <n v="68.400000000000006"/>
    <n v="610.72"/>
    <n v="0"/>
  </r>
  <r>
    <x v="68"/>
    <x v="28"/>
    <n v="68.400000000000006"/>
    <n v="454.59"/>
    <n v="0"/>
  </r>
  <r>
    <x v="69"/>
    <x v="28"/>
    <n v="68.400000000000006"/>
    <n v="533.52"/>
    <n v="331.56"/>
  </r>
  <r>
    <x v="70"/>
    <x v="28"/>
    <n v="68.400000000000006"/>
    <n v="618.30999999999995"/>
    <n v="352.4"/>
  </r>
  <r>
    <x v="71"/>
    <x v="28"/>
    <n v="68.400000000000006"/>
    <n v="511.98"/>
    <n v="328.39"/>
  </r>
  <r>
    <x v="72"/>
    <x v="28"/>
    <n v="68.400000000000006"/>
    <n v="0"/>
    <n v="0"/>
  </r>
  <r>
    <x v="73"/>
    <x v="28"/>
    <n v="68.400000000000006"/>
    <n v="0"/>
    <n v="0"/>
  </r>
  <r>
    <x v="74"/>
    <x v="28"/>
    <n v="68.400000000000006"/>
    <n v="0"/>
    <n v="0"/>
  </r>
  <r>
    <x v="75"/>
    <x v="28"/>
    <n v="68.400000000000006"/>
    <n v="0"/>
    <n v="0"/>
  </r>
  <r>
    <x v="76"/>
    <x v="28"/>
    <n v="68.400000000000006"/>
    <n v="0"/>
    <n v="0"/>
  </r>
  <r>
    <x v="77"/>
    <x v="28"/>
    <n v="68.400000000000006"/>
    <n v="0"/>
    <n v="0"/>
  </r>
  <r>
    <x v="78"/>
    <x v="28"/>
    <n v="68.400000000000006"/>
    <n v="0"/>
    <n v="0"/>
  </r>
  <r>
    <x v="79"/>
    <x v="28"/>
    <n v="68.400000000000006"/>
    <n v="0"/>
    <n v="0"/>
  </r>
  <r>
    <x v="80"/>
    <x v="28"/>
    <n v="68.400000000000006"/>
    <n v="0"/>
    <n v="0"/>
  </r>
  <r>
    <x v="81"/>
    <x v="28"/>
    <n v="68.400000000000006"/>
    <n v="0"/>
    <n v="0"/>
  </r>
  <r>
    <x v="82"/>
    <x v="28"/>
    <n v="68.400000000000006"/>
    <n v="0"/>
    <n v="0"/>
  </r>
  <r>
    <x v="83"/>
    <x v="28"/>
    <n v="68.400000000000006"/>
    <n v="0"/>
    <n v="0"/>
  </r>
  <r>
    <x v="84"/>
    <x v="28"/>
    <n v="68.400000000000006"/>
    <n v="0"/>
    <n v="0"/>
  </r>
  <r>
    <x v="85"/>
    <x v="28"/>
    <n v="68.400000000000006"/>
    <n v="0"/>
    <n v="0"/>
  </r>
  <r>
    <x v="86"/>
    <x v="28"/>
    <n v="68.400000000000006"/>
    <n v="0"/>
    <n v="0"/>
  </r>
  <r>
    <x v="87"/>
    <x v="28"/>
    <n v="68.400000000000006"/>
    <n v="0"/>
    <n v="0"/>
  </r>
  <r>
    <x v="88"/>
    <x v="28"/>
    <n v="68.400000000000006"/>
    <n v="0"/>
    <n v="0"/>
  </r>
  <r>
    <x v="89"/>
    <x v="28"/>
    <n v="68.400000000000006"/>
    <n v="0"/>
    <n v="0"/>
  </r>
  <r>
    <x v="90"/>
    <x v="28"/>
    <n v="68.400000000000006"/>
    <n v="0"/>
    <n v="0"/>
  </r>
  <r>
    <x v="91"/>
    <x v="28"/>
    <n v="68.400000000000006"/>
    <n v="0"/>
    <n v="0"/>
  </r>
  <r>
    <x v="92"/>
    <x v="28"/>
    <n v="68.400000000000006"/>
    <n v="0"/>
    <n v="0"/>
  </r>
  <r>
    <x v="93"/>
    <x v="28"/>
    <n v="68.400000000000006"/>
    <n v="0"/>
    <n v="0"/>
  </r>
  <r>
    <x v="94"/>
    <x v="28"/>
    <n v="68.400000000000006"/>
    <n v="0"/>
    <n v="0"/>
  </r>
  <r>
    <x v="95"/>
    <x v="28"/>
    <n v="68.400000000000006"/>
    <n v="0"/>
    <n v="0"/>
  </r>
  <r>
    <x v="0"/>
    <x v="29"/>
    <n v="68.7"/>
    <n v="734.13"/>
    <n v="379.5"/>
  </r>
  <r>
    <x v="1"/>
    <x v="29"/>
    <n v="68.7"/>
    <n v="394.74"/>
    <n v="199.31"/>
  </r>
  <r>
    <x v="2"/>
    <x v="29"/>
    <n v="68.7"/>
    <n v="393.12"/>
    <n v="208.77"/>
  </r>
  <r>
    <x v="3"/>
    <x v="29"/>
    <n v="68.7"/>
    <n v="364.76"/>
    <n v="214.83"/>
  </r>
  <r>
    <x v="4"/>
    <x v="29"/>
    <n v="68.7"/>
    <n v="369.7"/>
    <n v="205.94"/>
  </r>
  <r>
    <x v="5"/>
    <x v="29"/>
    <n v="68.7"/>
    <n v="379.99"/>
    <n v="201.25"/>
  </r>
  <r>
    <x v="6"/>
    <x v="29"/>
    <n v="68.7"/>
    <n v="319.08"/>
    <n v="168.78"/>
  </r>
  <r>
    <x v="7"/>
    <x v="29"/>
    <n v="68.7"/>
    <n v="413.78"/>
    <n v="227.9"/>
  </r>
  <r>
    <x v="8"/>
    <x v="29"/>
    <n v="68.7"/>
    <n v="340.79"/>
    <n v="199.68"/>
  </r>
  <r>
    <x v="9"/>
    <x v="29"/>
    <n v="68.7"/>
    <n v="338.9"/>
    <n v="197.74"/>
  </r>
  <r>
    <x v="10"/>
    <x v="29"/>
    <n v="68.7"/>
    <n v="332.63"/>
    <n v="171.56"/>
  </r>
  <r>
    <x v="11"/>
    <x v="29"/>
    <n v="68.7"/>
    <n v="643.98"/>
    <n v="-459.59"/>
  </r>
  <r>
    <x v="12"/>
    <x v="29"/>
    <n v="68.7"/>
    <n v="710.18"/>
    <n v="48.1"/>
  </r>
  <r>
    <x v="13"/>
    <x v="29"/>
    <n v="68.7"/>
    <n v="428.05"/>
    <n v="1.64"/>
  </r>
  <r>
    <x v="14"/>
    <x v="29"/>
    <n v="68.7"/>
    <n v="415.65"/>
    <n v="-22.71"/>
  </r>
  <r>
    <x v="15"/>
    <x v="29"/>
    <n v="68.7"/>
    <n v="429.24"/>
    <n v="-22.37"/>
  </r>
  <r>
    <x v="16"/>
    <x v="29"/>
    <n v="68.7"/>
    <n v="400.11"/>
    <n v="-25.11"/>
  </r>
  <r>
    <x v="17"/>
    <x v="29"/>
    <n v="68.7"/>
    <n v="465.17"/>
    <n v="4.5599999999999996"/>
  </r>
  <r>
    <x v="18"/>
    <x v="29"/>
    <n v="68.7"/>
    <n v="436.9"/>
    <n v="7.37"/>
  </r>
  <r>
    <x v="19"/>
    <x v="29"/>
    <n v="68.7"/>
    <n v="468.33"/>
    <n v="14.88"/>
  </r>
  <r>
    <x v="20"/>
    <x v="29"/>
    <n v="68.7"/>
    <n v="475.73"/>
    <n v="16.36"/>
  </r>
  <r>
    <x v="21"/>
    <x v="29"/>
    <n v="68.7"/>
    <n v="464.1"/>
    <n v="10.56"/>
  </r>
  <r>
    <x v="22"/>
    <x v="29"/>
    <n v="68.7"/>
    <n v="425.73"/>
    <n v="-4.62"/>
  </r>
  <r>
    <x v="23"/>
    <x v="29"/>
    <n v="68.7"/>
    <n v="446.48"/>
    <n v="-29.72"/>
  </r>
  <r>
    <x v="24"/>
    <x v="29"/>
    <n v="68.7"/>
    <n v="877.2"/>
    <n v="444.17"/>
  </r>
  <r>
    <x v="25"/>
    <x v="29"/>
    <n v="68.7"/>
    <n v="432.48"/>
    <n v="216.34"/>
  </r>
  <r>
    <x v="26"/>
    <x v="29"/>
    <n v="68.7"/>
    <n v="409.62"/>
    <n v="191.85"/>
  </r>
  <r>
    <x v="27"/>
    <x v="29"/>
    <n v="68.7"/>
    <n v="316.51"/>
    <n v="126.1"/>
  </r>
  <r>
    <x v="28"/>
    <x v="29"/>
    <n v="68.7"/>
    <n v="394.39"/>
    <n v="212.03"/>
  </r>
  <r>
    <x v="29"/>
    <x v="29"/>
    <n v="68.7"/>
    <n v="488.88"/>
    <n v="245.44"/>
  </r>
  <r>
    <x v="30"/>
    <x v="29"/>
    <n v="68.7"/>
    <n v="452.62"/>
    <n v="224.75"/>
  </r>
  <r>
    <x v="31"/>
    <x v="29"/>
    <n v="68.7"/>
    <n v="492.59"/>
    <n v="253.46"/>
  </r>
  <r>
    <x v="32"/>
    <x v="29"/>
    <n v="68.7"/>
    <n v="390.18"/>
    <n v="207.35"/>
  </r>
  <r>
    <x v="33"/>
    <x v="29"/>
    <n v="68.7"/>
    <n v="432.15"/>
    <n v="222.1"/>
  </r>
  <r>
    <x v="34"/>
    <x v="29"/>
    <n v="68.7"/>
    <n v="490.32"/>
    <n v="244.44"/>
  </r>
  <r>
    <x v="35"/>
    <x v="29"/>
    <n v="68.7"/>
    <n v="356.49"/>
    <n v="195.34"/>
  </r>
  <r>
    <x v="36"/>
    <x v="29"/>
    <n v="68.7"/>
    <n v="1078.04"/>
    <n v="555.14"/>
  </r>
  <r>
    <x v="37"/>
    <x v="29"/>
    <n v="68.7"/>
    <n v="460.16"/>
    <n v="246.61"/>
  </r>
  <r>
    <x v="38"/>
    <x v="29"/>
    <n v="68.7"/>
    <n v="526.73"/>
    <n v="277.64"/>
  </r>
  <r>
    <x v="39"/>
    <x v="29"/>
    <n v="68.7"/>
    <n v="423.85"/>
    <n v="0"/>
  </r>
  <r>
    <x v="40"/>
    <x v="29"/>
    <n v="68.7"/>
    <n v="545.42999999999995"/>
    <n v="0"/>
  </r>
  <r>
    <x v="41"/>
    <x v="29"/>
    <n v="68.7"/>
    <n v="510.42"/>
    <n v="247.39"/>
  </r>
  <r>
    <x v="42"/>
    <x v="29"/>
    <n v="68.7"/>
    <n v="507.89"/>
    <n v="0"/>
  </r>
  <r>
    <x v="43"/>
    <x v="29"/>
    <n v="68.7"/>
    <n v="584.6"/>
    <n v="0"/>
  </r>
  <r>
    <x v="44"/>
    <x v="29"/>
    <n v="68.7"/>
    <n v="568.87"/>
    <n v="0"/>
  </r>
  <r>
    <x v="45"/>
    <x v="29"/>
    <n v="68.7"/>
    <n v="563.29"/>
    <n v="0"/>
  </r>
  <r>
    <x v="46"/>
    <x v="29"/>
    <n v="68.7"/>
    <n v="483.3"/>
    <n v="0"/>
  </r>
  <r>
    <x v="47"/>
    <x v="29"/>
    <n v="68.7"/>
    <n v="411.09"/>
    <n v="264.36"/>
  </r>
  <r>
    <x v="48"/>
    <x v="29"/>
    <n v="68.7"/>
    <n v="1138.31"/>
    <n v="607.04"/>
  </r>
  <r>
    <x v="49"/>
    <x v="29"/>
    <n v="68.7"/>
    <n v="483.78"/>
    <n v="241.08"/>
  </r>
  <r>
    <x v="50"/>
    <x v="29"/>
    <n v="68.7"/>
    <n v="433.07"/>
    <n v="214.01"/>
  </r>
  <r>
    <x v="51"/>
    <x v="29"/>
    <n v="68.7"/>
    <n v="418.98"/>
    <n v="218.34"/>
  </r>
  <r>
    <x v="52"/>
    <x v="29"/>
    <n v="68.7"/>
    <n v="443.73"/>
    <n v="237.72"/>
  </r>
  <r>
    <x v="53"/>
    <x v="29"/>
    <n v="68.7"/>
    <n v="522.91"/>
    <n v="0"/>
  </r>
  <r>
    <x v="54"/>
    <x v="29"/>
    <n v="68.7"/>
    <n v="410.87"/>
    <n v="0"/>
  </r>
  <r>
    <x v="55"/>
    <x v="29"/>
    <n v="68.7"/>
    <n v="549.94000000000005"/>
    <n v="0"/>
  </r>
  <r>
    <x v="56"/>
    <x v="29"/>
    <n v="68.7"/>
    <n v="492.43"/>
    <n v="0"/>
  </r>
  <r>
    <x v="57"/>
    <x v="29"/>
    <n v="68.7"/>
    <n v="526.49"/>
    <n v="0"/>
  </r>
  <r>
    <x v="58"/>
    <x v="29"/>
    <n v="68.7"/>
    <n v="533.77"/>
    <n v="0"/>
  </r>
  <r>
    <x v="59"/>
    <x v="29"/>
    <n v="68.7"/>
    <n v="425.54"/>
    <n v="243.15"/>
  </r>
  <r>
    <x v="60"/>
    <x v="29"/>
    <n v="68.7"/>
    <n v="953.11"/>
    <n v="494.52"/>
  </r>
  <r>
    <x v="61"/>
    <x v="29"/>
    <n v="68.7"/>
    <n v="493.97"/>
    <n v="257.58"/>
  </r>
  <r>
    <x v="62"/>
    <x v="29"/>
    <n v="68.7"/>
    <n v="468.06"/>
    <n v="231.99"/>
  </r>
  <r>
    <x v="63"/>
    <x v="29"/>
    <n v="68.7"/>
    <n v="446.64"/>
    <n v="231.76"/>
  </r>
  <r>
    <x v="64"/>
    <x v="29"/>
    <n v="68.7"/>
    <n v="571.4"/>
    <n v="0"/>
  </r>
  <r>
    <x v="65"/>
    <x v="29"/>
    <n v="68.7"/>
    <n v="554.61"/>
    <n v="0"/>
  </r>
  <r>
    <x v="66"/>
    <x v="29"/>
    <n v="68.7"/>
    <n v="508.96"/>
    <n v="0"/>
  </r>
  <r>
    <x v="67"/>
    <x v="29"/>
    <n v="68.7"/>
    <n v="619.89"/>
    <n v="0"/>
  </r>
  <r>
    <x v="68"/>
    <x v="29"/>
    <n v="68.7"/>
    <n v="459.82"/>
    <n v="0"/>
  </r>
  <r>
    <x v="69"/>
    <x v="29"/>
    <n v="68.7"/>
    <n v="547.84"/>
    <n v="347.84"/>
  </r>
  <r>
    <x v="70"/>
    <x v="29"/>
    <n v="68.7"/>
    <n v="631.9"/>
    <n v="365.25"/>
  </r>
  <r>
    <x v="71"/>
    <x v="29"/>
    <n v="68.7"/>
    <n v="529.97"/>
    <n v="349.55"/>
  </r>
  <r>
    <x v="72"/>
    <x v="29"/>
    <n v="68.7"/>
    <n v="0"/>
    <n v="0"/>
  </r>
  <r>
    <x v="73"/>
    <x v="29"/>
    <n v="68.7"/>
    <n v="0"/>
    <n v="0"/>
  </r>
  <r>
    <x v="74"/>
    <x v="29"/>
    <n v="68.7"/>
    <n v="0"/>
    <n v="0"/>
  </r>
  <r>
    <x v="75"/>
    <x v="29"/>
    <n v="68.7"/>
    <n v="0"/>
    <n v="0"/>
  </r>
  <r>
    <x v="76"/>
    <x v="29"/>
    <n v="68.7"/>
    <n v="0"/>
    <n v="0"/>
  </r>
  <r>
    <x v="77"/>
    <x v="29"/>
    <n v="68.7"/>
    <n v="0"/>
    <n v="0"/>
  </r>
  <r>
    <x v="78"/>
    <x v="29"/>
    <n v="68.7"/>
    <n v="0"/>
    <n v="0"/>
  </r>
  <r>
    <x v="79"/>
    <x v="29"/>
    <n v="68.7"/>
    <n v="0"/>
    <n v="0"/>
  </r>
  <r>
    <x v="80"/>
    <x v="29"/>
    <n v="68.7"/>
    <n v="0"/>
    <n v="0"/>
  </r>
  <r>
    <x v="81"/>
    <x v="29"/>
    <n v="68.7"/>
    <n v="0"/>
    <n v="0"/>
  </r>
  <r>
    <x v="82"/>
    <x v="29"/>
    <n v="68.7"/>
    <n v="0"/>
    <n v="0"/>
  </r>
  <r>
    <x v="83"/>
    <x v="29"/>
    <n v="68.7"/>
    <n v="0"/>
    <n v="0"/>
  </r>
  <r>
    <x v="84"/>
    <x v="29"/>
    <n v="68.7"/>
    <n v="0"/>
    <n v="0"/>
  </r>
  <r>
    <x v="85"/>
    <x v="29"/>
    <n v="68.7"/>
    <n v="0"/>
    <n v="0"/>
  </r>
  <r>
    <x v="86"/>
    <x v="29"/>
    <n v="68.7"/>
    <n v="0"/>
    <n v="0"/>
  </r>
  <r>
    <x v="87"/>
    <x v="29"/>
    <n v="68.7"/>
    <n v="0"/>
    <n v="0"/>
  </r>
  <r>
    <x v="88"/>
    <x v="29"/>
    <n v="68.7"/>
    <n v="0"/>
    <n v="0"/>
  </r>
  <r>
    <x v="89"/>
    <x v="29"/>
    <n v="68.7"/>
    <n v="0"/>
    <n v="0"/>
  </r>
  <r>
    <x v="90"/>
    <x v="29"/>
    <n v="68.7"/>
    <n v="0"/>
    <n v="0"/>
  </r>
  <r>
    <x v="91"/>
    <x v="29"/>
    <n v="68.7"/>
    <n v="0"/>
    <n v="0"/>
  </r>
  <r>
    <x v="92"/>
    <x v="29"/>
    <n v="68.7"/>
    <n v="0"/>
    <n v="0"/>
  </r>
  <r>
    <x v="93"/>
    <x v="29"/>
    <n v="68.7"/>
    <n v="0"/>
    <n v="0"/>
  </r>
  <r>
    <x v="94"/>
    <x v="29"/>
    <n v="68.7"/>
    <n v="0"/>
    <n v="0"/>
  </r>
  <r>
    <x v="95"/>
    <x v="29"/>
    <n v="68.7"/>
    <n v="0"/>
    <n v="0"/>
  </r>
  <r>
    <x v="0"/>
    <x v="30"/>
    <n v="69"/>
    <n v="741.5"/>
    <n v="387.67"/>
  </r>
  <r>
    <x v="1"/>
    <x v="30"/>
    <n v="69"/>
    <n v="404.83"/>
    <n v="213.98"/>
  </r>
  <r>
    <x v="2"/>
    <x v="30"/>
    <n v="69"/>
    <n v="402.93"/>
    <n v="223.02"/>
  </r>
  <r>
    <x v="3"/>
    <x v="30"/>
    <n v="69"/>
    <n v="375.51"/>
    <n v="228.93"/>
  </r>
  <r>
    <x v="4"/>
    <x v="30"/>
    <n v="69"/>
    <n v="379.49"/>
    <n v="220.14"/>
  </r>
  <r>
    <x v="5"/>
    <x v="30"/>
    <n v="69"/>
    <n v="390.17"/>
    <n v="216.64"/>
  </r>
  <r>
    <x v="6"/>
    <x v="30"/>
    <n v="69"/>
    <n v="330.42"/>
    <n v="184.99"/>
  </r>
  <r>
    <x v="7"/>
    <x v="30"/>
    <n v="69"/>
    <n v="423.33"/>
    <n v="241.08"/>
  </r>
  <r>
    <x v="8"/>
    <x v="30"/>
    <n v="69"/>
    <n v="351.91"/>
    <n v="213.19"/>
  </r>
  <r>
    <x v="9"/>
    <x v="30"/>
    <n v="69"/>
    <n v="349.5"/>
    <n v="209.38"/>
  </r>
  <r>
    <x v="10"/>
    <x v="30"/>
    <n v="69"/>
    <n v="343.99"/>
    <n v="187.52"/>
  </r>
  <r>
    <x v="11"/>
    <x v="30"/>
    <n v="69"/>
    <n v="642.75"/>
    <n v="-486.97"/>
  </r>
  <r>
    <x v="12"/>
    <x v="30"/>
    <n v="69"/>
    <n v="742.65"/>
    <n v="50.45"/>
  </r>
  <r>
    <x v="13"/>
    <x v="30"/>
    <n v="69"/>
    <n v="466.41"/>
    <n v="8.75"/>
  </r>
  <r>
    <x v="14"/>
    <x v="30"/>
    <n v="69"/>
    <n v="460.42"/>
    <n v="-12.53"/>
  </r>
  <r>
    <x v="15"/>
    <x v="30"/>
    <n v="69"/>
    <n v="459.49"/>
    <n v="-20.23"/>
  </r>
  <r>
    <x v="16"/>
    <x v="30"/>
    <n v="69"/>
    <n v="443.5"/>
    <n v="-16.23"/>
  </r>
  <r>
    <x v="17"/>
    <x v="30"/>
    <n v="69"/>
    <n v="498.45"/>
    <n v="9.51"/>
  </r>
  <r>
    <x v="18"/>
    <x v="30"/>
    <n v="69"/>
    <n v="467.58"/>
    <n v="11.86"/>
  </r>
  <r>
    <x v="19"/>
    <x v="30"/>
    <n v="69"/>
    <n v="497.09"/>
    <n v="18.03"/>
  </r>
  <r>
    <x v="20"/>
    <x v="30"/>
    <n v="69"/>
    <n v="505.55"/>
    <n v="19.37"/>
  </r>
  <r>
    <x v="21"/>
    <x v="30"/>
    <n v="69"/>
    <n v="494.76"/>
    <n v="13.66"/>
  </r>
  <r>
    <x v="22"/>
    <x v="30"/>
    <n v="69"/>
    <n v="456.71"/>
    <n v="0.56000000000000005"/>
  </r>
  <r>
    <x v="23"/>
    <x v="30"/>
    <n v="69"/>
    <n v="483.17"/>
    <n v="-24.88"/>
  </r>
  <r>
    <x v="24"/>
    <x v="30"/>
    <n v="69"/>
    <n v="888.17"/>
    <n v="445.6"/>
  </r>
  <r>
    <x v="25"/>
    <x v="30"/>
    <n v="69"/>
    <n v="444.2"/>
    <n v="227.07"/>
  </r>
  <r>
    <x v="26"/>
    <x v="30"/>
    <n v="69"/>
    <n v="419.66"/>
    <n v="199.24"/>
  </r>
  <r>
    <x v="27"/>
    <x v="30"/>
    <n v="69"/>
    <n v="327.85"/>
    <n v="131.49"/>
  </r>
  <r>
    <x v="28"/>
    <x v="30"/>
    <n v="69"/>
    <n v="404.33"/>
    <n v="218.22"/>
  </r>
  <r>
    <x v="29"/>
    <x v="30"/>
    <n v="69"/>
    <n v="498.61"/>
    <n v="250.51"/>
  </r>
  <r>
    <x v="30"/>
    <x v="30"/>
    <n v="69"/>
    <n v="462.66"/>
    <n v="230.8"/>
  </r>
  <r>
    <x v="31"/>
    <x v="30"/>
    <n v="69"/>
    <n v="502.26"/>
    <n v="258.89999999999998"/>
  </r>
  <r>
    <x v="32"/>
    <x v="30"/>
    <n v="69"/>
    <n v="398.56"/>
    <n v="212.45"/>
  </r>
  <r>
    <x v="33"/>
    <x v="30"/>
    <n v="69"/>
    <n v="442"/>
    <n v="227.71"/>
  </r>
  <r>
    <x v="34"/>
    <x v="30"/>
    <n v="69"/>
    <n v="501.43"/>
    <n v="250.78"/>
  </r>
  <r>
    <x v="35"/>
    <x v="30"/>
    <n v="69"/>
    <n v="368.1"/>
    <n v="209.07"/>
  </r>
  <r>
    <x v="36"/>
    <x v="30"/>
    <n v="69"/>
    <n v="1085.8800000000001"/>
    <n v="554.82000000000005"/>
  </r>
  <r>
    <x v="37"/>
    <x v="30"/>
    <n v="69"/>
    <n v="470.48"/>
    <n v="257.89"/>
  </r>
  <r>
    <x v="38"/>
    <x v="30"/>
    <n v="69"/>
    <n v="538.66999999999996"/>
    <n v="297.14"/>
  </r>
  <r>
    <x v="39"/>
    <x v="30"/>
    <n v="69"/>
    <n v="432.23"/>
    <n v="0"/>
  </r>
  <r>
    <x v="40"/>
    <x v="30"/>
    <n v="69"/>
    <n v="553.79999999999995"/>
    <n v="0"/>
  </r>
  <r>
    <x v="41"/>
    <x v="30"/>
    <n v="69"/>
    <n v="520.34"/>
    <n v="264.56"/>
  </r>
  <r>
    <x v="42"/>
    <x v="30"/>
    <n v="69"/>
    <n v="516"/>
    <n v="0"/>
  </r>
  <r>
    <x v="43"/>
    <x v="30"/>
    <n v="69"/>
    <n v="591.52"/>
    <n v="0"/>
  </r>
  <r>
    <x v="44"/>
    <x v="30"/>
    <n v="69"/>
    <n v="576.29999999999995"/>
    <n v="0"/>
  </r>
  <r>
    <x v="45"/>
    <x v="30"/>
    <n v="69"/>
    <n v="571.82000000000005"/>
    <n v="0"/>
  </r>
  <r>
    <x v="46"/>
    <x v="30"/>
    <n v="69"/>
    <n v="492.68"/>
    <n v="0"/>
  </r>
  <r>
    <x v="47"/>
    <x v="30"/>
    <n v="69"/>
    <n v="423.93"/>
    <n v="281.11"/>
  </r>
  <r>
    <x v="48"/>
    <x v="30"/>
    <n v="69"/>
    <n v="1147.19"/>
    <n v="607.30999999999995"/>
  </r>
  <r>
    <x v="49"/>
    <x v="30"/>
    <n v="69"/>
    <n v="495.24"/>
    <n v="254.12"/>
  </r>
  <r>
    <x v="50"/>
    <x v="30"/>
    <n v="69"/>
    <n v="445.29"/>
    <n v="227"/>
  </r>
  <r>
    <x v="51"/>
    <x v="30"/>
    <n v="69"/>
    <n v="430.66"/>
    <n v="232.24"/>
  </r>
  <r>
    <x v="52"/>
    <x v="30"/>
    <n v="69"/>
    <n v="453.28"/>
    <n v="247.94"/>
  </r>
  <r>
    <x v="53"/>
    <x v="30"/>
    <n v="69"/>
    <n v="532.39"/>
    <n v="0"/>
  </r>
  <r>
    <x v="54"/>
    <x v="30"/>
    <n v="69"/>
    <n v="418.91"/>
    <n v="0"/>
  </r>
  <r>
    <x v="55"/>
    <x v="30"/>
    <n v="69"/>
    <n v="559.29999999999995"/>
    <n v="0"/>
  </r>
  <r>
    <x v="56"/>
    <x v="30"/>
    <n v="69"/>
    <n v="501.47"/>
    <n v="0"/>
  </r>
  <r>
    <x v="57"/>
    <x v="30"/>
    <n v="69"/>
    <n v="535.66"/>
    <n v="0"/>
  </r>
  <r>
    <x v="58"/>
    <x v="30"/>
    <n v="69"/>
    <n v="545.04999999999995"/>
    <n v="0"/>
  </r>
  <r>
    <x v="59"/>
    <x v="30"/>
    <n v="69"/>
    <n v="437.63"/>
    <n v="251.24"/>
  </r>
  <r>
    <x v="60"/>
    <x v="30"/>
    <n v="69"/>
    <n v="960.58"/>
    <n v="495.71"/>
  </r>
  <r>
    <x v="61"/>
    <x v="30"/>
    <n v="69"/>
    <n v="505.5"/>
    <n v="272.45"/>
  </r>
  <r>
    <x v="62"/>
    <x v="30"/>
    <n v="69"/>
    <n v="478.98"/>
    <n v="242.87"/>
  </r>
  <r>
    <x v="63"/>
    <x v="30"/>
    <n v="69"/>
    <n v="456.99"/>
    <n v="243.31"/>
  </r>
  <r>
    <x v="64"/>
    <x v="30"/>
    <n v="69"/>
    <n v="581.77"/>
    <n v="0"/>
  </r>
  <r>
    <x v="65"/>
    <x v="30"/>
    <n v="69"/>
    <n v="566.04"/>
    <n v="0"/>
  </r>
  <r>
    <x v="66"/>
    <x v="30"/>
    <n v="69"/>
    <n v="518.26"/>
    <n v="0"/>
  </r>
  <r>
    <x v="67"/>
    <x v="30"/>
    <n v="69"/>
    <n v="629.27"/>
    <n v="0"/>
  </r>
  <r>
    <x v="68"/>
    <x v="30"/>
    <n v="69"/>
    <n v="465"/>
    <n v="0"/>
  </r>
  <r>
    <x v="69"/>
    <x v="30"/>
    <n v="69"/>
    <n v="562.37"/>
    <n v="363.38"/>
  </r>
  <r>
    <x v="70"/>
    <x v="30"/>
    <n v="69"/>
    <n v="645.78"/>
    <n v="378.13"/>
  </r>
  <r>
    <x v="71"/>
    <x v="30"/>
    <n v="69"/>
    <n v="548.39"/>
    <n v="369.51"/>
  </r>
  <r>
    <x v="72"/>
    <x v="30"/>
    <n v="69"/>
    <n v="0"/>
    <n v="0"/>
  </r>
  <r>
    <x v="73"/>
    <x v="30"/>
    <n v="69"/>
    <n v="0"/>
    <n v="0"/>
  </r>
  <r>
    <x v="74"/>
    <x v="30"/>
    <n v="69"/>
    <n v="0"/>
    <n v="0"/>
  </r>
  <r>
    <x v="75"/>
    <x v="30"/>
    <n v="69"/>
    <n v="0"/>
    <n v="0"/>
  </r>
  <r>
    <x v="76"/>
    <x v="30"/>
    <n v="69"/>
    <n v="0"/>
    <n v="0"/>
  </r>
  <r>
    <x v="77"/>
    <x v="30"/>
    <n v="69"/>
    <n v="0"/>
    <n v="0"/>
  </r>
  <r>
    <x v="78"/>
    <x v="30"/>
    <n v="69"/>
    <n v="0"/>
    <n v="0"/>
  </r>
  <r>
    <x v="79"/>
    <x v="30"/>
    <n v="69"/>
    <n v="0"/>
    <n v="0"/>
  </r>
  <r>
    <x v="80"/>
    <x v="30"/>
    <n v="69"/>
    <n v="0"/>
    <n v="0"/>
  </r>
  <r>
    <x v="81"/>
    <x v="30"/>
    <n v="69"/>
    <n v="0"/>
    <n v="0"/>
  </r>
  <r>
    <x v="82"/>
    <x v="30"/>
    <n v="69"/>
    <n v="0"/>
    <n v="0"/>
  </r>
  <r>
    <x v="83"/>
    <x v="30"/>
    <n v="69"/>
    <n v="0"/>
    <n v="0"/>
  </r>
  <r>
    <x v="84"/>
    <x v="30"/>
    <n v="69"/>
    <n v="0"/>
    <n v="0"/>
  </r>
  <r>
    <x v="85"/>
    <x v="30"/>
    <n v="69"/>
    <n v="0"/>
    <n v="0"/>
  </r>
  <r>
    <x v="86"/>
    <x v="30"/>
    <n v="69"/>
    <n v="0"/>
    <n v="0"/>
  </r>
  <r>
    <x v="87"/>
    <x v="30"/>
    <n v="69"/>
    <n v="0"/>
    <n v="0"/>
  </r>
  <r>
    <x v="88"/>
    <x v="30"/>
    <n v="69"/>
    <n v="0"/>
    <n v="0"/>
  </r>
  <r>
    <x v="89"/>
    <x v="30"/>
    <n v="69"/>
    <n v="0"/>
    <n v="0"/>
  </r>
  <r>
    <x v="90"/>
    <x v="30"/>
    <n v="69"/>
    <n v="0"/>
    <n v="0"/>
  </r>
  <r>
    <x v="91"/>
    <x v="30"/>
    <n v="69"/>
    <n v="0"/>
    <n v="0"/>
  </r>
  <r>
    <x v="92"/>
    <x v="30"/>
    <n v="69"/>
    <n v="0"/>
    <n v="0"/>
  </r>
  <r>
    <x v="93"/>
    <x v="30"/>
    <n v="69"/>
    <n v="0"/>
    <n v="0"/>
  </r>
  <r>
    <x v="94"/>
    <x v="30"/>
    <n v="69"/>
    <n v="0"/>
    <n v="0"/>
  </r>
  <r>
    <x v="95"/>
    <x v="30"/>
    <n v="69"/>
    <n v="0"/>
    <n v="0"/>
  </r>
  <r>
    <x v="0"/>
    <x v="31"/>
    <n v="69.3"/>
    <n v="748.72"/>
    <n v="397.94"/>
  </r>
  <r>
    <x v="1"/>
    <x v="31"/>
    <n v="69.3"/>
    <n v="415.09"/>
    <n v="229.26"/>
  </r>
  <r>
    <x v="2"/>
    <x v="31"/>
    <n v="69.3"/>
    <n v="412.89"/>
    <n v="237.5"/>
  </r>
  <r>
    <x v="3"/>
    <x v="31"/>
    <n v="69.3"/>
    <n v="386.39"/>
    <n v="243"/>
  </r>
  <r>
    <x v="4"/>
    <x v="31"/>
    <n v="69.3"/>
    <n v="389.45"/>
    <n v="234.71"/>
  </r>
  <r>
    <x v="5"/>
    <x v="31"/>
    <n v="69.3"/>
    <n v="400.54"/>
    <n v="232.54"/>
  </r>
  <r>
    <x v="6"/>
    <x v="31"/>
    <n v="69.3"/>
    <n v="342"/>
    <n v="201.14"/>
  </r>
  <r>
    <x v="7"/>
    <x v="31"/>
    <n v="69.3"/>
    <n v="433"/>
    <n v="254.55"/>
  </r>
  <r>
    <x v="8"/>
    <x v="31"/>
    <n v="69.3"/>
    <n v="363.22"/>
    <n v="225.72"/>
  </r>
  <r>
    <x v="9"/>
    <x v="31"/>
    <n v="69.3"/>
    <n v="360.23"/>
    <n v="220.05"/>
  </r>
  <r>
    <x v="10"/>
    <x v="31"/>
    <n v="69.3"/>
    <n v="355.59"/>
    <n v="203.26"/>
  </r>
  <r>
    <x v="11"/>
    <x v="31"/>
    <n v="69.3"/>
    <n v="641.21"/>
    <n v="-516.03"/>
  </r>
  <r>
    <x v="12"/>
    <x v="31"/>
    <n v="69.3"/>
    <n v="779.59"/>
    <n v="52.75"/>
  </r>
  <r>
    <x v="13"/>
    <x v="31"/>
    <n v="69.3"/>
    <n v="506.81"/>
    <n v="15.58"/>
  </r>
  <r>
    <x v="14"/>
    <x v="31"/>
    <n v="69.3"/>
    <n v="510.73"/>
    <n v="-1.28"/>
  </r>
  <r>
    <x v="15"/>
    <x v="31"/>
    <n v="69.3"/>
    <n v="492.37"/>
    <n v="-18.64"/>
  </r>
  <r>
    <x v="16"/>
    <x v="31"/>
    <n v="69.3"/>
    <n v="491.89"/>
    <n v="-7.04"/>
  </r>
  <r>
    <x v="17"/>
    <x v="31"/>
    <n v="69.3"/>
    <n v="535.04999999999995"/>
    <n v="14.49"/>
  </r>
  <r>
    <x v="18"/>
    <x v="31"/>
    <n v="69.3"/>
    <n v="501.29"/>
    <n v="16.399999999999999"/>
  </r>
  <r>
    <x v="19"/>
    <x v="31"/>
    <n v="69.3"/>
    <n v="529.41999999999996"/>
    <n v="21.31"/>
  </r>
  <r>
    <x v="20"/>
    <x v="31"/>
    <n v="69.3"/>
    <n v="538.26"/>
    <n v="22.48"/>
  </r>
  <r>
    <x v="21"/>
    <x v="31"/>
    <n v="69.3"/>
    <n v="527.98"/>
    <n v="16.809999999999999"/>
  </r>
  <r>
    <x v="22"/>
    <x v="31"/>
    <n v="69.3"/>
    <n v="490.66"/>
    <n v="5.68"/>
  </r>
  <r>
    <x v="23"/>
    <x v="31"/>
    <n v="69.3"/>
    <n v="521.23"/>
    <n v="-20.11"/>
  </r>
  <r>
    <x v="24"/>
    <x v="31"/>
    <n v="69.3"/>
    <n v="898.97"/>
    <n v="448.17"/>
  </r>
  <r>
    <x v="25"/>
    <x v="31"/>
    <n v="69.3"/>
    <n v="456.14"/>
    <n v="238.66"/>
  </r>
  <r>
    <x v="26"/>
    <x v="31"/>
    <n v="69.3"/>
    <n v="429.88"/>
    <n v="207.35"/>
  </r>
  <r>
    <x v="27"/>
    <x v="31"/>
    <n v="69.3"/>
    <n v="339.63"/>
    <n v="137.47999999999999"/>
  </r>
  <r>
    <x v="28"/>
    <x v="31"/>
    <n v="69.3"/>
    <n v="414.4"/>
    <n v="225.07"/>
  </r>
  <r>
    <x v="29"/>
    <x v="31"/>
    <n v="69.3"/>
    <n v="508.39"/>
    <n v="256.45"/>
  </r>
  <r>
    <x v="30"/>
    <x v="31"/>
    <n v="69.3"/>
    <n v="472.83"/>
    <n v="237.51"/>
  </r>
  <r>
    <x v="31"/>
    <x v="31"/>
    <n v="69.3"/>
    <n v="511.99"/>
    <n v="265.08"/>
  </r>
  <r>
    <x v="32"/>
    <x v="31"/>
    <n v="69.3"/>
    <n v="407.02"/>
    <n v="218.22"/>
  </r>
  <r>
    <x v="33"/>
    <x v="31"/>
    <n v="69.3"/>
    <n v="451.94"/>
    <n v="233.91"/>
  </r>
  <r>
    <x v="34"/>
    <x v="31"/>
    <n v="69.3"/>
    <n v="512.64"/>
    <n v="257.68"/>
  </r>
  <r>
    <x v="35"/>
    <x v="31"/>
    <n v="69.3"/>
    <n v="379.95"/>
    <n v="222.91"/>
  </r>
  <r>
    <x v="36"/>
    <x v="31"/>
    <n v="69.3"/>
    <n v="1093.48"/>
    <n v="554.97"/>
  </r>
  <r>
    <x v="37"/>
    <x v="31"/>
    <n v="69.3"/>
    <n v="481.03"/>
    <n v="269.70999999999998"/>
  </r>
  <r>
    <x v="38"/>
    <x v="31"/>
    <n v="69.3"/>
    <n v="551.01"/>
    <n v="316.91000000000003"/>
  </r>
  <r>
    <x v="39"/>
    <x v="31"/>
    <n v="69.3"/>
    <n v="440.78"/>
    <n v="0"/>
  </r>
  <r>
    <x v="40"/>
    <x v="31"/>
    <n v="69.3"/>
    <n v="562.24"/>
    <n v="0"/>
  </r>
  <r>
    <x v="41"/>
    <x v="31"/>
    <n v="69.3"/>
    <n v="530.62"/>
    <n v="283.52"/>
  </r>
  <r>
    <x v="42"/>
    <x v="31"/>
    <n v="69.3"/>
    <n v="524.29"/>
    <n v="0"/>
  </r>
  <r>
    <x v="43"/>
    <x v="31"/>
    <n v="69.3"/>
    <n v="598.44000000000005"/>
    <n v="0"/>
  </r>
  <r>
    <x v="44"/>
    <x v="31"/>
    <n v="69.3"/>
    <n v="583.72"/>
    <n v="0"/>
  </r>
  <r>
    <x v="45"/>
    <x v="31"/>
    <n v="69.3"/>
    <n v="580.38"/>
    <n v="0"/>
  </r>
  <r>
    <x v="46"/>
    <x v="31"/>
    <n v="69.3"/>
    <n v="502.2"/>
    <n v="0"/>
  </r>
  <r>
    <x v="47"/>
    <x v="31"/>
    <n v="69.3"/>
    <n v="437.02"/>
    <n v="296.08"/>
  </r>
  <r>
    <x v="48"/>
    <x v="31"/>
    <n v="69.3"/>
    <n v="1155.8399999999999"/>
    <n v="607.86"/>
  </r>
  <r>
    <x v="49"/>
    <x v="31"/>
    <n v="69.3"/>
    <n v="507"/>
    <n v="268.07"/>
  </r>
  <r>
    <x v="50"/>
    <x v="31"/>
    <n v="69.3"/>
    <n v="457.98"/>
    <n v="241.29"/>
  </r>
  <r>
    <x v="51"/>
    <x v="31"/>
    <n v="69.3"/>
    <n v="442.78"/>
    <n v="247.31"/>
  </r>
  <r>
    <x v="52"/>
    <x v="31"/>
    <n v="69.3"/>
    <n v="463.13"/>
    <n v="259.41000000000003"/>
  </r>
  <r>
    <x v="53"/>
    <x v="31"/>
    <n v="69.3"/>
    <n v="542.03"/>
    <n v="0"/>
  </r>
  <r>
    <x v="54"/>
    <x v="31"/>
    <n v="69.3"/>
    <n v="427.13"/>
    <n v="0"/>
  </r>
  <r>
    <x v="55"/>
    <x v="31"/>
    <n v="69.3"/>
    <n v="568.79"/>
    <n v="0"/>
  </r>
  <r>
    <x v="56"/>
    <x v="31"/>
    <n v="69.3"/>
    <n v="510.63"/>
    <n v="0"/>
  </r>
  <r>
    <x v="57"/>
    <x v="31"/>
    <n v="69.3"/>
    <n v="544.92999999999995"/>
    <n v="0"/>
  </r>
  <r>
    <x v="58"/>
    <x v="31"/>
    <n v="69.3"/>
    <n v="556.46"/>
    <n v="0"/>
  </r>
  <r>
    <x v="59"/>
    <x v="31"/>
    <n v="69.3"/>
    <n v="450.05"/>
    <n v="259.68"/>
  </r>
  <r>
    <x v="60"/>
    <x v="31"/>
    <n v="69.3"/>
    <n v="967.92"/>
    <n v="497.38"/>
  </r>
  <r>
    <x v="61"/>
    <x v="31"/>
    <n v="69.3"/>
    <n v="517.29999999999995"/>
    <n v="287.79000000000002"/>
  </r>
  <r>
    <x v="62"/>
    <x v="31"/>
    <n v="69.3"/>
    <n v="490.32"/>
    <n v="254.93"/>
  </r>
  <r>
    <x v="63"/>
    <x v="31"/>
    <n v="69.3"/>
    <n v="467.67"/>
    <n v="256.01"/>
  </r>
  <r>
    <x v="64"/>
    <x v="31"/>
    <n v="69.3"/>
    <n v="592.35"/>
    <n v="0"/>
  </r>
  <r>
    <x v="65"/>
    <x v="31"/>
    <n v="69.3"/>
    <n v="577.75"/>
    <n v="0"/>
  </r>
  <r>
    <x v="66"/>
    <x v="31"/>
    <n v="69.3"/>
    <n v="527.71"/>
    <n v="0"/>
  </r>
  <r>
    <x v="67"/>
    <x v="31"/>
    <n v="69.3"/>
    <n v="638.85"/>
    <n v="0"/>
  </r>
  <r>
    <x v="68"/>
    <x v="31"/>
    <n v="69.3"/>
    <n v="470.11"/>
    <n v="0"/>
  </r>
  <r>
    <x v="69"/>
    <x v="31"/>
    <n v="69.3"/>
    <n v="577.04999999999995"/>
    <n v="377.72"/>
  </r>
  <r>
    <x v="70"/>
    <x v="31"/>
    <n v="69.3"/>
    <n v="659.86"/>
    <n v="390.88"/>
  </r>
  <r>
    <x v="71"/>
    <x v="31"/>
    <n v="69.3"/>
    <n v="567.15"/>
    <n v="387.94"/>
  </r>
  <r>
    <x v="72"/>
    <x v="31"/>
    <n v="69.3"/>
    <n v="0"/>
    <n v="0"/>
  </r>
  <r>
    <x v="73"/>
    <x v="31"/>
    <n v="69.3"/>
    <n v="0"/>
    <n v="0"/>
  </r>
  <r>
    <x v="74"/>
    <x v="31"/>
    <n v="69.3"/>
    <n v="0"/>
    <n v="0"/>
  </r>
  <r>
    <x v="75"/>
    <x v="31"/>
    <n v="69.3"/>
    <n v="0"/>
    <n v="0"/>
  </r>
  <r>
    <x v="76"/>
    <x v="31"/>
    <n v="69.3"/>
    <n v="0"/>
    <n v="0"/>
  </r>
  <r>
    <x v="77"/>
    <x v="31"/>
    <n v="69.3"/>
    <n v="0"/>
    <n v="0"/>
  </r>
  <r>
    <x v="78"/>
    <x v="31"/>
    <n v="69.3"/>
    <n v="0"/>
    <n v="0"/>
  </r>
  <r>
    <x v="79"/>
    <x v="31"/>
    <n v="69.3"/>
    <n v="0"/>
    <n v="0"/>
  </r>
  <r>
    <x v="80"/>
    <x v="31"/>
    <n v="69.3"/>
    <n v="0"/>
    <n v="0"/>
  </r>
  <r>
    <x v="81"/>
    <x v="31"/>
    <n v="69.3"/>
    <n v="0"/>
    <n v="0"/>
  </r>
  <r>
    <x v="82"/>
    <x v="31"/>
    <n v="69.3"/>
    <n v="0"/>
    <n v="0"/>
  </r>
  <r>
    <x v="83"/>
    <x v="31"/>
    <n v="69.3"/>
    <n v="0"/>
    <n v="0"/>
  </r>
  <r>
    <x v="84"/>
    <x v="31"/>
    <n v="69.3"/>
    <n v="0"/>
    <n v="0"/>
  </r>
  <r>
    <x v="85"/>
    <x v="31"/>
    <n v="69.3"/>
    <n v="0"/>
    <n v="0"/>
  </r>
  <r>
    <x v="86"/>
    <x v="31"/>
    <n v="69.3"/>
    <n v="0"/>
    <n v="0"/>
  </r>
  <r>
    <x v="87"/>
    <x v="31"/>
    <n v="69.3"/>
    <n v="0"/>
    <n v="0"/>
  </r>
  <r>
    <x v="88"/>
    <x v="31"/>
    <n v="69.3"/>
    <n v="0"/>
    <n v="0"/>
  </r>
  <r>
    <x v="89"/>
    <x v="31"/>
    <n v="69.3"/>
    <n v="0"/>
    <n v="0"/>
  </r>
  <r>
    <x v="90"/>
    <x v="31"/>
    <n v="69.3"/>
    <n v="0"/>
    <n v="0"/>
  </r>
  <r>
    <x v="91"/>
    <x v="31"/>
    <n v="69.3"/>
    <n v="0"/>
    <n v="0"/>
  </r>
  <r>
    <x v="92"/>
    <x v="31"/>
    <n v="69.3"/>
    <n v="0"/>
    <n v="0"/>
  </r>
  <r>
    <x v="93"/>
    <x v="31"/>
    <n v="69.3"/>
    <n v="0"/>
    <n v="0"/>
  </r>
  <r>
    <x v="94"/>
    <x v="31"/>
    <n v="69.3"/>
    <n v="0"/>
    <n v="0"/>
  </r>
  <r>
    <x v="95"/>
    <x v="31"/>
    <n v="69.3"/>
    <n v="0"/>
    <n v="0"/>
  </r>
  <r>
    <x v="0"/>
    <x v="32"/>
    <n v="69.599999999999994"/>
    <n v="755.77"/>
    <n v="410.71"/>
  </r>
  <r>
    <x v="1"/>
    <x v="32"/>
    <n v="69.599999999999994"/>
    <n v="425.46"/>
    <n v="245.01"/>
  </r>
  <r>
    <x v="2"/>
    <x v="32"/>
    <n v="69.599999999999994"/>
    <n v="422.94"/>
    <n v="251.93"/>
  </r>
  <r>
    <x v="3"/>
    <x v="32"/>
    <n v="69.599999999999994"/>
    <n v="397.35"/>
    <n v="256.95"/>
  </r>
  <r>
    <x v="4"/>
    <x v="32"/>
    <n v="69.599999999999994"/>
    <n v="399.53"/>
    <n v="249.42"/>
  </r>
  <r>
    <x v="5"/>
    <x v="32"/>
    <n v="69.599999999999994"/>
    <n v="411.04"/>
    <n v="248.66"/>
  </r>
  <r>
    <x v="6"/>
    <x v="32"/>
    <n v="69.599999999999994"/>
    <n v="353.78"/>
    <n v="216.98"/>
  </r>
  <r>
    <x v="7"/>
    <x v="32"/>
    <n v="69.599999999999994"/>
    <n v="442.73"/>
    <n v="268.18"/>
  </r>
  <r>
    <x v="8"/>
    <x v="32"/>
    <n v="69.599999999999994"/>
    <n v="374.64"/>
    <n v="237.14"/>
  </r>
  <r>
    <x v="9"/>
    <x v="32"/>
    <n v="69.599999999999994"/>
    <n v="371.03"/>
    <n v="229.8"/>
  </r>
  <r>
    <x v="10"/>
    <x v="32"/>
    <n v="69.599999999999994"/>
    <n v="367.39"/>
    <n v="218.57"/>
  </r>
  <r>
    <x v="11"/>
    <x v="32"/>
    <n v="69.599999999999994"/>
    <n v="639.39"/>
    <n v="-546.87"/>
  </r>
  <r>
    <x v="12"/>
    <x v="32"/>
    <n v="69.599999999999994"/>
    <n v="821.82"/>
    <n v="54.99"/>
  </r>
  <r>
    <x v="13"/>
    <x v="32"/>
    <n v="69.599999999999994"/>
    <n v="549.84"/>
    <n v="22.09"/>
  </r>
  <r>
    <x v="14"/>
    <x v="32"/>
    <n v="69.599999999999994"/>
    <n v="565.95000000000005"/>
    <n v="10.55"/>
  </r>
  <r>
    <x v="15"/>
    <x v="32"/>
    <n v="69.599999999999994"/>
    <n v="528.35"/>
    <n v="-17.66"/>
  </r>
  <r>
    <x v="16"/>
    <x v="32"/>
    <n v="69.599999999999994"/>
    <n v="544.9"/>
    <n v="2.2200000000000002"/>
  </r>
  <r>
    <x v="17"/>
    <x v="32"/>
    <n v="69.599999999999994"/>
    <n v="575.52"/>
    <n v="19.420000000000002"/>
  </r>
  <r>
    <x v="18"/>
    <x v="32"/>
    <n v="69.599999999999994"/>
    <n v="538.48"/>
    <n v="20.93"/>
  </r>
  <r>
    <x v="19"/>
    <x v="32"/>
    <n v="69.599999999999994"/>
    <n v="565.89"/>
    <n v="24.73"/>
  </r>
  <r>
    <x v="20"/>
    <x v="32"/>
    <n v="69.599999999999994"/>
    <n v="574.37"/>
    <n v="25.66"/>
  </r>
  <r>
    <x v="21"/>
    <x v="32"/>
    <n v="69.599999999999994"/>
    <n v="564.20000000000005"/>
    <n v="19.989999999999998"/>
  </r>
  <r>
    <x v="22"/>
    <x v="32"/>
    <n v="69.599999999999994"/>
    <n v="528.11"/>
    <n v="10.68"/>
  </r>
  <r>
    <x v="23"/>
    <x v="32"/>
    <n v="69.599999999999994"/>
    <n v="561.04999999999995"/>
    <n v="-15.4"/>
  </r>
  <r>
    <x v="24"/>
    <x v="32"/>
    <n v="69.599999999999994"/>
    <n v="909.56"/>
    <n v="452.09"/>
  </r>
  <r>
    <x v="25"/>
    <x v="32"/>
    <n v="69.599999999999994"/>
    <n v="468.26"/>
    <n v="251.01"/>
  </r>
  <r>
    <x v="26"/>
    <x v="32"/>
    <n v="69.599999999999994"/>
    <n v="440.25"/>
    <n v="216.07"/>
  </r>
  <r>
    <x v="27"/>
    <x v="32"/>
    <n v="69.599999999999994"/>
    <n v="351.86"/>
    <n v="144.28"/>
  </r>
  <r>
    <x v="28"/>
    <x v="32"/>
    <n v="69.599999999999994"/>
    <n v="424.57"/>
    <n v="232.79"/>
  </r>
  <r>
    <x v="29"/>
    <x v="32"/>
    <n v="69.599999999999994"/>
    <n v="518.17999999999995"/>
    <n v="263.33"/>
  </r>
  <r>
    <x v="30"/>
    <x v="32"/>
    <n v="69.599999999999994"/>
    <n v="483.08"/>
    <n v="244.88"/>
  </r>
  <r>
    <x v="31"/>
    <x v="32"/>
    <n v="69.599999999999994"/>
    <n v="521.74"/>
    <n v="272.08"/>
  </r>
  <r>
    <x v="32"/>
    <x v="32"/>
    <n v="69.599999999999994"/>
    <n v="415.53"/>
    <n v="224.75"/>
  </r>
  <r>
    <x v="33"/>
    <x v="32"/>
    <n v="69.599999999999994"/>
    <n v="461.93"/>
    <n v="240.81"/>
  </r>
  <r>
    <x v="34"/>
    <x v="32"/>
    <n v="69.599999999999994"/>
    <n v="523.9"/>
    <n v="265.22000000000003"/>
  </r>
  <r>
    <x v="35"/>
    <x v="32"/>
    <n v="69.599999999999994"/>
    <n v="392.01"/>
    <n v="236.38"/>
  </r>
  <r>
    <x v="36"/>
    <x v="32"/>
    <n v="69.599999999999994"/>
    <n v="1100.81"/>
    <n v="555.72"/>
  </r>
  <r>
    <x v="37"/>
    <x v="32"/>
    <n v="69.599999999999994"/>
    <n v="491.77"/>
    <n v="281.94"/>
  </r>
  <r>
    <x v="38"/>
    <x v="32"/>
    <n v="69.599999999999994"/>
    <n v="563.72"/>
    <n v="336.14"/>
  </r>
  <r>
    <x v="39"/>
    <x v="32"/>
    <n v="69.599999999999994"/>
    <n v="449.47"/>
    <n v="0"/>
  </r>
  <r>
    <x v="40"/>
    <x v="32"/>
    <n v="69.599999999999994"/>
    <n v="570.73"/>
    <n v="0"/>
  </r>
  <r>
    <x v="41"/>
    <x v="32"/>
    <n v="69.599999999999994"/>
    <n v="541.26"/>
    <n v="303.06"/>
  </r>
  <r>
    <x v="42"/>
    <x v="32"/>
    <n v="69.599999999999994"/>
    <n v="532.72"/>
    <n v="0"/>
  </r>
  <r>
    <x v="43"/>
    <x v="32"/>
    <n v="69.599999999999994"/>
    <n v="605.32000000000005"/>
    <n v="0"/>
  </r>
  <r>
    <x v="44"/>
    <x v="32"/>
    <n v="69.599999999999994"/>
    <n v="591.09"/>
    <n v="0"/>
  </r>
  <r>
    <x v="45"/>
    <x v="32"/>
    <n v="69.599999999999994"/>
    <n v="588.95000000000005"/>
    <n v="0"/>
  </r>
  <r>
    <x v="46"/>
    <x v="32"/>
    <n v="69.599999999999994"/>
    <n v="511.82"/>
    <n v="0"/>
  </r>
  <r>
    <x v="47"/>
    <x v="32"/>
    <n v="69.599999999999994"/>
    <n v="450.31"/>
    <n v="308.83999999999997"/>
  </r>
  <r>
    <x v="48"/>
    <x v="32"/>
    <n v="69.599999999999994"/>
    <n v="1164.22"/>
    <n v="608.75"/>
  </r>
  <r>
    <x v="49"/>
    <x v="32"/>
    <n v="69.599999999999994"/>
    <n v="519.01"/>
    <n v="282.77"/>
  </r>
  <r>
    <x v="50"/>
    <x v="32"/>
    <n v="69.599999999999994"/>
    <n v="471.13"/>
    <n v="256.79000000000002"/>
  </r>
  <r>
    <x v="51"/>
    <x v="32"/>
    <n v="69.599999999999994"/>
    <n v="455.33"/>
    <n v="263.39"/>
  </r>
  <r>
    <x v="52"/>
    <x v="32"/>
    <n v="69.599999999999994"/>
    <n v="473.26"/>
    <n v="272.08"/>
  </r>
  <r>
    <x v="53"/>
    <x v="32"/>
    <n v="69.599999999999994"/>
    <n v="551.80999999999995"/>
    <n v="0"/>
  </r>
  <r>
    <x v="54"/>
    <x v="32"/>
    <n v="69.599999999999994"/>
    <n v="435.52"/>
    <n v="0"/>
  </r>
  <r>
    <x v="55"/>
    <x v="32"/>
    <n v="69.599999999999994"/>
    <n v="578.37"/>
    <n v="0"/>
  </r>
  <r>
    <x v="56"/>
    <x v="32"/>
    <n v="69.599999999999994"/>
    <n v="519.87"/>
    <n v="0"/>
  </r>
  <r>
    <x v="57"/>
    <x v="32"/>
    <n v="69.599999999999994"/>
    <n v="554.25"/>
    <n v="0"/>
  </r>
  <r>
    <x v="58"/>
    <x v="32"/>
    <n v="69.599999999999994"/>
    <n v="567.95000000000005"/>
    <n v="0"/>
  </r>
  <r>
    <x v="59"/>
    <x v="32"/>
    <n v="69.599999999999994"/>
    <n v="462.76"/>
    <n v="268.39"/>
  </r>
  <r>
    <x v="60"/>
    <x v="32"/>
    <n v="69.599999999999994"/>
    <n v="975.11"/>
    <n v="499.62"/>
  </r>
  <r>
    <x v="61"/>
    <x v="32"/>
    <n v="69.599999999999994"/>
    <n v="529.33000000000004"/>
    <n v="303.39"/>
  </r>
  <r>
    <x v="62"/>
    <x v="32"/>
    <n v="69.599999999999994"/>
    <n v="502.07"/>
    <n v="268.18"/>
  </r>
  <r>
    <x v="63"/>
    <x v="32"/>
    <n v="69.599999999999994"/>
    <n v="478.68"/>
    <n v="269.76"/>
  </r>
  <r>
    <x v="64"/>
    <x v="32"/>
    <n v="69.599999999999994"/>
    <n v="603.13"/>
    <n v="0"/>
  </r>
  <r>
    <x v="65"/>
    <x v="32"/>
    <n v="69.599999999999994"/>
    <n v="589.71"/>
    <n v="0"/>
  </r>
  <r>
    <x v="66"/>
    <x v="32"/>
    <n v="69.599999999999994"/>
    <n v="537.27"/>
    <n v="0"/>
  </r>
  <r>
    <x v="67"/>
    <x v="32"/>
    <n v="69.599999999999994"/>
    <n v="648.59"/>
    <n v="0"/>
  </r>
  <r>
    <x v="68"/>
    <x v="32"/>
    <n v="69.599999999999994"/>
    <n v="475.09"/>
    <n v="0"/>
  </r>
  <r>
    <x v="69"/>
    <x v="32"/>
    <n v="69.599999999999994"/>
    <n v="591.77"/>
    <n v="390.48"/>
  </r>
  <r>
    <x v="70"/>
    <x v="32"/>
    <n v="69.599999999999994"/>
    <n v="674.08"/>
    <n v="403.35"/>
  </r>
  <r>
    <x v="71"/>
    <x v="32"/>
    <n v="69.599999999999994"/>
    <n v="586.13"/>
    <n v="404.62"/>
  </r>
  <r>
    <x v="72"/>
    <x v="32"/>
    <n v="69.599999999999994"/>
    <n v="0"/>
    <n v="0"/>
  </r>
  <r>
    <x v="73"/>
    <x v="32"/>
    <n v="69.599999999999994"/>
    <n v="0"/>
    <n v="0"/>
  </r>
  <r>
    <x v="74"/>
    <x v="32"/>
    <n v="69.599999999999994"/>
    <n v="0"/>
    <n v="0"/>
  </r>
  <r>
    <x v="75"/>
    <x v="32"/>
    <n v="69.599999999999994"/>
    <n v="0"/>
    <n v="0"/>
  </r>
  <r>
    <x v="76"/>
    <x v="32"/>
    <n v="69.599999999999994"/>
    <n v="0"/>
    <n v="0"/>
  </r>
  <r>
    <x v="77"/>
    <x v="32"/>
    <n v="69.599999999999994"/>
    <n v="0"/>
    <n v="0"/>
  </r>
  <r>
    <x v="78"/>
    <x v="32"/>
    <n v="69.599999999999994"/>
    <n v="0"/>
    <n v="0"/>
  </r>
  <r>
    <x v="79"/>
    <x v="32"/>
    <n v="69.599999999999994"/>
    <n v="0"/>
    <n v="0"/>
  </r>
  <r>
    <x v="80"/>
    <x v="32"/>
    <n v="69.599999999999994"/>
    <n v="0"/>
    <n v="0"/>
  </r>
  <r>
    <x v="81"/>
    <x v="32"/>
    <n v="69.599999999999994"/>
    <n v="0"/>
    <n v="0"/>
  </r>
  <r>
    <x v="82"/>
    <x v="32"/>
    <n v="69.599999999999994"/>
    <n v="0"/>
    <n v="0"/>
  </r>
  <r>
    <x v="83"/>
    <x v="32"/>
    <n v="69.599999999999994"/>
    <n v="0"/>
    <n v="0"/>
  </r>
  <r>
    <x v="84"/>
    <x v="32"/>
    <n v="69.599999999999994"/>
    <n v="0"/>
    <n v="0"/>
  </r>
  <r>
    <x v="85"/>
    <x v="32"/>
    <n v="69.599999999999994"/>
    <n v="0"/>
    <n v="0"/>
  </r>
  <r>
    <x v="86"/>
    <x v="32"/>
    <n v="69.599999999999994"/>
    <n v="0"/>
    <n v="0"/>
  </r>
  <r>
    <x v="87"/>
    <x v="32"/>
    <n v="69.599999999999994"/>
    <n v="0"/>
    <n v="0"/>
  </r>
  <r>
    <x v="88"/>
    <x v="32"/>
    <n v="69.599999999999994"/>
    <n v="0"/>
    <n v="0"/>
  </r>
  <r>
    <x v="89"/>
    <x v="32"/>
    <n v="69.599999999999994"/>
    <n v="0"/>
    <n v="0"/>
  </r>
  <r>
    <x v="90"/>
    <x v="32"/>
    <n v="69.599999999999994"/>
    <n v="0"/>
    <n v="0"/>
  </r>
  <r>
    <x v="91"/>
    <x v="32"/>
    <n v="69.599999999999994"/>
    <n v="0"/>
    <n v="0"/>
  </r>
  <r>
    <x v="92"/>
    <x v="32"/>
    <n v="69.599999999999994"/>
    <n v="0"/>
    <n v="0"/>
  </r>
  <r>
    <x v="93"/>
    <x v="32"/>
    <n v="69.599999999999994"/>
    <n v="0"/>
    <n v="0"/>
  </r>
  <r>
    <x v="94"/>
    <x v="32"/>
    <n v="69.599999999999994"/>
    <n v="0"/>
    <n v="0"/>
  </r>
  <r>
    <x v="95"/>
    <x v="32"/>
    <n v="69.599999999999994"/>
    <n v="0"/>
    <n v="0"/>
  </r>
  <r>
    <x v="0"/>
    <x v="33"/>
    <n v="69.900000000000006"/>
    <n v="762.6"/>
    <n v="426.45"/>
  </r>
  <r>
    <x v="1"/>
    <x v="33"/>
    <n v="69.900000000000006"/>
    <n v="435.9"/>
    <n v="261.16000000000003"/>
  </r>
  <r>
    <x v="2"/>
    <x v="33"/>
    <n v="69.900000000000006"/>
    <n v="433.03"/>
    <n v="266.13"/>
  </r>
  <r>
    <x v="3"/>
    <x v="33"/>
    <n v="69.900000000000006"/>
    <n v="408.32"/>
    <n v="270.83999999999997"/>
  </r>
  <r>
    <x v="4"/>
    <x v="33"/>
    <n v="69.900000000000006"/>
    <n v="409.68"/>
    <n v="264.14"/>
  </r>
  <r>
    <x v="5"/>
    <x v="33"/>
    <n v="69.900000000000006"/>
    <n v="421.63"/>
    <n v="264.76"/>
  </r>
  <r>
    <x v="6"/>
    <x v="33"/>
    <n v="69.900000000000006"/>
    <n v="365.67"/>
    <n v="232.4"/>
  </r>
  <r>
    <x v="7"/>
    <x v="33"/>
    <n v="69.900000000000006"/>
    <n v="452.47"/>
    <n v="282"/>
  </r>
  <r>
    <x v="8"/>
    <x v="33"/>
    <n v="69.900000000000006"/>
    <n v="386.11"/>
    <n v="247.56"/>
  </r>
  <r>
    <x v="9"/>
    <x v="33"/>
    <n v="69.900000000000006"/>
    <n v="381.84"/>
    <n v="238.9"/>
  </r>
  <r>
    <x v="10"/>
    <x v="33"/>
    <n v="69.900000000000006"/>
    <n v="379.31"/>
    <n v="233.42"/>
  </r>
  <r>
    <x v="11"/>
    <x v="33"/>
    <n v="69.900000000000006"/>
    <n v="637.33000000000004"/>
    <n v="-579.54"/>
  </r>
  <r>
    <x v="12"/>
    <x v="33"/>
    <n v="69.900000000000006"/>
    <n v="870.35"/>
    <n v="57.17"/>
  </r>
  <r>
    <x v="13"/>
    <x v="33"/>
    <n v="69.900000000000006"/>
    <n v="596.41999999999996"/>
    <n v="28.23"/>
  </r>
  <r>
    <x v="14"/>
    <x v="33"/>
    <n v="69.900000000000006"/>
    <n v="625.32000000000005"/>
    <n v="22.29"/>
  </r>
  <r>
    <x v="15"/>
    <x v="33"/>
    <n v="69.900000000000006"/>
    <n v="568.26"/>
    <n v="-17.239999999999998"/>
  </r>
  <r>
    <x v="16"/>
    <x v="33"/>
    <n v="69.900000000000006"/>
    <n v="602.07000000000005"/>
    <n v="11.31"/>
  </r>
  <r>
    <x v="17"/>
    <x v="33"/>
    <n v="69.900000000000006"/>
    <n v="620.6"/>
    <n v="24.24"/>
  </r>
  <r>
    <x v="18"/>
    <x v="33"/>
    <n v="69.900000000000006"/>
    <n v="579.83000000000004"/>
    <n v="25.37"/>
  </r>
  <r>
    <x v="19"/>
    <x v="33"/>
    <n v="69.900000000000006"/>
    <n v="607.27"/>
    <n v="28.29"/>
  </r>
  <r>
    <x v="20"/>
    <x v="33"/>
    <n v="69.900000000000006"/>
    <n v="614.61"/>
    <n v="28.9"/>
  </r>
  <r>
    <x v="21"/>
    <x v="33"/>
    <n v="69.900000000000006"/>
    <n v="604.04"/>
    <n v="23.18"/>
  </r>
  <r>
    <x v="22"/>
    <x v="33"/>
    <n v="69.900000000000006"/>
    <n v="569.78"/>
    <n v="15.49"/>
  </r>
  <r>
    <x v="23"/>
    <x v="33"/>
    <n v="69.900000000000006"/>
    <n v="603.38"/>
    <n v="-10.78"/>
  </r>
  <r>
    <x v="24"/>
    <x v="33"/>
    <n v="69.900000000000006"/>
    <n v="919.9"/>
    <n v="457.62"/>
  </r>
  <r>
    <x v="25"/>
    <x v="33"/>
    <n v="69.900000000000006"/>
    <n v="480.49"/>
    <n v="264.05"/>
  </r>
  <r>
    <x v="26"/>
    <x v="33"/>
    <n v="69.900000000000006"/>
    <n v="450.74"/>
    <n v="225.38"/>
  </r>
  <r>
    <x v="27"/>
    <x v="33"/>
    <n v="69.900000000000006"/>
    <n v="364.52"/>
    <n v="152.5"/>
  </r>
  <r>
    <x v="28"/>
    <x v="33"/>
    <n v="69.900000000000006"/>
    <n v="434.78"/>
    <n v="241.56"/>
  </r>
  <r>
    <x v="29"/>
    <x v="33"/>
    <n v="69.900000000000006"/>
    <n v="527.92999999999995"/>
    <n v="271.3"/>
  </r>
  <r>
    <x v="30"/>
    <x v="33"/>
    <n v="69.900000000000006"/>
    <n v="493.36"/>
    <n v="252.96"/>
  </r>
  <r>
    <x v="31"/>
    <x v="33"/>
    <n v="69.900000000000006"/>
    <n v="531.46"/>
    <n v="280.02999999999997"/>
  </r>
  <r>
    <x v="32"/>
    <x v="33"/>
    <n v="69.900000000000006"/>
    <n v="424.04"/>
    <n v="232.17"/>
  </r>
  <r>
    <x v="33"/>
    <x v="33"/>
    <n v="69.900000000000006"/>
    <n v="471.91"/>
    <n v="248.56"/>
  </r>
  <r>
    <x v="34"/>
    <x v="33"/>
    <n v="69.900000000000006"/>
    <n v="535.16"/>
    <n v="273.58999999999997"/>
  </r>
  <r>
    <x v="35"/>
    <x v="33"/>
    <n v="69.900000000000006"/>
    <n v="404.2"/>
    <n v="249.06"/>
  </r>
  <r>
    <x v="36"/>
    <x v="33"/>
    <n v="69.900000000000006"/>
    <n v="1107.8499999999999"/>
    <n v="557.26"/>
  </r>
  <r>
    <x v="37"/>
    <x v="33"/>
    <n v="69.900000000000006"/>
    <n v="502.65"/>
    <n v="294.51"/>
  </r>
  <r>
    <x v="38"/>
    <x v="33"/>
    <n v="69.900000000000006"/>
    <n v="576.75"/>
    <n v="354.33"/>
  </r>
  <r>
    <x v="39"/>
    <x v="33"/>
    <n v="69.900000000000006"/>
    <n v="458.28"/>
    <n v="0"/>
  </r>
  <r>
    <x v="40"/>
    <x v="33"/>
    <n v="69.900000000000006"/>
    <n v="579.21"/>
    <n v="0"/>
  </r>
  <r>
    <x v="41"/>
    <x v="33"/>
    <n v="69.900000000000006"/>
    <n v="552.24"/>
    <n v="321.89"/>
  </r>
  <r>
    <x v="42"/>
    <x v="33"/>
    <n v="69.900000000000006"/>
    <n v="541.29"/>
    <n v="0"/>
  </r>
  <r>
    <x v="43"/>
    <x v="33"/>
    <n v="69.900000000000006"/>
    <n v="612.14"/>
    <n v="0"/>
  </r>
  <r>
    <x v="44"/>
    <x v="33"/>
    <n v="69.900000000000006"/>
    <n v="598.37"/>
    <n v="0"/>
  </r>
  <r>
    <x v="45"/>
    <x v="33"/>
    <n v="69.900000000000006"/>
    <n v="597.48"/>
    <n v="0"/>
  </r>
  <r>
    <x v="46"/>
    <x v="33"/>
    <n v="69.900000000000006"/>
    <n v="521.48"/>
    <n v="0"/>
  </r>
  <r>
    <x v="47"/>
    <x v="33"/>
    <n v="69.900000000000006"/>
    <n v="463.7"/>
    <n v="319.23"/>
  </r>
  <r>
    <x v="48"/>
    <x v="33"/>
    <n v="69.900000000000006"/>
    <n v="1172.29"/>
    <n v="610.12"/>
  </r>
  <r>
    <x v="49"/>
    <x v="33"/>
    <n v="69.900000000000006"/>
    <n v="531.22"/>
    <n v="298.06"/>
  </r>
  <r>
    <x v="50"/>
    <x v="33"/>
    <n v="69.900000000000006"/>
    <n v="484.7"/>
    <n v="273.33999999999997"/>
  </r>
  <r>
    <x v="51"/>
    <x v="33"/>
    <n v="69.900000000000006"/>
    <n v="468.27"/>
    <n v="280.27999999999997"/>
  </r>
  <r>
    <x v="52"/>
    <x v="33"/>
    <n v="69.900000000000006"/>
    <n v="483.65"/>
    <n v="285.85000000000002"/>
  </r>
  <r>
    <x v="53"/>
    <x v="33"/>
    <n v="69.900000000000006"/>
    <n v="561.69000000000005"/>
    <n v="0"/>
  </r>
  <r>
    <x v="54"/>
    <x v="33"/>
    <n v="69.900000000000006"/>
    <n v="444.03"/>
    <n v="0"/>
  </r>
  <r>
    <x v="55"/>
    <x v="33"/>
    <n v="69.900000000000006"/>
    <n v="588.02"/>
    <n v="0"/>
  </r>
  <r>
    <x v="56"/>
    <x v="33"/>
    <n v="69.900000000000006"/>
    <n v="529.14"/>
    <n v="0"/>
  </r>
  <r>
    <x v="57"/>
    <x v="33"/>
    <n v="69.900000000000006"/>
    <n v="563.55999999999995"/>
    <n v="0"/>
  </r>
  <r>
    <x v="58"/>
    <x v="33"/>
    <n v="69.900000000000006"/>
    <n v="579.42999999999995"/>
    <n v="0"/>
  </r>
  <r>
    <x v="59"/>
    <x v="33"/>
    <n v="69.900000000000006"/>
    <n v="475.68"/>
    <n v="277.26"/>
  </r>
  <r>
    <x v="60"/>
    <x v="33"/>
    <n v="69.900000000000006"/>
    <n v="982.11"/>
    <n v="502.59"/>
  </r>
  <r>
    <x v="61"/>
    <x v="33"/>
    <n v="69.900000000000006"/>
    <n v="541.53"/>
    <n v="319.05"/>
  </r>
  <r>
    <x v="62"/>
    <x v="33"/>
    <n v="69.900000000000006"/>
    <n v="514.20000000000005"/>
    <n v="282.64"/>
  </r>
  <r>
    <x v="63"/>
    <x v="33"/>
    <n v="69.900000000000006"/>
    <n v="489.96"/>
    <n v="284.39999999999998"/>
  </r>
  <r>
    <x v="64"/>
    <x v="33"/>
    <n v="69.900000000000006"/>
    <n v="614.05999999999995"/>
    <n v="0"/>
  </r>
  <r>
    <x v="65"/>
    <x v="33"/>
    <n v="69.900000000000006"/>
    <n v="601.86"/>
    <n v="0"/>
  </r>
  <r>
    <x v="66"/>
    <x v="33"/>
    <n v="69.900000000000006"/>
    <n v="546.9"/>
    <n v="0"/>
  </r>
  <r>
    <x v="67"/>
    <x v="33"/>
    <n v="69.900000000000006"/>
    <n v="658.49"/>
    <n v="0"/>
  </r>
  <r>
    <x v="68"/>
    <x v="33"/>
    <n v="69.900000000000006"/>
    <n v="479.92"/>
    <n v="0"/>
  </r>
  <r>
    <x v="69"/>
    <x v="33"/>
    <n v="69.900000000000006"/>
    <n v="606.42999999999995"/>
    <n v="401.36"/>
  </r>
  <r>
    <x v="70"/>
    <x v="33"/>
    <n v="69.900000000000006"/>
    <n v="688.34"/>
    <n v="415.48"/>
  </r>
  <r>
    <x v="71"/>
    <x v="33"/>
    <n v="69.900000000000006"/>
    <n v="605.20000000000005"/>
    <n v="419.5"/>
  </r>
  <r>
    <x v="72"/>
    <x v="33"/>
    <n v="69.900000000000006"/>
    <n v="0"/>
    <n v="0"/>
  </r>
  <r>
    <x v="73"/>
    <x v="33"/>
    <n v="69.900000000000006"/>
    <n v="0"/>
    <n v="0"/>
  </r>
  <r>
    <x v="74"/>
    <x v="33"/>
    <n v="69.900000000000006"/>
    <n v="0"/>
    <n v="0"/>
  </r>
  <r>
    <x v="75"/>
    <x v="33"/>
    <n v="69.900000000000006"/>
    <n v="0"/>
    <n v="0"/>
  </r>
  <r>
    <x v="76"/>
    <x v="33"/>
    <n v="69.900000000000006"/>
    <n v="0"/>
    <n v="0"/>
  </r>
  <r>
    <x v="77"/>
    <x v="33"/>
    <n v="69.900000000000006"/>
    <n v="0"/>
    <n v="0"/>
  </r>
  <r>
    <x v="78"/>
    <x v="33"/>
    <n v="69.900000000000006"/>
    <n v="0"/>
    <n v="0"/>
  </r>
  <r>
    <x v="79"/>
    <x v="33"/>
    <n v="69.900000000000006"/>
    <n v="0"/>
    <n v="0"/>
  </r>
  <r>
    <x v="80"/>
    <x v="33"/>
    <n v="69.900000000000006"/>
    <n v="0"/>
    <n v="0"/>
  </r>
  <r>
    <x v="81"/>
    <x v="33"/>
    <n v="69.900000000000006"/>
    <n v="0"/>
    <n v="0"/>
  </r>
  <r>
    <x v="82"/>
    <x v="33"/>
    <n v="69.900000000000006"/>
    <n v="0"/>
    <n v="0"/>
  </r>
  <r>
    <x v="83"/>
    <x v="33"/>
    <n v="69.900000000000006"/>
    <n v="0"/>
    <n v="0"/>
  </r>
  <r>
    <x v="84"/>
    <x v="33"/>
    <n v="69.900000000000006"/>
    <n v="0"/>
    <n v="0"/>
  </r>
  <r>
    <x v="85"/>
    <x v="33"/>
    <n v="69.900000000000006"/>
    <n v="0"/>
    <n v="0"/>
  </r>
  <r>
    <x v="86"/>
    <x v="33"/>
    <n v="69.900000000000006"/>
    <n v="0"/>
    <n v="0"/>
  </r>
  <r>
    <x v="87"/>
    <x v="33"/>
    <n v="69.900000000000006"/>
    <n v="0"/>
    <n v="0"/>
  </r>
  <r>
    <x v="88"/>
    <x v="33"/>
    <n v="69.900000000000006"/>
    <n v="0"/>
    <n v="0"/>
  </r>
  <r>
    <x v="89"/>
    <x v="33"/>
    <n v="69.900000000000006"/>
    <n v="0"/>
    <n v="0"/>
  </r>
  <r>
    <x v="90"/>
    <x v="33"/>
    <n v="69.900000000000006"/>
    <n v="0"/>
    <n v="0"/>
  </r>
  <r>
    <x v="91"/>
    <x v="33"/>
    <n v="69.900000000000006"/>
    <n v="0"/>
    <n v="0"/>
  </r>
  <r>
    <x v="92"/>
    <x v="33"/>
    <n v="69.900000000000006"/>
    <n v="0"/>
    <n v="0"/>
  </r>
  <r>
    <x v="93"/>
    <x v="33"/>
    <n v="69.900000000000006"/>
    <n v="0"/>
    <n v="0"/>
  </r>
  <r>
    <x v="94"/>
    <x v="33"/>
    <n v="69.900000000000006"/>
    <n v="0"/>
    <n v="0"/>
  </r>
  <r>
    <x v="95"/>
    <x v="33"/>
    <n v="69.900000000000006"/>
    <n v="0"/>
    <n v="0"/>
  </r>
  <r>
    <x v="0"/>
    <x v="34"/>
    <n v="70.2"/>
    <n v="769.19"/>
    <n v="445.71"/>
  </r>
  <r>
    <x v="1"/>
    <x v="34"/>
    <n v="70.2"/>
    <n v="446.34"/>
    <n v="277.77999999999997"/>
  </r>
  <r>
    <x v="2"/>
    <x v="34"/>
    <n v="70.2"/>
    <n v="443.09"/>
    <n v="280.13"/>
  </r>
  <r>
    <x v="3"/>
    <x v="34"/>
    <n v="70.2"/>
    <n v="419.22"/>
    <n v="284.93"/>
  </r>
  <r>
    <x v="4"/>
    <x v="34"/>
    <n v="70.2"/>
    <n v="419.83"/>
    <n v="278.88"/>
  </r>
  <r>
    <x v="5"/>
    <x v="34"/>
    <n v="70.2"/>
    <n v="432.24"/>
    <n v="280.77"/>
  </r>
  <r>
    <x v="6"/>
    <x v="34"/>
    <n v="70.2"/>
    <n v="377.61"/>
    <n v="247.54"/>
  </r>
  <r>
    <x v="7"/>
    <x v="34"/>
    <n v="70.2"/>
    <n v="462.16"/>
    <n v="296.23"/>
  </r>
  <r>
    <x v="8"/>
    <x v="34"/>
    <n v="70.2"/>
    <n v="397.57"/>
    <n v="257.39999999999998"/>
  </r>
  <r>
    <x v="9"/>
    <x v="34"/>
    <n v="70.2"/>
    <n v="392.57"/>
    <n v="247.92"/>
  </r>
  <r>
    <x v="10"/>
    <x v="34"/>
    <n v="70.2"/>
    <n v="391.3"/>
    <n v="248.03"/>
  </r>
  <r>
    <x v="11"/>
    <x v="34"/>
    <n v="70.2"/>
    <n v="635.04999999999995"/>
    <n v="-614.12"/>
  </r>
  <r>
    <x v="12"/>
    <x v="34"/>
    <n v="70.2"/>
    <n v="926.41"/>
    <n v="59.32"/>
  </r>
  <r>
    <x v="13"/>
    <x v="34"/>
    <n v="70.2"/>
    <n v="647.75"/>
    <n v="34"/>
  </r>
  <r>
    <x v="14"/>
    <x v="34"/>
    <n v="70.2"/>
    <n v="688.37"/>
    <n v="33.21"/>
  </r>
  <r>
    <x v="15"/>
    <x v="34"/>
    <n v="70.2"/>
    <n v="613.62"/>
    <n v="-17.100000000000001"/>
  </r>
  <r>
    <x v="16"/>
    <x v="34"/>
    <n v="70.2"/>
    <n v="663.14"/>
    <n v="19.989999999999998"/>
  </r>
  <r>
    <x v="17"/>
    <x v="34"/>
    <n v="70.2"/>
    <n v="671.33"/>
    <n v="28.88"/>
  </r>
  <r>
    <x v="18"/>
    <x v="34"/>
    <n v="70.2"/>
    <n v="626.21"/>
    <n v="29.66"/>
  </r>
  <r>
    <x v="19"/>
    <x v="34"/>
    <n v="70.2"/>
    <n v="654.59"/>
    <n v="31.98"/>
  </r>
  <r>
    <x v="20"/>
    <x v="34"/>
    <n v="70.2"/>
    <n v="659.99"/>
    <n v="32.17"/>
  </r>
  <r>
    <x v="21"/>
    <x v="34"/>
    <n v="70.2"/>
    <n v="648.4"/>
    <n v="26.33"/>
  </r>
  <r>
    <x v="22"/>
    <x v="34"/>
    <n v="70.2"/>
    <n v="616.63"/>
    <n v="20.079999999999998"/>
  </r>
  <r>
    <x v="23"/>
    <x v="34"/>
    <n v="70.2"/>
    <n v="649.38"/>
    <n v="-6.26"/>
  </r>
  <r>
    <x v="24"/>
    <x v="34"/>
    <n v="70.2"/>
    <n v="929.95"/>
    <n v="465.04"/>
  </r>
  <r>
    <x v="25"/>
    <x v="34"/>
    <n v="70.2"/>
    <n v="492.77"/>
    <n v="277.73"/>
  </r>
  <r>
    <x v="26"/>
    <x v="34"/>
    <n v="70.2"/>
    <n v="461.3"/>
    <n v="235.43"/>
  </r>
  <r>
    <x v="27"/>
    <x v="34"/>
    <n v="70.2"/>
    <n v="377.6"/>
    <n v="163.27000000000001"/>
  </r>
  <r>
    <x v="28"/>
    <x v="34"/>
    <n v="70.2"/>
    <n v="445"/>
    <n v="251.58"/>
  </r>
  <r>
    <x v="29"/>
    <x v="34"/>
    <n v="70.2"/>
    <n v="537.62"/>
    <n v="280.52"/>
  </r>
  <r>
    <x v="30"/>
    <x v="34"/>
    <n v="70.2"/>
    <n v="503.64"/>
    <n v="261.89999999999998"/>
  </r>
  <r>
    <x v="31"/>
    <x v="34"/>
    <n v="70.2"/>
    <n v="541.12"/>
    <n v="289.11"/>
  </r>
  <r>
    <x v="32"/>
    <x v="34"/>
    <n v="70.2"/>
    <n v="432.52"/>
    <n v="240.68"/>
  </r>
  <r>
    <x v="33"/>
    <x v="34"/>
    <n v="70.2"/>
    <n v="481.85"/>
    <n v="257.39"/>
  </r>
  <r>
    <x v="34"/>
    <x v="34"/>
    <n v="70.2"/>
    <n v="546.35"/>
    <n v="283.04000000000002"/>
  </r>
  <r>
    <x v="35"/>
    <x v="34"/>
    <n v="70.2"/>
    <n v="416.46"/>
    <n v="260.63"/>
  </r>
  <r>
    <x v="36"/>
    <x v="34"/>
    <n v="70.2"/>
    <n v="1114.55"/>
    <n v="559.84"/>
  </r>
  <r>
    <x v="37"/>
    <x v="34"/>
    <n v="70.2"/>
    <n v="513.61"/>
    <n v="307.39"/>
  </r>
  <r>
    <x v="38"/>
    <x v="34"/>
    <n v="70.2"/>
    <n v="590.04"/>
    <n v="371.48"/>
  </r>
  <r>
    <x v="39"/>
    <x v="34"/>
    <n v="70.2"/>
    <n v="467.14"/>
    <n v="0"/>
  </r>
  <r>
    <x v="40"/>
    <x v="34"/>
    <n v="70.2"/>
    <n v="587.63"/>
    <n v="0"/>
  </r>
  <r>
    <x v="41"/>
    <x v="34"/>
    <n v="70.2"/>
    <n v="563.52"/>
    <n v="339.14"/>
  </r>
  <r>
    <x v="42"/>
    <x v="34"/>
    <n v="70.2"/>
    <n v="549.96"/>
    <n v="0"/>
  </r>
  <r>
    <x v="43"/>
    <x v="34"/>
    <n v="70.2"/>
    <n v="618.85"/>
    <n v="0"/>
  </r>
  <r>
    <x v="44"/>
    <x v="34"/>
    <n v="70.2"/>
    <n v="605.52"/>
    <n v="0"/>
  </r>
  <r>
    <x v="45"/>
    <x v="34"/>
    <n v="70.2"/>
    <n v="605.91"/>
    <n v="0"/>
  </r>
  <r>
    <x v="46"/>
    <x v="34"/>
    <n v="70.2"/>
    <n v="531.12"/>
    <n v="0"/>
  </r>
  <r>
    <x v="47"/>
    <x v="34"/>
    <n v="70.2"/>
    <n v="477.1"/>
    <n v="327.33"/>
  </r>
  <r>
    <x v="48"/>
    <x v="34"/>
    <n v="70.2"/>
    <n v="1180.03"/>
    <n v="612.19000000000005"/>
  </r>
  <r>
    <x v="49"/>
    <x v="34"/>
    <n v="70.2"/>
    <n v="543.55999999999995"/>
    <n v="313.8"/>
  </r>
  <r>
    <x v="50"/>
    <x v="34"/>
    <n v="70.2"/>
    <n v="498.64"/>
    <n v="290.75"/>
  </r>
  <r>
    <x v="51"/>
    <x v="34"/>
    <n v="70.2"/>
    <n v="481.55"/>
    <n v="297.77"/>
  </r>
  <r>
    <x v="52"/>
    <x v="34"/>
    <n v="70.2"/>
    <n v="494.27"/>
    <n v="300.55"/>
  </r>
  <r>
    <x v="53"/>
    <x v="34"/>
    <n v="70.2"/>
    <n v="571.62"/>
    <n v="0"/>
  </r>
  <r>
    <x v="54"/>
    <x v="34"/>
    <n v="70.2"/>
    <n v="452.63"/>
    <n v="0"/>
  </r>
  <r>
    <x v="55"/>
    <x v="34"/>
    <n v="70.2"/>
    <n v="597.66999999999996"/>
    <n v="0"/>
  </r>
  <r>
    <x v="56"/>
    <x v="34"/>
    <n v="70.2"/>
    <n v="538.4"/>
    <n v="0"/>
  </r>
  <r>
    <x v="57"/>
    <x v="34"/>
    <n v="70.2"/>
    <n v="572.83000000000004"/>
    <n v="0"/>
  </r>
  <r>
    <x v="58"/>
    <x v="34"/>
    <n v="70.2"/>
    <n v="590.85"/>
    <n v="0"/>
  </r>
  <r>
    <x v="59"/>
    <x v="34"/>
    <n v="70.2"/>
    <n v="488.73"/>
    <n v="286.14"/>
  </r>
  <r>
    <x v="60"/>
    <x v="34"/>
    <n v="70.2"/>
    <n v="988.9"/>
    <n v="506.48"/>
  </r>
  <r>
    <x v="61"/>
    <x v="34"/>
    <n v="70.2"/>
    <n v="553.80999999999995"/>
    <n v="334.64"/>
  </r>
  <r>
    <x v="62"/>
    <x v="34"/>
    <n v="70.2"/>
    <n v="526.66999999999996"/>
    <n v="298.39999999999998"/>
  </r>
  <r>
    <x v="63"/>
    <x v="34"/>
    <n v="70.2"/>
    <n v="501.48"/>
    <n v="299.75"/>
  </r>
  <r>
    <x v="64"/>
    <x v="34"/>
    <n v="70.2"/>
    <n v="625.09"/>
    <n v="0"/>
  </r>
  <r>
    <x v="65"/>
    <x v="34"/>
    <n v="70.2"/>
    <n v="614.16"/>
    <n v="0"/>
  </r>
  <r>
    <x v="66"/>
    <x v="34"/>
    <n v="70.2"/>
    <n v="556.54999999999995"/>
    <n v="0"/>
  </r>
  <r>
    <x v="67"/>
    <x v="34"/>
    <n v="70.2"/>
    <n v="668.51"/>
    <n v="0"/>
  </r>
  <r>
    <x v="68"/>
    <x v="34"/>
    <n v="70.2"/>
    <n v="484.56"/>
    <n v="0"/>
  </r>
  <r>
    <x v="69"/>
    <x v="34"/>
    <n v="70.2"/>
    <n v="620.91"/>
    <n v="410.22"/>
  </r>
  <r>
    <x v="70"/>
    <x v="34"/>
    <n v="70.2"/>
    <n v="702.55"/>
    <n v="427.2"/>
  </r>
  <r>
    <x v="71"/>
    <x v="34"/>
    <n v="70.2"/>
    <n v="624.19000000000005"/>
    <n v="432.62"/>
  </r>
  <r>
    <x v="72"/>
    <x v="34"/>
    <n v="70.2"/>
    <n v="0"/>
    <n v="0"/>
  </r>
  <r>
    <x v="73"/>
    <x v="34"/>
    <n v="70.2"/>
    <n v="0"/>
    <n v="0"/>
  </r>
  <r>
    <x v="74"/>
    <x v="34"/>
    <n v="70.2"/>
    <n v="0"/>
    <n v="0"/>
  </r>
  <r>
    <x v="75"/>
    <x v="34"/>
    <n v="70.2"/>
    <n v="0"/>
    <n v="0"/>
  </r>
  <r>
    <x v="76"/>
    <x v="34"/>
    <n v="70.2"/>
    <n v="0"/>
    <n v="0"/>
  </r>
  <r>
    <x v="77"/>
    <x v="34"/>
    <n v="70.2"/>
    <n v="0"/>
    <n v="0"/>
  </r>
  <r>
    <x v="78"/>
    <x v="34"/>
    <n v="70.2"/>
    <n v="0"/>
    <n v="0"/>
  </r>
  <r>
    <x v="79"/>
    <x v="34"/>
    <n v="70.2"/>
    <n v="0"/>
    <n v="0"/>
  </r>
  <r>
    <x v="80"/>
    <x v="34"/>
    <n v="70.2"/>
    <n v="0"/>
    <n v="0"/>
  </r>
  <r>
    <x v="81"/>
    <x v="34"/>
    <n v="70.2"/>
    <n v="0"/>
    <n v="0"/>
  </r>
  <r>
    <x v="82"/>
    <x v="34"/>
    <n v="70.2"/>
    <n v="0"/>
    <n v="0"/>
  </r>
  <r>
    <x v="83"/>
    <x v="34"/>
    <n v="70.2"/>
    <n v="0"/>
    <n v="0"/>
  </r>
  <r>
    <x v="84"/>
    <x v="34"/>
    <n v="70.2"/>
    <n v="0"/>
    <n v="0"/>
  </r>
  <r>
    <x v="85"/>
    <x v="34"/>
    <n v="70.2"/>
    <n v="0"/>
    <n v="0"/>
  </r>
  <r>
    <x v="86"/>
    <x v="34"/>
    <n v="70.2"/>
    <n v="0"/>
    <n v="0"/>
  </r>
  <r>
    <x v="87"/>
    <x v="34"/>
    <n v="70.2"/>
    <n v="0"/>
    <n v="0"/>
  </r>
  <r>
    <x v="88"/>
    <x v="34"/>
    <n v="70.2"/>
    <n v="0"/>
    <n v="0"/>
  </r>
  <r>
    <x v="89"/>
    <x v="34"/>
    <n v="70.2"/>
    <n v="0"/>
    <n v="0"/>
  </r>
  <r>
    <x v="90"/>
    <x v="34"/>
    <n v="70.2"/>
    <n v="0"/>
    <n v="0"/>
  </r>
  <r>
    <x v="91"/>
    <x v="34"/>
    <n v="70.2"/>
    <n v="0"/>
    <n v="0"/>
  </r>
  <r>
    <x v="92"/>
    <x v="34"/>
    <n v="70.2"/>
    <n v="0"/>
    <n v="0"/>
  </r>
  <r>
    <x v="93"/>
    <x v="34"/>
    <n v="70.2"/>
    <n v="0"/>
    <n v="0"/>
  </r>
  <r>
    <x v="94"/>
    <x v="34"/>
    <n v="70.2"/>
    <n v="0"/>
    <n v="0"/>
  </r>
  <r>
    <x v="95"/>
    <x v="34"/>
    <n v="70.2"/>
    <n v="0"/>
    <n v="0"/>
  </r>
  <r>
    <x v="0"/>
    <x v="35"/>
    <n v="70.5"/>
    <n v="775.49"/>
    <n v="469.1"/>
  </r>
  <r>
    <x v="1"/>
    <x v="35"/>
    <n v="70.5"/>
    <n v="456.7"/>
    <n v="295.16000000000003"/>
  </r>
  <r>
    <x v="2"/>
    <x v="35"/>
    <n v="70.5"/>
    <n v="453.05"/>
    <n v="294.27"/>
  </r>
  <r>
    <x v="3"/>
    <x v="35"/>
    <n v="70.5"/>
    <n v="429.96"/>
    <n v="299.70999999999998"/>
  </r>
  <r>
    <x v="4"/>
    <x v="35"/>
    <n v="70.5"/>
    <n v="429.92"/>
    <n v="293.89"/>
  </r>
  <r>
    <x v="5"/>
    <x v="35"/>
    <n v="70.5"/>
    <n v="442.8"/>
    <n v="296.79000000000002"/>
  </r>
  <r>
    <x v="6"/>
    <x v="35"/>
    <n v="70.5"/>
    <n v="389.53"/>
    <n v="262.85000000000002"/>
  </r>
  <r>
    <x v="7"/>
    <x v="35"/>
    <n v="70.5"/>
    <n v="471.73"/>
    <n v="311.37"/>
  </r>
  <r>
    <x v="8"/>
    <x v="35"/>
    <n v="70.5"/>
    <n v="408.92"/>
    <n v="267.42"/>
  </r>
  <r>
    <x v="9"/>
    <x v="35"/>
    <n v="70.5"/>
    <n v="403.17"/>
    <n v="257.7"/>
  </r>
  <r>
    <x v="10"/>
    <x v="35"/>
    <n v="70.5"/>
    <n v="403.28"/>
    <n v="262.92"/>
  </r>
  <r>
    <x v="11"/>
    <x v="35"/>
    <n v="70.5"/>
    <n v="632.54999999999995"/>
    <n v="-650.65"/>
  </r>
  <r>
    <x v="12"/>
    <x v="35"/>
    <n v="70.5"/>
    <n v="991.6"/>
    <n v="61.48"/>
  </r>
  <r>
    <x v="13"/>
    <x v="35"/>
    <n v="70.5"/>
    <n v="705.24"/>
    <n v="39.43"/>
  </r>
  <r>
    <x v="14"/>
    <x v="35"/>
    <n v="70.5"/>
    <n v="755.48"/>
    <n v="42.67"/>
  </r>
  <r>
    <x v="15"/>
    <x v="35"/>
    <n v="70.5"/>
    <n v="666.87"/>
    <n v="-16.690000000000001"/>
  </r>
  <r>
    <x v="16"/>
    <x v="35"/>
    <n v="70.5"/>
    <n v="728.46"/>
    <n v="28.1"/>
  </r>
  <r>
    <x v="17"/>
    <x v="35"/>
    <n v="70.5"/>
    <n v="729.09"/>
    <n v="33.28"/>
  </r>
  <r>
    <x v="18"/>
    <x v="35"/>
    <n v="70.5"/>
    <n v="678.82"/>
    <n v="33.729999999999997"/>
  </r>
  <r>
    <x v="19"/>
    <x v="35"/>
    <n v="70.5"/>
    <n v="709.16"/>
    <n v="35.83"/>
  </r>
  <r>
    <x v="20"/>
    <x v="35"/>
    <n v="70.5"/>
    <n v="711.8"/>
    <n v="35.44"/>
  </r>
  <r>
    <x v="21"/>
    <x v="35"/>
    <n v="70.5"/>
    <n v="698.53"/>
    <n v="29.44"/>
  </r>
  <r>
    <x v="22"/>
    <x v="35"/>
    <n v="70.5"/>
    <n v="669.93"/>
    <n v="24.39"/>
  </r>
  <r>
    <x v="23"/>
    <x v="35"/>
    <n v="70.5"/>
    <n v="700.64"/>
    <n v="-1.85"/>
  </r>
  <r>
    <x v="24"/>
    <x v="35"/>
    <n v="70.5"/>
    <n v="939.71"/>
    <n v="474.73"/>
  </r>
  <r>
    <x v="25"/>
    <x v="35"/>
    <n v="70.5"/>
    <n v="505.05"/>
    <n v="292.04000000000002"/>
  </r>
  <r>
    <x v="26"/>
    <x v="35"/>
    <n v="70.5"/>
    <n v="471.91"/>
    <n v="246.6"/>
  </r>
  <r>
    <x v="27"/>
    <x v="35"/>
    <n v="70.5"/>
    <n v="391.07"/>
    <n v="178.3"/>
  </r>
  <r>
    <x v="28"/>
    <x v="35"/>
    <n v="70.5"/>
    <n v="455.18"/>
    <n v="263.04000000000002"/>
  </r>
  <r>
    <x v="29"/>
    <x v="35"/>
    <n v="70.5"/>
    <n v="547.19000000000005"/>
    <n v="291.23"/>
  </r>
  <r>
    <x v="30"/>
    <x v="35"/>
    <n v="70.5"/>
    <n v="513.87"/>
    <n v="272.02"/>
  </r>
  <r>
    <x v="31"/>
    <x v="35"/>
    <n v="70.5"/>
    <n v="550.66999999999996"/>
    <n v="299.55"/>
  </r>
  <r>
    <x v="32"/>
    <x v="35"/>
    <n v="70.5"/>
    <n v="440.94"/>
    <n v="250.49"/>
  </r>
  <r>
    <x v="33"/>
    <x v="35"/>
    <n v="70.5"/>
    <n v="491.7"/>
    <n v="267.52999999999997"/>
  </r>
  <r>
    <x v="34"/>
    <x v="35"/>
    <n v="70.5"/>
    <n v="557.44000000000005"/>
    <n v="293.94"/>
  </r>
  <r>
    <x v="35"/>
    <x v="35"/>
    <n v="70.5"/>
    <n v="428.72"/>
    <n v="271.01"/>
  </r>
  <r>
    <x v="36"/>
    <x v="35"/>
    <n v="70.5"/>
    <n v="1120.92"/>
    <n v="563.76"/>
  </r>
  <r>
    <x v="37"/>
    <x v="35"/>
    <n v="70.5"/>
    <n v="524.58000000000004"/>
    <n v="320.58999999999997"/>
  </r>
  <r>
    <x v="38"/>
    <x v="35"/>
    <n v="70.5"/>
    <n v="603.54"/>
    <n v="388.06"/>
  </r>
  <r>
    <x v="39"/>
    <x v="35"/>
    <n v="70.5"/>
    <n v="476"/>
    <n v="0"/>
  </r>
  <r>
    <x v="40"/>
    <x v="35"/>
    <n v="70.5"/>
    <n v="595.92999999999995"/>
    <n v="0"/>
  </r>
  <r>
    <x v="41"/>
    <x v="35"/>
    <n v="70.5"/>
    <n v="575.08000000000004"/>
    <n v="354.76"/>
  </r>
  <r>
    <x v="42"/>
    <x v="35"/>
    <n v="70.5"/>
    <n v="558.71"/>
    <n v="0"/>
  </r>
  <r>
    <x v="43"/>
    <x v="35"/>
    <n v="70.5"/>
    <n v="625.42999999999995"/>
    <n v="0"/>
  </r>
  <r>
    <x v="44"/>
    <x v="35"/>
    <n v="70.5"/>
    <n v="612.47"/>
    <n v="0"/>
  </r>
  <r>
    <x v="45"/>
    <x v="35"/>
    <n v="70.5"/>
    <n v="614.20000000000005"/>
    <n v="0"/>
  </r>
  <r>
    <x v="46"/>
    <x v="35"/>
    <n v="70.5"/>
    <n v="540.66999999999996"/>
    <n v="0"/>
  </r>
  <r>
    <x v="47"/>
    <x v="35"/>
    <n v="70.5"/>
    <n v="490.4"/>
    <n v="333.5"/>
  </r>
  <r>
    <x v="48"/>
    <x v="35"/>
    <n v="70.5"/>
    <n v="1187.4100000000001"/>
    <n v="615.4"/>
  </r>
  <r>
    <x v="49"/>
    <x v="35"/>
    <n v="70.5"/>
    <n v="555.97"/>
    <n v="329.85"/>
  </r>
  <r>
    <x v="50"/>
    <x v="35"/>
    <n v="70.5"/>
    <n v="512.89"/>
    <n v="308.79000000000002"/>
  </r>
  <r>
    <x v="51"/>
    <x v="35"/>
    <n v="70.5"/>
    <n v="495.13"/>
    <n v="315.58"/>
  </r>
  <r>
    <x v="52"/>
    <x v="35"/>
    <n v="70.5"/>
    <n v="505.07"/>
    <n v="315.94"/>
  </r>
  <r>
    <x v="53"/>
    <x v="35"/>
    <n v="70.5"/>
    <n v="581.55999999999995"/>
    <n v="0"/>
  </r>
  <r>
    <x v="54"/>
    <x v="35"/>
    <n v="70.5"/>
    <n v="461.27"/>
    <n v="0"/>
  </r>
  <r>
    <x v="55"/>
    <x v="35"/>
    <n v="70.5"/>
    <n v="607.29"/>
    <n v="0"/>
  </r>
  <r>
    <x v="56"/>
    <x v="35"/>
    <n v="70.5"/>
    <n v="547.57000000000005"/>
    <n v="0"/>
  </r>
  <r>
    <x v="57"/>
    <x v="35"/>
    <n v="70.5"/>
    <n v="581.98"/>
    <n v="0"/>
  </r>
  <r>
    <x v="58"/>
    <x v="35"/>
    <n v="70.5"/>
    <n v="602.11"/>
    <n v="0"/>
  </r>
  <r>
    <x v="59"/>
    <x v="35"/>
    <n v="70.5"/>
    <n v="501.82"/>
    <n v="294.88"/>
  </r>
  <r>
    <x v="60"/>
    <x v="35"/>
    <n v="70.5"/>
    <n v="995.47"/>
    <n v="511.5"/>
  </r>
  <r>
    <x v="61"/>
    <x v="35"/>
    <n v="70.5"/>
    <n v="566.11"/>
    <n v="350.03"/>
  </r>
  <r>
    <x v="62"/>
    <x v="35"/>
    <n v="70.5"/>
    <n v="539.46"/>
    <n v="315.54000000000002"/>
  </r>
  <r>
    <x v="63"/>
    <x v="35"/>
    <n v="70.5"/>
    <n v="513.19000000000005"/>
    <n v="315.58"/>
  </r>
  <r>
    <x v="64"/>
    <x v="35"/>
    <n v="70.5"/>
    <n v="636.19000000000005"/>
    <n v="0"/>
  </r>
  <r>
    <x v="65"/>
    <x v="35"/>
    <n v="70.5"/>
    <n v="626.54"/>
    <n v="0"/>
  </r>
  <r>
    <x v="66"/>
    <x v="35"/>
    <n v="70.5"/>
    <n v="566.14"/>
    <n v="0"/>
  </r>
  <r>
    <x v="67"/>
    <x v="35"/>
    <n v="70.5"/>
    <n v="678.62"/>
    <n v="0"/>
  </r>
  <r>
    <x v="68"/>
    <x v="35"/>
    <n v="70.5"/>
    <n v="488.97"/>
    <n v="0"/>
  </r>
  <r>
    <x v="69"/>
    <x v="35"/>
    <n v="70.5"/>
    <n v="635.09"/>
    <n v="417.18"/>
  </r>
  <r>
    <x v="70"/>
    <x v="35"/>
    <n v="70.5"/>
    <n v="716.6"/>
    <n v="438.52"/>
  </r>
  <r>
    <x v="71"/>
    <x v="35"/>
    <n v="70.5"/>
    <n v="642.95000000000005"/>
    <n v="444.14"/>
  </r>
  <r>
    <x v="72"/>
    <x v="35"/>
    <n v="70.5"/>
    <n v="0"/>
    <n v="0"/>
  </r>
  <r>
    <x v="73"/>
    <x v="35"/>
    <n v="70.5"/>
    <n v="0"/>
    <n v="0"/>
  </r>
  <r>
    <x v="74"/>
    <x v="35"/>
    <n v="70.5"/>
    <n v="0"/>
    <n v="0"/>
  </r>
  <r>
    <x v="75"/>
    <x v="35"/>
    <n v="70.5"/>
    <n v="0"/>
    <n v="0"/>
  </r>
  <r>
    <x v="76"/>
    <x v="35"/>
    <n v="70.5"/>
    <n v="0"/>
    <n v="0"/>
  </r>
  <r>
    <x v="77"/>
    <x v="35"/>
    <n v="70.5"/>
    <n v="0"/>
    <n v="0"/>
  </r>
  <r>
    <x v="78"/>
    <x v="35"/>
    <n v="70.5"/>
    <n v="0"/>
    <n v="0"/>
  </r>
  <r>
    <x v="79"/>
    <x v="35"/>
    <n v="70.5"/>
    <n v="0"/>
    <n v="0"/>
  </r>
  <r>
    <x v="80"/>
    <x v="35"/>
    <n v="70.5"/>
    <n v="0"/>
    <n v="0"/>
  </r>
  <r>
    <x v="81"/>
    <x v="35"/>
    <n v="70.5"/>
    <n v="0"/>
    <n v="0"/>
  </r>
  <r>
    <x v="82"/>
    <x v="35"/>
    <n v="70.5"/>
    <n v="0"/>
    <n v="0"/>
  </r>
  <r>
    <x v="83"/>
    <x v="35"/>
    <n v="70.5"/>
    <n v="0"/>
    <n v="0"/>
  </r>
  <r>
    <x v="84"/>
    <x v="35"/>
    <n v="70.5"/>
    <n v="0"/>
    <n v="0"/>
  </r>
  <r>
    <x v="85"/>
    <x v="35"/>
    <n v="70.5"/>
    <n v="0"/>
    <n v="0"/>
  </r>
  <r>
    <x v="86"/>
    <x v="35"/>
    <n v="70.5"/>
    <n v="0"/>
    <n v="0"/>
  </r>
  <r>
    <x v="87"/>
    <x v="35"/>
    <n v="70.5"/>
    <n v="0"/>
    <n v="0"/>
  </r>
  <r>
    <x v="88"/>
    <x v="35"/>
    <n v="70.5"/>
    <n v="0"/>
    <n v="0"/>
  </r>
  <r>
    <x v="89"/>
    <x v="35"/>
    <n v="70.5"/>
    <n v="0"/>
    <n v="0"/>
  </r>
  <r>
    <x v="90"/>
    <x v="35"/>
    <n v="70.5"/>
    <n v="0"/>
    <n v="0"/>
  </r>
  <r>
    <x v="91"/>
    <x v="35"/>
    <n v="70.5"/>
    <n v="0"/>
    <n v="0"/>
  </r>
  <r>
    <x v="92"/>
    <x v="35"/>
    <n v="70.5"/>
    <n v="0"/>
    <n v="0"/>
  </r>
  <r>
    <x v="93"/>
    <x v="35"/>
    <n v="70.5"/>
    <n v="0"/>
    <n v="0"/>
  </r>
  <r>
    <x v="94"/>
    <x v="35"/>
    <n v="70.5"/>
    <n v="0"/>
    <n v="0"/>
  </r>
  <r>
    <x v="95"/>
    <x v="35"/>
    <n v="70.5"/>
    <n v="0"/>
    <n v="0"/>
  </r>
  <r>
    <x v="0"/>
    <x v="36"/>
    <n v="70.8"/>
    <n v="781.5"/>
    <n v="497.32"/>
  </r>
  <r>
    <x v="1"/>
    <x v="36"/>
    <n v="70.8"/>
    <n v="466.92"/>
    <n v="313.83"/>
  </r>
  <r>
    <x v="2"/>
    <x v="36"/>
    <n v="70.8"/>
    <n v="462.85"/>
    <n v="309.35000000000002"/>
  </r>
  <r>
    <x v="3"/>
    <x v="36"/>
    <n v="70.8"/>
    <n v="440.47"/>
    <n v="315.95999999999998"/>
  </r>
  <r>
    <x v="4"/>
    <x v="36"/>
    <n v="70.8"/>
    <n v="439.88"/>
    <n v="309.74"/>
  </r>
  <r>
    <x v="5"/>
    <x v="36"/>
    <n v="70.8"/>
    <n v="453.25"/>
    <n v="313.26"/>
  </r>
  <r>
    <x v="6"/>
    <x v="36"/>
    <n v="70.8"/>
    <n v="401.33"/>
    <n v="279.12"/>
  </r>
  <r>
    <x v="7"/>
    <x v="36"/>
    <n v="70.8"/>
    <n v="481.12"/>
    <n v="328.27"/>
  </r>
  <r>
    <x v="8"/>
    <x v="36"/>
    <n v="70.8"/>
    <n v="420.1"/>
    <n v="278.7"/>
  </r>
  <r>
    <x v="9"/>
    <x v="36"/>
    <n v="70.8"/>
    <n v="413.55"/>
    <n v="269.37"/>
  </r>
  <r>
    <x v="10"/>
    <x v="36"/>
    <n v="70.8"/>
    <n v="415.17"/>
    <n v="278.99"/>
  </r>
  <r>
    <x v="11"/>
    <x v="36"/>
    <n v="70.8"/>
    <n v="629.82000000000005"/>
    <n v="-689.15"/>
  </r>
  <r>
    <x v="12"/>
    <x v="36"/>
    <n v="70.8"/>
    <n v="1067.83"/>
    <n v="63.74"/>
  </r>
  <r>
    <x v="13"/>
    <x v="36"/>
    <n v="70.8"/>
    <n v="770.48"/>
    <n v="44.57"/>
  </r>
  <r>
    <x v="14"/>
    <x v="36"/>
    <n v="70.8"/>
    <n v="828.37"/>
    <n v="50.35"/>
  </r>
  <r>
    <x v="15"/>
    <x v="36"/>
    <n v="70.8"/>
    <n v="731.65"/>
    <n v="-15.03"/>
  </r>
  <r>
    <x v="16"/>
    <x v="36"/>
    <n v="70.8"/>
    <n v="799.29"/>
    <n v="35.520000000000003"/>
  </r>
  <r>
    <x v="17"/>
    <x v="36"/>
    <n v="70.8"/>
    <n v="795.6"/>
    <n v="37.42"/>
  </r>
  <r>
    <x v="18"/>
    <x v="36"/>
    <n v="70.8"/>
    <n v="739.13"/>
    <n v="37.54"/>
  </r>
  <r>
    <x v="19"/>
    <x v="36"/>
    <n v="70.8"/>
    <n v="772.65"/>
    <n v="39.81"/>
  </r>
  <r>
    <x v="20"/>
    <x v="36"/>
    <n v="70.8"/>
    <n v="771.71"/>
    <n v="38.68"/>
  </r>
  <r>
    <x v="21"/>
    <x v="36"/>
    <n v="70.8"/>
    <n v="756.04"/>
    <n v="32.46"/>
  </r>
  <r>
    <x v="22"/>
    <x v="36"/>
    <n v="70.8"/>
    <n v="731.23"/>
    <n v="28.39"/>
  </r>
  <r>
    <x v="23"/>
    <x v="36"/>
    <n v="70.8"/>
    <n v="759.19"/>
    <n v="2.4500000000000002"/>
  </r>
  <r>
    <x v="24"/>
    <x v="36"/>
    <n v="70.8"/>
    <n v="949.16"/>
    <n v="487.1"/>
  </r>
  <r>
    <x v="25"/>
    <x v="36"/>
    <n v="70.8"/>
    <n v="517.24"/>
    <n v="307.06"/>
  </r>
  <r>
    <x v="26"/>
    <x v="36"/>
    <n v="70.8"/>
    <n v="482.52"/>
    <n v="259.54000000000002"/>
  </r>
  <r>
    <x v="27"/>
    <x v="36"/>
    <n v="70.8"/>
    <n v="404.93"/>
    <n v="199.69"/>
  </r>
  <r>
    <x v="28"/>
    <x v="36"/>
    <n v="70.8"/>
    <n v="465.27"/>
    <n v="276.17"/>
  </r>
  <r>
    <x v="29"/>
    <x v="36"/>
    <n v="70.8"/>
    <n v="556.62"/>
    <n v="303.70999999999998"/>
  </r>
  <r>
    <x v="30"/>
    <x v="36"/>
    <n v="70.8"/>
    <n v="524.02"/>
    <n v="283.79000000000002"/>
  </r>
  <r>
    <x v="31"/>
    <x v="36"/>
    <n v="70.8"/>
    <n v="560.07000000000005"/>
    <n v="311.62"/>
  </r>
  <r>
    <x v="32"/>
    <x v="36"/>
    <n v="70.8"/>
    <n v="449.24"/>
    <n v="261.83999999999997"/>
  </r>
  <r>
    <x v="33"/>
    <x v="36"/>
    <n v="70.8"/>
    <n v="501.41"/>
    <n v="279.26"/>
  </r>
  <r>
    <x v="34"/>
    <x v="36"/>
    <n v="70.8"/>
    <n v="568.35"/>
    <n v="306.72000000000003"/>
  </r>
  <r>
    <x v="35"/>
    <x v="36"/>
    <n v="70.8"/>
    <n v="440.91"/>
    <n v="280.36"/>
  </r>
  <r>
    <x v="36"/>
    <x v="36"/>
    <n v="70.8"/>
    <n v="1126.94"/>
    <n v="569.34"/>
  </r>
  <r>
    <x v="37"/>
    <x v="36"/>
    <n v="70.8"/>
    <n v="535.49"/>
    <n v="334.14"/>
  </r>
  <r>
    <x v="38"/>
    <x v="36"/>
    <n v="70.8"/>
    <n v="617.15"/>
    <n v="404.8"/>
  </r>
  <r>
    <x v="39"/>
    <x v="36"/>
    <n v="70.8"/>
    <n v="484.81"/>
    <n v="0"/>
  </r>
  <r>
    <x v="40"/>
    <x v="36"/>
    <n v="70.8"/>
    <n v="604.05999999999995"/>
    <n v="0"/>
  </r>
  <r>
    <x v="41"/>
    <x v="36"/>
    <n v="70.8"/>
    <n v="586.85"/>
    <n v="369.5"/>
  </r>
  <r>
    <x v="42"/>
    <x v="36"/>
    <n v="70.8"/>
    <n v="567.49"/>
    <n v="0"/>
  </r>
  <r>
    <x v="43"/>
    <x v="36"/>
    <n v="70.8"/>
    <n v="631.83000000000004"/>
    <n v="0"/>
  </r>
  <r>
    <x v="44"/>
    <x v="36"/>
    <n v="70.8"/>
    <n v="619.20000000000005"/>
    <n v="0"/>
  </r>
  <r>
    <x v="45"/>
    <x v="36"/>
    <n v="70.8"/>
    <n v="622.28"/>
    <n v="0"/>
  </r>
  <r>
    <x v="46"/>
    <x v="36"/>
    <n v="70.8"/>
    <n v="550.07000000000005"/>
    <n v="0"/>
  </r>
  <r>
    <x v="47"/>
    <x v="36"/>
    <n v="70.8"/>
    <n v="503.5"/>
    <n v="338.27"/>
  </r>
  <r>
    <x v="48"/>
    <x v="36"/>
    <n v="70.8"/>
    <n v="1194.4000000000001"/>
    <n v="620.35"/>
  </r>
  <r>
    <x v="49"/>
    <x v="36"/>
    <n v="70.8"/>
    <n v="568.35"/>
    <n v="346.07"/>
  </r>
  <r>
    <x v="50"/>
    <x v="36"/>
    <n v="70.8"/>
    <n v="527.39"/>
    <n v="327.14999999999998"/>
  </r>
  <r>
    <x v="51"/>
    <x v="36"/>
    <n v="70.8"/>
    <n v="508.93"/>
    <n v="333.41"/>
  </r>
  <r>
    <x v="52"/>
    <x v="36"/>
    <n v="70.8"/>
    <n v="516"/>
    <n v="331.7"/>
  </r>
  <r>
    <x v="53"/>
    <x v="36"/>
    <n v="70.8"/>
    <n v="591.45000000000005"/>
    <n v="0"/>
  </r>
  <r>
    <x v="54"/>
    <x v="36"/>
    <n v="70.8"/>
    <n v="469.89"/>
    <n v="0"/>
  </r>
  <r>
    <x v="55"/>
    <x v="36"/>
    <n v="70.8"/>
    <n v="616.80999999999995"/>
    <n v="0"/>
  </r>
  <r>
    <x v="56"/>
    <x v="36"/>
    <n v="70.8"/>
    <n v="556.62"/>
    <n v="0"/>
  </r>
  <r>
    <x v="57"/>
    <x v="36"/>
    <n v="70.8"/>
    <n v="590.97"/>
    <n v="0"/>
  </r>
  <r>
    <x v="58"/>
    <x v="36"/>
    <n v="70.8"/>
    <n v="613.12"/>
    <n v="0"/>
  </r>
  <r>
    <x v="59"/>
    <x v="36"/>
    <n v="70.8"/>
    <n v="514.86"/>
    <n v="303.31"/>
  </r>
  <r>
    <x v="60"/>
    <x v="36"/>
    <n v="70.8"/>
    <n v="1001.81"/>
    <n v="517.85"/>
  </r>
  <r>
    <x v="61"/>
    <x v="36"/>
    <n v="70.8"/>
    <n v="578.33000000000004"/>
    <n v="365.11"/>
  </r>
  <r>
    <x v="62"/>
    <x v="36"/>
    <n v="70.8"/>
    <n v="552.51"/>
    <n v="334.08"/>
  </r>
  <r>
    <x v="63"/>
    <x v="36"/>
    <n v="70.8"/>
    <n v="525.03"/>
    <n v="331.61"/>
  </r>
  <r>
    <x v="64"/>
    <x v="36"/>
    <n v="70.8"/>
    <n v="647.29"/>
    <n v="0"/>
  </r>
  <r>
    <x v="65"/>
    <x v="36"/>
    <n v="70.8"/>
    <n v="638.91999999999996"/>
    <n v="0"/>
  </r>
  <r>
    <x v="66"/>
    <x v="36"/>
    <n v="70.8"/>
    <n v="575.62"/>
    <n v="0"/>
  </r>
  <r>
    <x v="67"/>
    <x v="36"/>
    <n v="70.8"/>
    <n v="688.79"/>
    <n v="0"/>
  </r>
  <r>
    <x v="68"/>
    <x v="36"/>
    <n v="70.8"/>
    <n v="493.1"/>
    <n v="0"/>
  </r>
  <r>
    <x v="69"/>
    <x v="36"/>
    <n v="70.8"/>
    <n v="648.84"/>
    <n v="422.64"/>
  </r>
  <r>
    <x v="70"/>
    <x v="36"/>
    <n v="70.8"/>
    <n v="730.35"/>
    <n v="449.44"/>
  </r>
  <r>
    <x v="71"/>
    <x v="36"/>
    <n v="70.8"/>
    <n v="661.27"/>
    <n v="454.24"/>
  </r>
  <r>
    <x v="72"/>
    <x v="36"/>
    <n v="70.8"/>
    <n v="0"/>
    <n v="0"/>
  </r>
  <r>
    <x v="73"/>
    <x v="36"/>
    <n v="70.8"/>
    <n v="0"/>
    <n v="0"/>
  </r>
  <r>
    <x v="74"/>
    <x v="36"/>
    <n v="70.8"/>
    <n v="0"/>
    <n v="0"/>
  </r>
  <r>
    <x v="75"/>
    <x v="36"/>
    <n v="70.8"/>
    <n v="0"/>
    <n v="0"/>
  </r>
  <r>
    <x v="76"/>
    <x v="36"/>
    <n v="70.8"/>
    <n v="0"/>
    <n v="0"/>
  </r>
  <r>
    <x v="77"/>
    <x v="36"/>
    <n v="70.8"/>
    <n v="0"/>
    <n v="0"/>
  </r>
  <r>
    <x v="78"/>
    <x v="36"/>
    <n v="70.8"/>
    <n v="0"/>
    <n v="0"/>
  </r>
  <r>
    <x v="79"/>
    <x v="36"/>
    <n v="70.8"/>
    <n v="0"/>
    <n v="0"/>
  </r>
  <r>
    <x v="80"/>
    <x v="36"/>
    <n v="70.8"/>
    <n v="0"/>
    <n v="0"/>
  </r>
  <r>
    <x v="81"/>
    <x v="36"/>
    <n v="70.8"/>
    <n v="0"/>
    <n v="0"/>
  </r>
  <r>
    <x v="82"/>
    <x v="36"/>
    <n v="70.8"/>
    <n v="0"/>
    <n v="0"/>
  </r>
  <r>
    <x v="83"/>
    <x v="36"/>
    <n v="70.8"/>
    <n v="0"/>
    <n v="0"/>
  </r>
  <r>
    <x v="84"/>
    <x v="36"/>
    <n v="70.8"/>
    <n v="0"/>
    <n v="0"/>
  </r>
  <r>
    <x v="85"/>
    <x v="36"/>
    <n v="70.8"/>
    <n v="0"/>
    <n v="0"/>
  </r>
  <r>
    <x v="86"/>
    <x v="36"/>
    <n v="70.8"/>
    <n v="0"/>
    <n v="0"/>
  </r>
  <r>
    <x v="87"/>
    <x v="36"/>
    <n v="70.8"/>
    <n v="0"/>
    <n v="0"/>
  </r>
  <r>
    <x v="88"/>
    <x v="36"/>
    <n v="70.8"/>
    <n v="0"/>
    <n v="0"/>
  </r>
  <r>
    <x v="89"/>
    <x v="36"/>
    <n v="70.8"/>
    <n v="0"/>
    <n v="0"/>
  </r>
  <r>
    <x v="90"/>
    <x v="36"/>
    <n v="70.8"/>
    <n v="0"/>
    <n v="0"/>
  </r>
  <r>
    <x v="91"/>
    <x v="36"/>
    <n v="70.8"/>
    <n v="0"/>
    <n v="0"/>
  </r>
  <r>
    <x v="92"/>
    <x v="36"/>
    <n v="70.8"/>
    <n v="0"/>
    <n v="0"/>
  </r>
  <r>
    <x v="93"/>
    <x v="36"/>
    <n v="70.8"/>
    <n v="0"/>
    <n v="0"/>
  </r>
  <r>
    <x v="94"/>
    <x v="36"/>
    <n v="70.8"/>
    <n v="0"/>
    <n v="0"/>
  </r>
  <r>
    <x v="95"/>
    <x v="36"/>
    <n v="70.8"/>
    <n v="0"/>
    <n v="0"/>
  </r>
  <r>
    <x v="0"/>
    <x v="37"/>
    <n v="71.099999999999994"/>
    <n v="787.18"/>
    <n v="531.24"/>
  </r>
  <r>
    <x v="1"/>
    <x v="37"/>
    <n v="71.099999999999994"/>
    <n v="476.93"/>
    <n v="334.62"/>
  </r>
  <r>
    <x v="2"/>
    <x v="37"/>
    <n v="71.099999999999994"/>
    <n v="472.41"/>
    <n v="326.54000000000002"/>
  </r>
  <r>
    <x v="3"/>
    <x v="37"/>
    <n v="71.099999999999994"/>
    <n v="450.68"/>
    <n v="334.62"/>
  </r>
  <r>
    <x v="4"/>
    <x v="37"/>
    <n v="71.099999999999994"/>
    <n v="449.64"/>
    <n v="327.27999999999997"/>
  </r>
  <r>
    <x v="5"/>
    <x v="37"/>
    <n v="71.099999999999994"/>
    <n v="463.51"/>
    <n v="330.93"/>
  </r>
  <r>
    <x v="6"/>
    <x v="37"/>
    <n v="71.099999999999994"/>
    <n v="412.94"/>
    <n v="297.43"/>
  </r>
  <r>
    <x v="7"/>
    <x v="37"/>
    <n v="71.099999999999994"/>
    <n v="490.26"/>
    <n v="348.11"/>
  </r>
  <r>
    <x v="8"/>
    <x v="37"/>
    <n v="71.099999999999994"/>
    <n v="431.04"/>
    <n v="292.64"/>
  </r>
  <r>
    <x v="9"/>
    <x v="37"/>
    <n v="71.099999999999994"/>
    <n v="423.66"/>
    <n v="284.26"/>
  </r>
  <r>
    <x v="10"/>
    <x v="37"/>
    <n v="71.099999999999994"/>
    <n v="426.9"/>
    <n v="297.52999999999997"/>
  </r>
  <r>
    <x v="11"/>
    <x v="37"/>
    <n v="71.099999999999994"/>
    <n v="626.80999999999995"/>
    <n v="-729.63"/>
  </r>
  <r>
    <x v="12"/>
    <x v="37"/>
    <n v="71.099999999999994"/>
    <n v="1157.42"/>
    <n v="66.27"/>
  </r>
  <r>
    <x v="13"/>
    <x v="37"/>
    <n v="71.099999999999994"/>
    <n v="845.21"/>
    <n v="49.45"/>
  </r>
  <r>
    <x v="14"/>
    <x v="37"/>
    <n v="71.099999999999994"/>
    <n v="909.86"/>
    <n v="56.4"/>
  </r>
  <r>
    <x v="15"/>
    <x v="37"/>
    <n v="71.099999999999994"/>
    <n v="812.77"/>
    <n v="-10.78"/>
  </r>
  <r>
    <x v="16"/>
    <x v="37"/>
    <n v="71.099999999999994"/>
    <n v="877.81"/>
    <n v="42.19"/>
  </r>
  <r>
    <x v="17"/>
    <x v="37"/>
    <n v="71.099999999999994"/>
    <n v="872.85"/>
    <n v="41.31"/>
  </r>
  <r>
    <x v="18"/>
    <x v="37"/>
    <n v="71.099999999999994"/>
    <n v="808.86"/>
    <n v="41.06"/>
  </r>
  <r>
    <x v="19"/>
    <x v="37"/>
    <n v="71.099999999999994"/>
    <n v="846.98"/>
    <n v="43.94"/>
  </r>
  <r>
    <x v="20"/>
    <x v="37"/>
    <n v="71.099999999999994"/>
    <n v="841.73"/>
    <n v="41.87"/>
  </r>
  <r>
    <x v="21"/>
    <x v="37"/>
    <n v="71.099999999999994"/>
    <n v="822.99"/>
    <n v="35.369999999999997"/>
  </r>
  <r>
    <x v="22"/>
    <x v="37"/>
    <n v="71.099999999999994"/>
    <n v="802.44"/>
    <n v="32.1"/>
  </r>
  <r>
    <x v="23"/>
    <x v="37"/>
    <n v="71.099999999999994"/>
    <n v="827.48"/>
    <n v="6.63"/>
  </r>
  <r>
    <x v="24"/>
    <x v="37"/>
    <n v="71.099999999999994"/>
    <n v="958.31"/>
    <n v="502.7"/>
  </r>
  <r>
    <x v="25"/>
    <x v="37"/>
    <n v="71.099999999999994"/>
    <n v="529.29"/>
    <n v="322.98"/>
  </r>
  <r>
    <x v="26"/>
    <x v="37"/>
    <n v="71.099999999999994"/>
    <n v="493.1"/>
    <n v="274.99"/>
  </r>
  <r>
    <x v="27"/>
    <x v="37"/>
    <n v="71.099999999999994"/>
    <n v="419.14"/>
    <n v="229.25"/>
  </r>
  <r>
    <x v="28"/>
    <x v="37"/>
    <n v="71.099999999999994"/>
    <n v="475.22"/>
    <n v="291.27"/>
  </r>
  <r>
    <x v="29"/>
    <x v="37"/>
    <n v="71.099999999999994"/>
    <n v="565.89"/>
    <n v="318.23"/>
  </r>
  <r>
    <x v="30"/>
    <x v="37"/>
    <n v="71.099999999999994"/>
    <n v="534.04"/>
    <n v="297.83"/>
  </r>
  <r>
    <x v="31"/>
    <x v="37"/>
    <n v="71.099999999999994"/>
    <n v="569.29"/>
    <n v="325.61"/>
  </r>
  <r>
    <x v="32"/>
    <x v="37"/>
    <n v="71.099999999999994"/>
    <n v="457.4"/>
    <n v="274.99"/>
  </r>
  <r>
    <x v="33"/>
    <x v="37"/>
    <n v="71.099999999999994"/>
    <n v="510.96"/>
    <n v="292.89"/>
  </r>
  <r>
    <x v="34"/>
    <x v="37"/>
    <n v="71.099999999999994"/>
    <n v="579.05999999999995"/>
    <n v="321.89"/>
  </r>
  <r>
    <x v="35"/>
    <x v="37"/>
    <n v="71.099999999999994"/>
    <n v="452.96"/>
    <n v="289.14"/>
  </r>
  <r>
    <x v="36"/>
    <x v="37"/>
    <n v="71.099999999999994"/>
    <n v="1132.6199999999999"/>
    <n v="576.88"/>
  </r>
  <r>
    <x v="37"/>
    <x v="37"/>
    <n v="71.099999999999994"/>
    <n v="546.24"/>
    <n v="348.09"/>
  </r>
  <r>
    <x v="38"/>
    <x v="37"/>
    <n v="71.099999999999994"/>
    <n v="630.79"/>
    <n v="422.29"/>
  </r>
  <r>
    <x v="39"/>
    <x v="37"/>
    <n v="71.099999999999994"/>
    <n v="493.49"/>
    <n v="0"/>
  </r>
  <r>
    <x v="40"/>
    <x v="37"/>
    <n v="71.099999999999994"/>
    <n v="611.95000000000005"/>
    <n v="0"/>
  </r>
  <r>
    <x v="41"/>
    <x v="37"/>
    <n v="71.099999999999994"/>
    <n v="598.78"/>
    <n v="384.33"/>
  </r>
  <r>
    <x v="42"/>
    <x v="37"/>
    <n v="71.099999999999994"/>
    <n v="576.29"/>
    <n v="0"/>
  </r>
  <r>
    <x v="43"/>
    <x v="37"/>
    <n v="71.099999999999994"/>
    <n v="638.03"/>
    <n v="0"/>
  </r>
  <r>
    <x v="44"/>
    <x v="37"/>
    <n v="71.099999999999994"/>
    <n v="625.65"/>
    <n v="0"/>
  </r>
  <r>
    <x v="45"/>
    <x v="37"/>
    <n v="71.099999999999994"/>
    <n v="630.11"/>
    <n v="0"/>
  </r>
  <r>
    <x v="46"/>
    <x v="37"/>
    <n v="71.099999999999994"/>
    <n v="559.25"/>
    <n v="0"/>
  </r>
  <r>
    <x v="47"/>
    <x v="37"/>
    <n v="71.099999999999994"/>
    <n v="516.28"/>
    <n v="342.26"/>
  </r>
  <r>
    <x v="48"/>
    <x v="37"/>
    <n v="71.099999999999994"/>
    <n v="1201.02"/>
    <n v="627.82000000000005"/>
  </r>
  <r>
    <x v="49"/>
    <x v="37"/>
    <n v="71.099999999999994"/>
    <n v="580.61"/>
    <n v="362.38"/>
  </r>
  <r>
    <x v="50"/>
    <x v="37"/>
    <n v="71.099999999999994"/>
    <n v="542.05999999999995"/>
    <n v="345.46"/>
  </r>
  <r>
    <x v="51"/>
    <x v="37"/>
    <n v="71.099999999999994"/>
    <n v="522.88"/>
    <n v="350.91"/>
  </r>
  <r>
    <x v="52"/>
    <x v="37"/>
    <n v="71.099999999999994"/>
    <n v="527.01"/>
    <n v="347.45"/>
  </r>
  <r>
    <x v="53"/>
    <x v="37"/>
    <n v="71.099999999999994"/>
    <n v="601.25"/>
    <n v="0"/>
  </r>
  <r>
    <x v="54"/>
    <x v="37"/>
    <n v="71.099999999999994"/>
    <n v="478.43"/>
    <n v="0"/>
  </r>
  <r>
    <x v="55"/>
    <x v="37"/>
    <n v="71.099999999999994"/>
    <n v="626.19000000000005"/>
    <n v="0"/>
  </r>
  <r>
    <x v="56"/>
    <x v="37"/>
    <n v="71.099999999999994"/>
    <n v="565.45000000000005"/>
    <n v="0"/>
  </r>
  <r>
    <x v="57"/>
    <x v="37"/>
    <n v="71.099999999999994"/>
    <n v="599.74"/>
    <n v="0"/>
  </r>
  <r>
    <x v="58"/>
    <x v="37"/>
    <n v="71.099999999999994"/>
    <n v="623.80999999999995"/>
    <n v="0"/>
  </r>
  <r>
    <x v="59"/>
    <x v="37"/>
    <n v="71.099999999999994"/>
    <n v="527.74"/>
    <n v="311.27"/>
  </r>
  <r>
    <x v="60"/>
    <x v="37"/>
    <n v="71.099999999999994"/>
    <n v="1007.9"/>
    <n v="525.73"/>
  </r>
  <r>
    <x v="61"/>
    <x v="37"/>
    <n v="71.099999999999994"/>
    <n v="590.36"/>
    <n v="379.75"/>
  </r>
  <r>
    <x v="62"/>
    <x v="37"/>
    <n v="71.099999999999994"/>
    <n v="565.77"/>
    <n v="353.91"/>
  </r>
  <r>
    <x v="63"/>
    <x v="37"/>
    <n v="71.099999999999994"/>
    <n v="536.92999999999995"/>
    <n v="347.55"/>
  </r>
  <r>
    <x v="64"/>
    <x v="37"/>
    <n v="71.099999999999994"/>
    <n v="658.33"/>
    <n v="0"/>
  </r>
  <r>
    <x v="65"/>
    <x v="37"/>
    <n v="71.099999999999994"/>
    <n v="651.24"/>
    <n v="0"/>
  </r>
  <r>
    <x v="66"/>
    <x v="37"/>
    <n v="71.099999999999994"/>
    <n v="584.91"/>
    <n v="0"/>
  </r>
  <r>
    <x v="67"/>
    <x v="37"/>
    <n v="71.099999999999994"/>
    <n v="698.98"/>
    <n v="0"/>
  </r>
  <r>
    <x v="68"/>
    <x v="37"/>
    <n v="71.099999999999994"/>
    <n v="496.93"/>
    <n v="0"/>
  </r>
  <r>
    <x v="69"/>
    <x v="37"/>
    <n v="71.099999999999994"/>
    <n v="662.01"/>
    <n v="427.27"/>
  </r>
  <r>
    <x v="70"/>
    <x v="37"/>
    <n v="71.099999999999994"/>
    <n v="743.7"/>
    <n v="459.98"/>
  </r>
  <r>
    <x v="71"/>
    <x v="37"/>
    <n v="71.099999999999994"/>
    <n v="678.97"/>
    <n v="463.07"/>
  </r>
  <r>
    <x v="72"/>
    <x v="37"/>
    <n v="71.099999999999994"/>
    <n v="0"/>
    <n v="0"/>
  </r>
  <r>
    <x v="73"/>
    <x v="37"/>
    <n v="71.099999999999994"/>
    <n v="0"/>
    <n v="0"/>
  </r>
  <r>
    <x v="74"/>
    <x v="37"/>
    <n v="71.099999999999994"/>
    <n v="0"/>
    <n v="0"/>
  </r>
  <r>
    <x v="75"/>
    <x v="37"/>
    <n v="71.099999999999994"/>
    <n v="0"/>
    <n v="0"/>
  </r>
  <r>
    <x v="76"/>
    <x v="37"/>
    <n v="71.099999999999994"/>
    <n v="0"/>
    <n v="0"/>
  </r>
  <r>
    <x v="77"/>
    <x v="37"/>
    <n v="71.099999999999994"/>
    <n v="0"/>
    <n v="0"/>
  </r>
  <r>
    <x v="78"/>
    <x v="37"/>
    <n v="71.099999999999994"/>
    <n v="0"/>
    <n v="0"/>
  </r>
  <r>
    <x v="79"/>
    <x v="37"/>
    <n v="71.099999999999994"/>
    <n v="0"/>
    <n v="0"/>
  </r>
  <r>
    <x v="80"/>
    <x v="37"/>
    <n v="71.099999999999994"/>
    <n v="0"/>
    <n v="0"/>
  </r>
  <r>
    <x v="81"/>
    <x v="37"/>
    <n v="71.099999999999994"/>
    <n v="0"/>
    <n v="0"/>
  </r>
  <r>
    <x v="82"/>
    <x v="37"/>
    <n v="71.099999999999994"/>
    <n v="0"/>
    <n v="0"/>
  </r>
  <r>
    <x v="83"/>
    <x v="37"/>
    <n v="71.099999999999994"/>
    <n v="0"/>
    <n v="0"/>
  </r>
  <r>
    <x v="84"/>
    <x v="37"/>
    <n v="71.099999999999994"/>
    <n v="0"/>
    <n v="0"/>
  </r>
  <r>
    <x v="85"/>
    <x v="37"/>
    <n v="71.099999999999994"/>
    <n v="0"/>
    <n v="0"/>
  </r>
  <r>
    <x v="86"/>
    <x v="37"/>
    <n v="71.099999999999994"/>
    <n v="0"/>
    <n v="0"/>
  </r>
  <r>
    <x v="87"/>
    <x v="37"/>
    <n v="71.099999999999994"/>
    <n v="0"/>
    <n v="0"/>
  </r>
  <r>
    <x v="88"/>
    <x v="37"/>
    <n v="71.099999999999994"/>
    <n v="0"/>
    <n v="0"/>
  </r>
  <r>
    <x v="89"/>
    <x v="37"/>
    <n v="71.099999999999994"/>
    <n v="0"/>
    <n v="0"/>
  </r>
  <r>
    <x v="90"/>
    <x v="37"/>
    <n v="71.099999999999994"/>
    <n v="0"/>
    <n v="0"/>
  </r>
  <r>
    <x v="91"/>
    <x v="37"/>
    <n v="71.099999999999994"/>
    <n v="0"/>
    <n v="0"/>
  </r>
  <r>
    <x v="92"/>
    <x v="37"/>
    <n v="71.099999999999994"/>
    <n v="0"/>
    <n v="0"/>
  </r>
  <r>
    <x v="93"/>
    <x v="37"/>
    <n v="71.099999999999994"/>
    <n v="0"/>
    <n v="0"/>
  </r>
  <r>
    <x v="94"/>
    <x v="37"/>
    <n v="71.099999999999994"/>
    <n v="0"/>
    <n v="0"/>
  </r>
  <r>
    <x v="95"/>
    <x v="37"/>
    <n v="71.099999999999994"/>
    <n v="0"/>
    <n v="0"/>
  </r>
  <r>
    <x v="0"/>
    <x v="38"/>
    <n v="71.400000000000006"/>
    <n v="792.52"/>
    <n v="571.9"/>
  </r>
  <r>
    <x v="1"/>
    <x v="38"/>
    <n v="71.400000000000006"/>
    <n v="486.66"/>
    <n v="358.58"/>
  </r>
  <r>
    <x v="2"/>
    <x v="38"/>
    <n v="71.400000000000006"/>
    <n v="481.68"/>
    <n v="347.31"/>
  </r>
  <r>
    <x v="3"/>
    <x v="38"/>
    <n v="71.400000000000006"/>
    <n v="460.51"/>
    <n v="356.72"/>
  </r>
  <r>
    <x v="4"/>
    <x v="38"/>
    <n v="71.400000000000006"/>
    <n v="459.13"/>
    <n v="347.58"/>
  </r>
  <r>
    <x v="5"/>
    <x v="38"/>
    <n v="71.400000000000006"/>
    <n v="473.53"/>
    <n v="350.87"/>
  </r>
  <r>
    <x v="6"/>
    <x v="38"/>
    <n v="71.400000000000006"/>
    <n v="424.29"/>
    <n v="318.95"/>
  </r>
  <r>
    <x v="7"/>
    <x v="38"/>
    <n v="71.400000000000006"/>
    <n v="499.11"/>
    <n v="372.4"/>
  </r>
  <r>
    <x v="8"/>
    <x v="38"/>
    <n v="71.400000000000006"/>
    <n v="441.67"/>
    <n v="310.85000000000002"/>
  </r>
  <r>
    <x v="9"/>
    <x v="38"/>
    <n v="71.400000000000006"/>
    <n v="433.44"/>
    <n v="303.83"/>
  </r>
  <r>
    <x v="10"/>
    <x v="38"/>
    <n v="71.400000000000006"/>
    <n v="438.39"/>
    <n v="320.10000000000002"/>
  </r>
  <r>
    <x v="11"/>
    <x v="38"/>
    <n v="71.400000000000006"/>
    <n v="623.47"/>
    <n v="-772.07"/>
  </r>
  <r>
    <x v="12"/>
    <x v="38"/>
    <n v="71.400000000000006"/>
    <n v="1263.02"/>
    <n v="69.28"/>
  </r>
  <r>
    <x v="13"/>
    <x v="38"/>
    <n v="71.400000000000006"/>
    <n v="931.23"/>
    <n v="54.13"/>
  </r>
  <r>
    <x v="14"/>
    <x v="38"/>
    <n v="71.400000000000006"/>
    <n v="1003.14"/>
    <n v="61.3"/>
  </r>
  <r>
    <x v="15"/>
    <x v="38"/>
    <n v="71.400000000000006"/>
    <n v="915.3"/>
    <n v="-2.52"/>
  </r>
  <r>
    <x v="16"/>
    <x v="38"/>
    <n v="71.400000000000006"/>
    <n v="966.6"/>
    <n v="48.1"/>
  </r>
  <r>
    <x v="17"/>
    <x v="38"/>
    <n v="71.400000000000006"/>
    <n v="962.92"/>
    <n v="44.98"/>
  </r>
  <r>
    <x v="18"/>
    <x v="38"/>
    <n v="71.400000000000006"/>
    <n v="889.77"/>
    <n v="44.3"/>
  </r>
  <r>
    <x v="19"/>
    <x v="38"/>
    <n v="71.400000000000006"/>
    <n v="934.17"/>
    <n v="48.17"/>
  </r>
  <r>
    <x v="20"/>
    <x v="38"/>
    <n v="71.400000000000006"/>
    <n v="924.15"/>
    <n v="44.98"/>
  </r>
  <r>
    <x v="21"/>
    <x v="38"/>
    <n v="71.400000000000006"/>
    <n v="901.72"/>
    <n v="38.15"/>
  </r>
  <r>
    <x v="22"/>
    <x v="38"/>
    <n v="71.400000000000006"/>
    <n v="885.75"/>
    <n v="35.6"/>
  </r>
  <r>
    <x v="23"/>
    <x v="38"/>
    <n v="71.400000000000006"/>
    <n v="908.33"/>
    <n v="10.69"/>
  </r>
  <r>
    <x v="24"/>
    <x v="38"/>
    <n v="71.400000000000006"/>
    <n v="967.19"/>
    <n v="522.19000000000005"/>
  </r>
  <r>
    <x v="25"/>
    <x v="38"/>
    <n v="71.400000000000006"/>
    <n v="541.13"/>
    <n v="340.13"/>
  </r>
  <r>
    <x v="26"/>
    <x v="38"/>
    <n v="71.400000000000006"/>
    <n v="503.63"/>
    <n v="293.57"/>
  </r>
  <r>
    <x v="27"/>
    <x v="38"/>
    <n v="71.400000000000006"/>
    <n v="433.7"/>
    <n v="267.20999999999998"/>
  </r>
  <r>
    <x v="28"/>
    <x v="38"/>
    <n v="71.400000000000006"/>
    <n v="485.01"/>
    <n v="308.64"/>
  </r>
  <r>
    <x v="29"/>
    <x v="38"/>
    <n v="71.400000000000006"/>
    <n v="574.99"/>
    <n v="335.04"/>
  </r>
  <r>
    <x v="30"/>
    <x v="38"/>
    <n v="71.400000000000006"/>
    <n v="543.91"/>
    <n v="314.72000000000003"/>
  </r>
  <r>
    <x v="31"/>
    <x v="38"/>
    <n v="71.400000000000006"/>
    <n v="578.30999999999995"/>
    <n v="341.77"/>
  </r>
  <r>
    <x v="32"/>
    <x v="38"/>
    <n v="71.400000000000006"/>
    <n v="465.39"/>
    <n v="290.3"/>
  </r>
  <r>
    <x v="33"/>
    <x v="38"/>
    <n v="71.400000000000006"/>
    <n v="520.30999999999995"/>
    <n v="308.77"/>
  </r>
  <r>
    <x v="34"/>
    <x v="38"/>
    <n v="71.400000000000006"/>
    <n v="589.52"/>
    <n v="339.97"/>
  </r>
  <r>
    <x v="35"/>
    <x v="38"/>
    <n v="71.400000000000006"/>
    <n v="464.81"/>
    <n v="298.08"/>
  </r>
  <r>
    <x v="36"/>
    <x v="38"/>
    <n v="71.400000000000006"/>
    <n v="1137.96"/>
    <n v="586.57000000000005"/>
  </r>
  <r>
    <x v="37"/>
    <x v="38"/>
    <n v="71.400000000000006"/>
    <n v="556.76"/>
    <n v="362.37"/>
  </r>
  <r>
    <x v="38"/>
    <x v="38"/>
    <n v="71.400000000000006"/>
    <n v="644.35"/>
    <n v="440.54"/>
  </r>
  <r>
    <x v="39"/>
    <x v="38"/>
    <n v="71.400000000000006"/>
    <n v="501.98"/>
    <n v="0"/>
  </r>
  <r>
    <x v="40"/>
    <x v="38"/>
    <n v="71.400000000000006"/>
    <n v="619.54"/>
    <n v="0"/>
  </r>
  <r>
    <x v="41"/>
    <x v="38"/>
    <n v="71.400000000000006"/>
    <n v="610.79999999999995"/>
    <n v="399.61"/>
  </r>
  <r>
    <x v="42"/>
    <x v="38"/>
    <n v="71.400000000000006"/>
    <n v="585.05999999999995"/>
    <n v="0"/>
  </r>
  <r>
    <x v="43"/>
    <x v="38"/>
    <n v="71.400000000000006"/>
    <n v="643.98"/>
    <n v="0"/>
  </r>
  <r>
    <x v="44"/>
    <x v="38"/>
    <n v="71.400000000000006"/>
    <n v="631.78"/>
    <n v="0"/>
  </r>
  <r>
    <x v="45"/>
    <x v="38"/>
    <n v="71.400000000000006"/>
    <n v="637.63"/>
    <n v="0"/>
  </r>
  <r>
    <x v="46"/>
    <x v="38"/>
    <n v="71.400000000000006"/>
    <n v="568.12"/>
    <n v="0"/>
  </r>
  <r>
    <x v="47"/>
    <x v="38"/>
    <n v="71.400000000000006"/>
    <n v="528.6"/>
    <n v="345.97"/>
  </r>
  <r>
    <x v="48"/>
    <x v="38"/>
    <n v="71.400000000000006"/>
    <n v="1207.26"/>
    <n v="638.42999999999995"/>
  </r>
  <r>
    <x v="49"/>
    <x v="38"/>
    <n v="71.400000000000006"/>
    <n v="592.64"/>
    <n v="378.66"/>
  </r>
  <r>
    <x v="50"/>
    <x v="38"/>
    <n v="71.400000000000006"/>
    <n v="556.79"/>
    <n v="363.29"/>
  </r>
  <r>
    <x v="51"/>
    <x v="38"/>
    <n v="71.400000000000006"/>
    <n v="536.89"/>
    <n v="367.67"/>
  </r>
  <r>
    <x v="52"/>
    <x v="38"/>
    <n v="71.400000000000006"/>
    <n v="538.04"/>
    <n v="362.73"/>
  </r>
  <r>
    <x v="53"/>
    <x v="38"/>
    <n v="71.400000000000006"/>
    <n v="610.88"/>
    <n v="0"/>
  </r>
  <r>
    <x v="54"/>
    <x v="38"/>
    <n v="71.400000000000006"/>
    <n v="486.83"/>
    <n v="0"/>
  </r>
  <r>
    <x v="55"/>
    <x v="38"/>
    <n v="71.400000000000006"/>
    <n v="635.36"/>
    <n v="0"/>
  </r>
  <r>
    <x v="56"/>
    <x v="38"/>
    <n v="71.400000000000006"/>
    <n v="574.03"/>
    <n v="0"/>
  </r>
  <r>
    <x v="57"/>
    <x v="38"/>
    <n v="71.400000000000006"/>
    <n v="608.24"/>
    <n v="0"/>
  </r>
  <r>
    <x v="58"/>
    <x v="38"/>
    <n v="71.400000000000006"/>
    <n v="634.07000000000005"/>
    <n v="0"/>
  </r>
  <r>
    <x v="59"/>
    <x v="38"/>
    <n v="71.400000000000006"/>
    <n v="540.36"/>
    <n v="318.61"/>
  </r>
  <r>
    <x v="60"/>
    <x v="38"/>
    <n v="71.400000000000006"/>
    <n v="1013.74"/>
    <n v="535.27"/>
  </r>
  <r>
    <x v="61"/>
    <x v="38"/>
    <n v="71.400000000000006"/>
    <n v="602.1"/>
    <n v="393.79"/>
  </r>
  <r>
    <x v="62"/>
    <x v="38"/>
    <n v="71.400000000000006"/>
    <n v="579.16999999999996"/>
    <n v="374.72"/>
  </r>
  <r>
    <x v="63"/>
    <x v="38"/>
    <n v="71.400000000000006"/>
    <n v="548.80999999999995"/>
    <n v="363.02"/>
  </r>
  <r>
    <x v="64"/>
    <x v="38"/>
    <n v="71.400000000000006"/>
    <n v="669.25"/>
    <n v="0"/>
  </r>
  <r>
    <x v="65"/>
    <x v="38"/>
    <n v="71.400000000000006"/>
    <n v="663.39"/>
    <n v="0"/>
  </r>
  <r>
    <x v="66"/>
    <x v="38"/>
    <n v="71.400000000000006"/>
    <n v="593.92999999999995"/>
    <n v="0"/>
  </r>
  <r>
    <x v="67"/>
    <x v="38"/>
    <n v="71.400000000000006"/>
    <n v="709.15"/>
    <n v="0"/>
  </r>
  <r>
    <x v="68"/>
    <x v="38"/>
    <n v="71.400000000000006"/>
    <n v="500.43"/>
    <n v="0"/>
  </r>
  <r>
    <x v="69"/>
    <x v="38"/>
    <n v="71.400000000000006"/>
    <n v="674.47"/>
    <n v="431.9"/>
  </r>
  <r>
    <x v="70"/>
    <x v="38"/>
    <n v="71.400000000000006"/>
    <n v="756.5"/>
    <n v="470.11"/>
  </r>
  <r>
    <x v="71"/>
    <x v="38"/>
    <n v="71.400000000000006"/>
    <n v="695.84"/>
    <n v="470.71"/>
  </r>
  <r>
    <x v="72"/>
    <x v="38"/>
    <n v="71.400000000000006"/>
    <n v="0"/>
    <n v="0"/>
  </r>
  <r>
    <x v="73"/>
    <x v="38"/>
    <n v="71.400000000000006"/>
    <n v="0"/>
    <n v="0"/>
  </r>
  <r>
    <x v="74"/>
    <x v="38"/>
    <n v="71.400000000000006"/>
    <n v="0"/>
    <n v="0"/>
  </r>
  <r>
    <x v="75"/>
    <x v="38"/>
    <n v="71.400000000000006"/>
    <n v="0"/>
    <n v="0"/>
  </r>
  <r>
    <x v="76"/>
    <x v="38"/>
    <n v="71.400000000000006"/>
    <n v="0"/>
    <n v="0"/>
  </r>
  <r>
    <x v="77"/>
    <x v="38"/>
    <n v="71.400000000000006"/>
    <n v="0"/>
    <n v="0"/>
  </r>
  <r>
    <x v="78"/>
    <x v="38"/>
    <n v="71.400000000000006"/>
    <n v="0"/>
    <n v="0"/>
  </r>
  <r>
    <x v="79"/>
    <x v="38"/>
    <n v="71.400000000000006"/>
    <n v="0"/>
    <n v="0"/>
  </r>
  <r>
    <x v="80"/>
    <x v="38"/>
    <n v="71.400000000000006"/>
    <n v="0"/>
    <n v="0"/>
  </r>
  <r>
    <x v="81"/>
    <x v="38"/>
    <n v="71.400000000000006"/>
    <n v="0"/>
    <n v="0"/>
  </r>
  <r>
    <x v="82"/>
    <x v="38"/>
    <n v="71.400000000000006"/>
    <n v="0"/>
    <n v="0"/>
  </r>
  <r>
    <x v="83"/>
    <x v="38"/>
    <n v="71.400000000000006"/>
    <n v="0"/>
    <n v="0"/>
  </r>
  <r>
    <x v="84"/>
    <x v="38"/>
    <n v="71.400000000000006"/>
    <n v="0"/>
    <n v="0"/>
  </r>
  <r>
    <x v="85"/>
    <x v="38"/>
    <n v="71.400000000000006"/>
    <n v="0"/>
    <n v="0"/>
  </r>
  <r>
    <x v="86"/>
    <x v="38"/>
    <n v="71.400000000000006"/>
    <n v="0"/>
    <n v="0"/>
  </r>
  <r>
    <x v="87"/>
    <x v="38"/>
    <n v="71.400000000000006"/>
    <n v="0"/>
    <n v="0"/>
  </r>
  <r>
    <x v="88"/>
    <x v="38"/>
    <n v="71.400000000000006"/>
    <n v="0"/>
    <n v="0"/>
  </r>
  <r>
    <x v="89"/>
    <x v="38"/>
    <n v="71.400000000000006"/>
    <n v="0"/>
    <n v="0"/>
  </r>
  <r>
    <x v="90"/>
    <x v="38"/>
    <n v="71.400000000000006"/>
    <n v="0"/>
    <n v="0"/>
  </r>
  <r>
    <x v="91"/>
    <x v="38"/>
    <n v="71.400000000000006"/>
    <n v="0"/>
    <n v="0"/>
  </r>
  <r>
    <x v="92"/>
    <x v="38"/>
    <n v="71.400000000000006"/>
    <n v="0"/>
    <n v="0"/>
  </r>
  <r>
    <x v="93"/>
    <x v="38"/>
    <n v="71.400000000000006"/>
    <n v="0"/>
    <n v="0"/>
  </r>
  <r>
    <x v="94"/>
    <x v="38"/>
    <n v="71.400000000000006"/>
    <n v="0"/>
    <n v="0"/>
  </r>
  <r>
    <x v="95"/>
    <x v="38"/>
    <n v="71.400000000000006"/>
    <n v="0"/>
    <n v="0"/>
  </r>
  <r>
    <x v="0"/>
    <x v="39"/>
    <n v="71.7"/>
    <n v="797.53"/>
    <n v="620.53"/>
  </r>
  <r>
    <x v="1"/>
    <x v="39"/>
    <n v="71.7"/>
    <n v="496.05"/>
    <n v="386.96"/>
  </r>
  <r>
    <x v="2"/>
    <x v="39"/>
    <n v="71.7"/>
    <n v="490.61"/>
    <n v="373.09"/>
  </r>
  <r>
    <x v="3"/>
    <x v="39"/>
    <n v="71.7"/>
    <n v="469.91"/>
    <n v="383.23"/>
  </r>
  <r>
    <x v="4"/>
    <x v="39"/>
    <n v="71.7"/>
    <n v="468.3"/>
    <n v="371.79"/>
  </r>
  <r>
    <x v="5"/>
    <x v="39"/>
    <n v="71.7"/>
    <n v="483.25"/>
    <n v="374.45"/>
  </r>
  <r>
    <x v="6"/>
    <x v="39"/>
    <n v="71.7"/>
    <n v="435.31"/>
    <n v="344.74"/>
  </r>
  <r>
    <x v="7"/>
    <x v="39"/>
    <n v="71.7"/>
    <n v="507.61"/>
    <n v="402.78"/>
  </r>
  <r>
    <x v="8"/>
    <x v="39"/>
    <n v="71.7"/>
    <n v="451.94"/>
    <n v="335.09"/>
  </r>
  <r>
    <x v="9"/>
    <x v="39"/>
    <n v="71.7"/>
    <n v="442.85"/>
    <n v="329.63"/>
  </r>
  <r>
    <x v="10"/>
    <x v="39"/>
    <n v="71.7"/>
    <n v="449.6"/>
    <n v="348.52"/>
  </r>
  <r>
    <x v="11"/>
    <x v="39"/>
    <n v="71.7"/>
    <n v="619.70000000000005"/>
    <n v="-816.44"/>
  </r>
  <r>
    <x v="12"/>
    <x v="39"/>
    <n v="71.7"/>
    <n v="1387.51"/>
    <n v="72.95"/>
  </r>
  <r>
    <x v="13"/>
    <x v="39"/>
    <n v="71.7"/>
    <n v="1030"/>
    <n v="58.63"/>
  </r>
  <r>
    <x v="14"/>
    <x v="39"/>
    <n v="71.7"/>
    <n v="1110.46"/>
    <n v="65.7"/>
  </r>
  <r>
    <x v="15"/>
    <x v="39"/>
    <n v="71.7"/>
    <n v="1042.48"/>
    <n v="10.5"/>
  </r>
  <r>
    <x v="16"/>
    <x v="39"/>
    <n v="71.7"/>
    <n v="1068.01"/>
    <n v="53.29"/>
  </r>
  <r>
    <x v="17"/>
    <x v="39"/>
    <n v="71.7"/>
    <n v="1067.58"/>
    <n v="48.51"/>
  </r>
  <r>
    <x v="18"/>
    <x v="39"/>
    <n v="71.7"/>
    <n v="983.39"/>
    <n v="47.26"/>
  </r>
  <r>
    <x v="19"/>
    <x v="39"/>
    <n v="71.7"/>
    <n v="1035.95"/>
    <n v="52.48"/>
  </r>
  <r>
    <x v="20"/>
    <x v="39"/>
    <n v="71.7"/>
    <n v="1021.33"/>
    <n v="47.99"/>
  </r>
  <r>
    <x v="21"/>
    <x v="39"/>
    <n v="71.7"/>
    <n v="994.67"/>
    <n v="40.770000000000003"/>
  </r>
  <r>
    <x v="22"/>
    <x v="39"/>
    <n v="71.7"/>
    <n v="983.48"/>
    <n v="39.08"/>
  </r>
  <r>
    <x v="23"/>
    <x v="39"/>
    <n v="71.7"/>
    <n v="1004.76"/>
    <n v="14.63"/>
  </r>
  <r>
    <x v="24"/>
    <x v="39"/>
    <n v="71.7"/>
    <n v="975.86"/>
    <n v="546.17999999999995"/>
  </r>
  <r>
    <x v="25"/>
    <x v="39"/>
    <n v="71.7"/>
    <n v="552.69000000000005"/>
    <n v="358.81"/>
  </r>
  <r>
    <x v="26"/>
    <x v="39"/>
    <n v="71.7"/>
    <n v="514.08000000000004"/>
    <n v="315.3"/>
  </r>
  <r>
    <x v="27"/>
    <x v="39"/>
    <n v="71.7"/>
    <n v="448.58"/>
    <n v="311.05"/>
  </r>
  <r>
    <x v="28"/>
    <x v="39"/>
    <n v="71.7"/>
    <n v="494.61"/>
    <n v="328.58"/>
  </r>
  <r>
    <x v="29"/>
    <x v="39"/>
    <n v="71.7"/>
    <n v="583.9"/>
    <n v="354.29"/>
  </r>
  <r>
    <x v="30"/>
    <x v="39"/>
    <n v="71.7"/>
    <n v="553.63"/>
    <n v="334.68"/>
  </r>
  <r>
    <x v="31"/>
    <x v="39"/>
    <n v="71.7"/>
    <n v="587.12"/>
    <n v="360.27"/>
  </r>
  <r>
    <x v="32"/>
    <x v="39"/>
    <n v="71.7"/>
    <n v="473.19"/>
    <n v="308.22000000000003"/>
  </r>
  <r>
    <x v="33"/>
    <x v="39"/>
    <n v="71.7"/>
    <n v="529.45000000000005"/>
    <n v="327.22000000000003"/>
  </r>
  <r>
    <x v="34"/>
    <x v="39"/>
    <n v="71.7"/>
    <n v="599.71"/>
    <n v="361.28"/>
  </r>
  <r>
    <x v="35"/>
    <x v="39"/>
    <n v="71.7"/>
    <n v="476.41"/>
    <n v="308.02"/>
  </r>
  <r>
    <x v="36"/>
    <x v="39"/>
    <n v="71.7"/>
    <n v="1143"/>
    <n v="598.48"/>
  </r>
  <r>
    <x v="37"/>
    <x v="39"/>
    <n v="71.7"/>
    <n v="566.96"/>
    <n v="376.74"/>
  </r>
  <r>
    <x v="38"/>
    <x v="39"/>
    <n v="71.7"/>
    <n v="657.71"/>
    <n v="458.68"/>
  </r>
  <r>
    <x v="39"/>
    <x v="39"/>
    <n v="71.7"/>
    <n v="510.2"/>
    <n v="0"/>
  </r>
  <r>
    <x v="40"/>
    <x v="39"/>
    <n v="71.7"/>
    <n v="626.74"/>
    <n v="0"/>
  </r>
  <r>
    <x v="41"/>
    <x v="39"/>
    <n v="71.7"/>
    <n v="622.82000000000005"/>
    <n v="414.86"/>
  </r>
  <r>
    <x v="42"/>
    <x v="39"/>
    <n v="71.7"/>
    <n v="593.77"/>
    <n v="0"/>
  </r>
  <r>
    <x v="43"/>
    <x v="39"/>
    <n v="71.7"/>
    <n v="649.66"/>
    <n v="0"/>
  </r>
  <r>
    <x v="44"/>
    <x v="39"/>
    <n v="71.7"/>
    <n v="637.54"/>
    <n v="0"/>
  </r>
  <r>
    <x v="45"/>
    <x v="39"/>
    <n v="71.7"/>
    <n v="644.79"/>
    <n v="0"/>
  </r>
  <r>
    <x v="46"/>
    <x v="39"/>
    <n v="71.7"/>
    <n v="576.61"/>
    <n v="0"/>
  </r>
  <r>
    <x v="47"/>
    <x v="39"/>
    <n v="71.7"/>
    <n v="540.37"/>
    <n v="349.69"/>
  </r>
  <r>
    <x v="48"/>
    <x v="39"/>
    <n v="71.7"/>
    <n v="1213.1400000000001"/>
    <n v="652.38"/>
  </r>
  <r>
    <x v="49"/>
    <x v="39"/>
    <n v="71.7"/>
    <n v="604.32000000000005"/>
    <n v="394.77"/>
  </r>
  <r>
    <x v="50"/>
    <x v="39"/>
    <n v="71.7"/>
    <n v="571.49"/>
    <n v="380.13"/>
  </r>
  <r>
    <x v="51"/>
    <x v="39"/>
    <n v="71.7"/>
    <n v="550.86"/>
    <n v="383.24"/>
  </r>
  <r>
    <x v="52"/>
    <x v="39"/>
    <n v="71.7"/>
    <n v="549.02"/>
    <n v="377.02"/>
  </r>
  <r>
    <x v="53"/>
    <x v="39"/>
    <n v="71.7"/>
    <n v="620.29"/>
    <n v="0"/>
  </r>
  <r>
    <x v="54"/>
    <x v="39"/>
    <n v="71.7"/>
    <n v="495.01"/>
    <n v="0"/>
  </r>
  <r>
    <x v="55"/>
    <x v="39"/>
    <n v="71.7"/>
    <n v="644.28"/>
    <n v="0"/>
  </r>
  <r>
    <x v="56"/>
    <x v="39"/>
    <n v="71.7"/>
    <n v="582.27"/>
    <n v="0"/>
  </r>
  <r>
    <x v="57"/>
    <x v="39"/>
    <n v="71.7"/>
    <n v="616.42999999999995"/>
    <n v="0"/>
  </r>
  <r>
    <x v="58"/>
    <x v="39"/>
    <n v="71.7"/>
    <n v="643.82000000000005"/>
    <n v="0"/>
  </r>
  <r>
    <x v="59"/>
    <x v="39"/>
    <n v="71.7"/>
    <n v="552.61"/>
    <n v="325.2"/>
  </r>
  <r>
    <x v="60"/>
    <x v="39"/>
    <n v="71.7"/>
    <n v="1019.36"/>
    <n v="546.6"/>
  </r>
  <r>
    <x v="61"/>
    <x v="39"/>
    <n v="71.7"/>
    <n v="613.42999999999995"/>
    <n v="407.16"/>
  </r>
  <r>
    <x v="62"/>
    <x v="39"/>
    <n v="71.7"/>
    <n v="592.63"/>
    <n v="395.91"/>
  </r>
  <r>
    <x v="63"/>
    <x v="39"/>
    <n v="71.7"/>
    <n v="560.58000000000004"/>
    <n v="377.64"/>
  </r>
  <r>
    <x v="64"/>
    <x v="39"/>
    <n v="71.7"/>
    <n v="679.98"/>
    <n v="0"/>
  </r>
  <r>
    <x v="65"/>
    <x v="39"/>
    <n v="71.7"/>
    <n v="675.29"/>
    <n v="0"/>
  </r>
  <r>
    <x v="66"/>
    <x v="39"/>
    <n v="71.7"/>
    <n v="602.59"/>
    <n v="0"/>
  </r>
  <r>
    <x v="67"/>
    <x v="39"/>
    <n v="71.7"/>
    <n v="719.25"/>
    <n v="0"/>
  </r>
  <r>
    <x v="68"/>
    <x v="39"/>
    <n v="71.7"/>
    <n v="503.57"/>
    <n v="0"/>
  </r>
  <r>
    <x v="69"/>
    <x v="39"/>
    <n v="71.7"/>
    <n v="686.1"/>
    <n v="437.3"/>
  </r>
  <r>
    <x v="70"/>
    <x v="39"/>
    <n v="71.7"/>
    <n v="768.62"/>
    <n v="479.79"/>
  </r>
  <r>
    <x v="71"/>
    <x v="39"/>
    <n v="71.7"/>
    <n v="711.69"/>
    <n v="477.13"/>
  </r>
  <r>
    <x v="72"/>
    <x v="39"/>
    <n v="71.7"/>
    <n v="0"/>
    <n v="0"/>
  </r>
  <r>
    <x v="73"/>
    <x v="39"/>
    <n v="71.7"/>
    <n v="0"/>
    <n v="0"/>
  </r>
  <r>
    <x v="74"/>
    <x v="39"/>
    <n v="71.7"/>
    <n v="0"/>
    <n v="0"/>
  </r>
  <r>
    <x v="75"/>
    <x v="39"/>
    <n v="71.7"/>
    <n v="0"/>
    <n v="0"/>
  </r>
  <r>
    <x v="76"/>
    <x v="39"/>
    <n v="71.7"/>
    <n v="0"/>
    <n v="0"/>
  </r>
  <r>
    <x v="77"/>
    <x v="39"/>
    <n v="71.7"/>
    <n v="0"/>
    <n v="0"/>
  </r>
  <r>
    <x v="78"/>
    <x v="39"/>
    <n v="71.7"/>
    <n v="0"/>
    <n v="0"/>
  </r>
  <r>
    <x v="79"/>
    <x v="39"/>
    <n v="71.7"/>
    <n v="0"/>
    <n v="0"/>
  </r>
  <r>
    <x v="80"/>
    <x v="39"/>
    <n v="71.7"/>
    <n v="0"/>
    <n v="0"/>
  </r>
  <r>
    <x v="81"/>
    <x v="39"/>
    <n v="71.7"/>
    <n v="0"/>
    <n v="0"/>
  </r>
  <r>
    <x v="82"/>
    <x v="39"/>
    <n v="71.7"/>
    <n v="0"/>
    <n v="0"/>
  </r>
  <r>
    <x v="83"/>
    <x v="39"/>
    <n v="71.7"/>
    <n v="0"/>
    <n v="0"/>
  </r>
  <r>
    <x v="84"/>
    <x v="39"/>
    <n v="71.7"/>
    <n v="0"/>
    <n v="0"/>
  </r>
  <r>
    <x v="85"/>
    <x v="39"/>
    <n v="71.7"/>
    <n v="0"/>
    <n v="0"/>
  </r>
  <r>
    <x v="86"/>
    <x v="39"/>
    <n v="71.7"/>
    <n v="0"/>
    <n v="0"/>
  </r>
  <r>
    <x v="87"/>
    <x v="39"/>
    <n v="71.7"/>
    <n v="0"/>
    <n v="0"/>
  </r>
  <r>
    <x v="88"/>
    <x v="39"/>
    <n v="71.7"/>
    <n v="0"/>
    <n v="0"/>
  </r>
  <r>
    <x v="89"/>
    <x v="39"/>
    <n v="71.7"/>
    <n v="0"/>
    <n v="0"/>
  </r>
  <r>
    <x v="90"/>
    <x v="39"/>
    <n v="71.7"/>
    <n v="0"/>
    <n v="0"/>
  </r>
  <r>
    <x v="91"/>
    <x v="39"/>
    <n v="71.7"/>
    <n v="0"/>
    <n v="0"/>
  </r>
  <r>
    <x v="92"/>
    <x v="39"/>
    <n v="71.7"/>
    <n v="0"/>
    <n v="0"/>
  </r>
  <r>
    <x v="93"/>
    <x v="39"/>
    <n v="71.7"/>
    <n v="0"/>
    <n v="0"/>
  </r>
  <r>
    <x v="94"/>
    <x v="39"/>
    <n v="71.7"/>
    <n v="0"/>
    <n v="0"/>
  </r>
  <r>
    <x v="95"/>
    <x v="39"/>
    <n v="71.7"/>
    <n v="0"/>
    <n v="0"/>
  </r>
  <r>
    <x v="0"/>
    <x v="40"/>
    <n v="72"/>
    <n v="802.22"/>
    <n v="678.38"/>
  </r>
  <r>
    <x v="1"/>
    <x v="40"/>
    <n v="72"/>
    <n v="505.06"/>
    <n v="420.92"/>
  </r>
  <r>
    <x v="2"/>
    <x v="40"/>
    <n v="72"/>
    <n v="499.15"/>
    <n v="404.78"/>
  </r>
  <r>
    <x v="3"/>
    <x v="40"/>
    <n v="72"/>
    <n v="478.85"/>
    <n v="414.79"/>
  </r>
  <r>
    <x v="4"/>
    <x v="40"/>
    <n v="72"/>
    <n v="477.09"/>
    <n v="401.03"/>
  </r>
  <r>
    <x v="5"/>
    <x v="40"/>
    <n v="72"/>
    <n v="492.63"/>
    <n v="403.21"/>
  </r>
  <r>
    <x v="6"/>
    <x v="40"/>
    <n v="72"/>
    <n v="445.95"/>
    <n v="375.58"/>
  </r>
  <r>
    <x v="7"/>
    <x v="40"/>
    <n v="72"/>
    <n v="515.74"/>
    <n v="440.78"/>
  </r>
  <r>
    <x v="8"/>
    <x v="40"/>
    <n v="72"/>
    <n v="461.85"/>
    <n v="367.27"/>
  </r>
  <r>
    <x v="9"/>
    <x v="40"/>
    <n v="72"/>
    <n v="451.88"/>
    <n v="363.22"/>
  </r>
  <r>
    <x v="10"/>
    <x v="40"/>
    <n v="72"/>
    <n v="460.48"/>
    <n v="384.61"/>
  </r>
  <r>
    <x v="11"/>
    <x v="40"/>
    <n v="72"/>
    <n v="615.41"/>
    <n v="-862.65"/>
  </r>
  <r>
    <x v="12"/>
    <x v="40"/>
    <n v="72"/>
    <n v="1533.78"/>
    <n v="77.39"/>
  </r>
  <r>
    <x v="13"/>
    <x v="40"/>
    <n v="72"/>
    <n v="1142.04"/>
    <n v="62.95"/>
  </r>
  <r>
    <x v="14"/>
    <x v="40"/>
    <n v="72"/>
    <n v="1232.08"/>
    <n v="70.03"/>
  </r>
  <r>
    <x v="15"/>
    <x v="40"/>
    <n v="72"/>
    <n v="1192.52"/>
    <n v="27.31"/>
  </r>
  <r>
    <x v="16"/>
    <x v="40"/>
    <n v="72"/>
    <n v="1183.49"/>
    <n v="57.79"/>
  </r>
  <r>
    <x v="17"/>
    <x v="40"/>
    <n v="72"/>
    <n v="1187.72"/>
    <n v="51.95"/>
  </r>
  <r>
    <x v="18"/>
    <x v="40"/>
    <n v="72"/>
    <n v="1090.51"/>
    <n v="50.01"/>
  </r>
  <r>
    <x v="19"/>
    <x v="40"/>
    <n v="72"/>
    <n v="1153.31"/>
    <n v="56.8"/>
  </r>
  <r>
    <x v="20"/>
    <x v="40"/>
    <n v="72"/>
    <n v="1135.27"/>
    <n v="50.89"/>
  </r>
  <r>
    <x v="21"/>
    <x v="40"/>
    <n v="72"/>
    <n v="1103.9000000000001"/>
    <n v="43.21"/>
  </r>
  <r>
    <x v="22"/>
    <x v="40"/>
    <n v="72"/>
    <n v="1097.78"/>
    <n v="42.79"/>
  </r>
  <r>
    <x v="23"/>
    <x v="40"/>
    <n v="72"/>
    <n v="1119.68"/>
    <n v="18.440000000000001"/>
  </r>
  <r>
    <x v="24"/>
    <x v="40"/>
    <n v="72"/>
    <n v="984.38"/>
    <n v="575.08000000000004"/>
  </r>
  <r>
    <x v="25"/>
    <x v="40"/>
    <n v="72"/>
    <n v="563.91999999999996"/>
    <n v="379.18"/>
  </r>
  <r>
    <x v="26"/>
    <x v="40"/>
    <n v="72"/>
    <n v="524.44000000000005"/>
    <n v="339.36"/>
  </r>
  <r>
    <x v="27"/>
    <x v="40"/>
    <n v="72"/>
    <n v="463.76"/>
    <n v="355.61"/>
  </r>
  <r>
    <x v="28"/>
    <x v="40"/>
    <n v="72"/>
    <n v="504.01"/>
    <n v="351.22"/>
  </r>
  <r>
    <x v="29"/>
    <x v="40"/>
    <n v="72"/>
    <n v="592.64"/>
    <n v="376.17"/>
  </r>
  <r>
    <x v="30"/>
    <x v="40"/>
    <n v="72"/>
    <n v="563.16999999999996"/>
    <n v="357.37"/>
  </r>
  <r>
    <x v="31"/>
    <x v="40"/>
    <n v="72"/>
    <n v="595.71"/>
    <n v="381.12"/>
  </r>
  <r>
    <x v="32"/>
    <x v="40"/>
    <n v="72"/>
    <n v="480.8"/>
    <n v="329.28"/>
  </r>
  <r>
    <x v="33"/>
    <x v="40"/>
    <n v="72"/>
    <n v="538.37"/>
    <n v="348.39"/>
  </r>
  <r>
    <x v="34"/>
    <x v="40"/>
    <n v="72"/>
    <n v="609.63"/>
    <n v="385.8"/>
  </r>
  <r>
    <x v="35"/>
    <x v="40"/>
    <n v="72"/>
    <n v="487.74"/>
    <n v="319.61"/>
  </r>
  <r>
    <x v="36"/>
    <x v="40"/>
    <n v="72"/>
    <n v="1147.77"/>
    <n v="612.46"/>
  </r>
  <r>
    <x v="37"/>
    <x v="40"/>
    <n v="72"/>
    <n v="576.73"/>
    <n v="390.75"/>
  </r>
  <r>
    <x v="38"/>
    <x v="40"/>
    <n v="72"/>
    <n v="670.75"/>
    <n v="475.02"/>
  </r>
  <r>
    <x v="39"/>
    <x v="40"/>
    <n v="72"/>
    <n v="518.05999999999995"/>
    <n v="0"/>
  </r>
  <r>
    <x v="40"/>
    <x v="40"/>
    <n v="72"/>
    <n v="633.51"/>
    <n v="0"/>
  </r>
  <r>
    <x v="41"/>
    <x v="40"/>
    <n v="72"/>
    <n v="634.75"/>
    <n v="429.5"/>
  </r>
  <r>
    <x v="42"/>
    <x v="40"/>
    <n v="72"/>
    <n v="602.38"/>
    <n v="0"/>
  </r>
  <r>
    <x v="43"/>
    <x v="40"/>
    <n v="72"/>
    <n v="655.04"/>
    <n v="0"/>
  </r>
  <r>
    <x v="44"/>
    <x v="40"/>
    <n v="72"/>
    <n v="642.91"/>
    <n v="0"/>
  </r>
  <r>
    <x v="45"/>
    <x v="40"/>
    <n v="72"/>
    <n v="651.53"/>
    <n v="0"/>
  </r>
  <r>
    <x v="46"/>
    <x v="40"/>
    <n v="72"/>
    <n v="584.65"/>
    <n v="0"/>
  </r>
  <r>
    <x v="47"/>
    <x v="40"/>
    <n v="72"/>
    <n v="551.47"/>
    <n v="353.32"/>
  </r>
  <r>
    <x v="48"/>
    <x v="40"/>
    <n v="72"/>
    <n v="1218.69"/>
    <n v="669.12"/>
  </r>
  <r>
    <x v="49"/>
    <x v="40"/>
    <n v="72"/>
    <n v="615.54999999999995"/>
    <n v="410.38"/>
  </r>
  <r>
    <x v="50"/>
    <x v="40"/>
    <n v="72"/>
    <n v="586.03"/>
    <n v="395.47"/>
  </r>
  <r>
    <x v="51"/>
    <x v="40"/>
    <n v="72"/>
    <n v="564.67999999999995"/>
    <n v="397.12"/>
  </r>
  <r>
    <x v="52"/>
    <x v="40"/>
    <n v="72"/>
    <n v="559.88"/>
    <n v="389.79"/>
  </r>
  <r>
    <x v="53"/>
    <x v="40"/>
    <n v="72"/>
    <n v="629.42999999999995"/>
    <n v="0"/>
  </r>
  <r>
    <x v="54"/>
    <x v="40"/>
    <n v="72"/>
    <n v="502.91"/>
    <n v="0"/>
  </r>
  <r>
    <x v="55"/>
    <x v="40"/>
    <n v="72"/>
    <n v="652.9"/>
    <n v="0"/>
  </r>
  <r>
    <x v="56"/>
    <x v="40"/>
    <n v="72"/>
    <n v="590.11"/>
    <n v="0"/>
  </r>
  <r>
    <x v="57"/>
    <x v="40"/>
    <n v="72"/>
    <n v="624.27"/>
    <n v="0"/>
  </r>
  <r>
    <x v="58"/>
    <x v="40"/>
    <n v="72"/>
    <n v="652.98"/>
    <n v="0"/>
  </r>
  <r>
    <x v="59"/>
    <x v="40"/>
    <n v="72"/>
    <n v="564.4"/>
    <n v="330.93"/>
  </r>
  <r>
    <x v="60"/>
    <x v="40"/>
    <n v="72"/>
    <n v="1024.76"/>
    <n v="559.78"/>
  </r>
  <r>
    <x v="61"/>
    <x v="40"/>
    <n v="72"/>
    <n v="624.21"/>
    <n v="420.05"/>
  </r>
  <r>
    <x v="62"/>
    <x v="40"/>
    <n v="72"/>
    <n v="606.07000000000005"/>
    <n v="416.59"/>
  </r>
  <r>
    <x v="63"/>
    <x v="40"/>
    <n v="72"/>
    <n v="572.14"/>
    <n v="390.98"/>
  </r>
  <r>
    <x v="64"/>
    <x v="40"/>
    <n v="72"/>
    <n v="690.45"/>
    <n v="0"/>
  </r>
  <r>
    <x v="65"/>
    <x v="40"/>
    <n v="72"/>
    <n v="686.85"/>
    <n v="0"/>
  </r>
  <r>
    <x v="66"/>
    <x v="40"/>
    <n v="72"/>
    <n v="610.82000000000005"/>
    <n v="0"/>
  </r>
  <r>
    <x v="67"/>
    <x v="40"/>
    <n v="72"/>
    <n v="729.23"/>
    <n v="0"/>
  </r>
  <r>
    <x v="68"/>
    <x v="40"/>
    <n v="72"/>
    <n v="506.34"/>
    <n v="0"/>
  </r>
  <r>
    <x v="69"/>
    <x v="40"/>
    <n v="72"/>
    <n v="696.78"/>
    <n v="444"/>
  </r>
  <r>
    <x v="70"/>
    <x v="40"/>
    <n v="72"/>
    <n v="779.94"/>
    <n v="488.85"/>
  </r>
  <r>
    <x v="71"/>
    <x v="40"/>
    <n v="72"/>
    <n v="726.34"/>
    <n v="482.17"/>
  </r>
  <r>
    <x v="72"/>
    <x v="40"/>
    <n v="72"/>
    <n v="0"/>
    <n v="0"/>
  </r>
  <r>
    <x v="73"/>
    <x v="40"/>
    <n v="72"/>
    <n v="0"/>
    <n v="0"/>
  </r>
  <r>
    <x v="74"/>
    <x v="40"/>
    <n v="72"/>
    <n v="0"/>
    <n v="0"/>
  </r>
  <r>
    <x v="75"/>
    <x v="40"/>
    <n v="72"/>
    <n v="0"/>
    <n v="0"/>
  </r>
  <r>
    <x v="76"/>
    <x v="40"/>
    <n v="72"/>
    <n v="0"/>
    <n v="0"/>
  </r>
  <r>
    <x v="77"/>
    <x v="40"/>
    <n v="72"/>
    <n v="0"/>
    <n v="0"/>
  </r>
  <r>
    <x v="78"/>
    <x v="40"/>
    <n v="72"/>
    <n v="0"/>
    <n v="0"/>
  </r>
  <r>
    <x v="79"/>
    <x v="40"/>
    <n v="72"/>
    <n v="0"/>
    <n v="0"/>
  </r>
  <r>
    <x v="80"/>
    <x v="40"/>
    <n v="72"/>
    <n v="0"/>
    <n v="0"/>
  </r>
  <r>
    <x v="81"/>
    <x v="40"/>
    <n v="72"/>
    <n v="0"/>
    <n v="0"/>
  </r>
  <r>
    <x v="82"/>
    <x v="40"/>
    <n v="72"/>
    <n v="0"/>
    <n v="0"/>
  </r>
  <r>
    <x v="83"/>
    <x v="40"/>
    <n v="72"/>
    <n v="0"/>
    <n v="0"/>
  </r>
  <r>
    <x v="84"/>
    <x v="40"/>
    <n v="72"/>
    <n v="0"/>
    <n v="0"/>
  </r>
  <r>
    <x v="85"/>
    <x v="40"/>
    <n v="72"/>
    <n v="0"/>
    <n v="0"/>
  </r>
  <r>
    <x v="86"/>
    <x v="40"/>
    <n v="72"/>
    <n v="0"/>
    <n v="0"/>
  </r>
  <r>
    <x v="87"/>
    <x v="40"/>
    <n v="72"/>
    <n v="0"/>
    <n v="0"/>
  </r>
  <r>
    <x v="88"/>
    <x v="40"/>
    <n v="72"/>
    <n v="0"/>
    <n v="0"/>
  </r>
  <r>
    <x v="89"/>
    <x v="40"/>
    <n v="72"/>
    <n v="0"/>
    <n v="0"/>
  </r>
  <r>
    <x v="90"/>
    <x v="40"/>
    <n v="72"/>
    <n v="0"/>
    <n v="0"/>
  </r>
  <r>
    <x v="91"/>
    <x v="40"/>
    <n v="72"/>
    <n v="0"/>
    <n v="0"/>
  </r>
  <r>
    <x v="92"/>
    <x v="40"/>
    <n v="72"/>
    <n v="0"/>
    <n v="0"/>
  </r>
  <r>
    <x v="93"/>
    <x v="40"/>
    <n v="72"/>
    <n v="0"/>
    <n v="0"/>
  </r>
  <r>
    <x v="94"/>
    <x v="40"/>
    <n v="72"/>
    <n v="0"/>
    <n v="0"/>
  </r>
  <r>
    <x v="95"/>
    <x v="40"/>
    <n v="72"/>
    <n v="0"/>
    <n v="0"/>
  </r>
  <r>
    <x v="0"/>
    <x v="41"/>
    <n v="72.3"/>
    <n v="806.6"/>
    <n v="746.31"/>
  </r>
  <r>
    <x v="1"/>
    <x v="41"/>
    <n v="72.3"/>
    <n v="513.66"/>
    <n v="461.43"/>
  </r>
  <r>
    <x v="2"/>
    <x v="41"/>
    <n v="72.3"/>
    <n v="507.29"/>
    <n v="442.26"/>
  </r>
  <r>
    <x v="3"/>
    <x v="41"/>
    <n v="72.3"/>
    <n v="487.31"/>
    <n v="451.68"/>
  </r>
  <r>
    <x v="4"/>
    <x v="41"/>
    <n v="72.3"/>
    <n v="485.5"/>
    <n v="436.33"/>
  </r>
  <r>
    <x v="5"/>
    <x v="41"/>
    <n v="72.3"/>
    <n v="501.67"/>
    <n v="438.61"/>
  </r>
  <r>
    <x v="6"/>
    <x v="41"/>
    <n v="72.3"/>
    <n v="456.2"/>
    <n v="411.98"/>
  </r>
  <r>
    <x v="7"/>
    <x v="41"/>
    <n v="72.3"/>
    <n v="523.48"/>
    <n v="487.51"/>
  </r>
  <r>
    <x v="8"/>
    <x v="41"/>
    <n v="72.3"/>
    <n v="471.38"/>
    <n v="409.29"/>
  </r>
  <r>
    <x v="9"/>
    <x v="41"/>
    <n v="72.3"/>
    <n v="460.54"/>
    <n v="406.13"/>
  </r>
  <r>
    <x v="10"/>
    <x v="41"/>
    <n v="72.3"/>
    <n v="471"/>
    <n v="430.06"/>
  </r>
  <r>
    <x v="11"/>
    <x v="41"/>
    <n v="72.3"/>
    <n v="610.49"/>
    <n v="-910.61"/>
  </r>
  <r>
    <x v="12"/>
    <x v="41"/>
    <n v="72.3"/>
    <n v="1704.19"/>
    <n v="82.57"/>
  </r>
  <r>
    <x v="13"/>
    <x v="41"/>
    <n v="72.3"/>
    <n v="1266.48"/>
    <n v="67.069999999999993"/>
  </r>
  <r>
    <x v="14"/>
    <x v="41"/>
    <n v="72.3"/>
    <n v="1365.84"/>
    <n v="74.44"/>
  </r>
  <r>
    <x v="15"/>
    <x v="41"/>
    <n v="72.3"/>
    <n v="1357.07"/>
    <n v="44.87"/>
  </r>
  <r>
    <x v="16"/>
    <x v="41"/>
    <n v="72.3"/>
    <n v="1313.16"/>
    <n v="61.65"/>
  </r>
  <r>
    <x v="17"/>
    <x v="41"/>
    <n v="72.3"/>
    <n v="1322.52"/>
    <n v="55.33"/>
  </r>
  <r>
    <x v="18"/>
    <x v="41"/>
    <n v="72.3"/>
    <n v="1210.74"/>
    <n v="52.61"/>
  </r>
  <r>
    <x v="19"/>
    <x v="41"/>
    <n v="72.3"/>
    <n v="1285.95"/>
    <n v="61.04"/>
  </r>
  <r>
    <x v="20"/>
    <x v="41"/>
    <n v="72.3"/>
    <n v="1267.0999999999999"/>
    <n v="53.66"/>
  </r>
  <r>
    <x v="21"/>
    <x v="41"/>
    <n v="72.3"/>
    <n v="1230.46"/>
    <n v="45.45"/>
  </r>
  <r>
    <x v="22"/>
    <x v="41"/>
    <n v="72.3"/>
    <n v="1229.95"/>
    <n v="46.84"/>
  </r>
  <r>
    <x v="23"/>
    <x v="41"/>
    <n v="72.3"/>
    <n v="1255.18"/>
    <n v="22.13"/>
  </r>
  <r>
    <x v="24"/>
    <x v="41"/>
    <n v="72.3"/>
    <n v="992.87"/>
    <n v="608.99"/>
  </r>
  <r>
    <x v="25"/>
    <x v="41"/>
    <n v="72.3"/>
    <n v="574.79"/>
    <n v="401.04"/>
  </r>
  <r>
    <x v="26"/>
    <x v="41"/>
    <n v="72.3"/>
    <n v="534.72"/>
    <n v="364.3"/>
  </r>
  <r>
    <x v="27"/>
    <x v="41"/>
    <n v="72.3"/>
    <n v="479.25"/>
    <n v="395.36"/>
  </r>
  <r>
    <x v="28"/>
    <x v="41"/>
    <n v="72.3"/>
    <n v="513.21"/>
    <n v="376.57"/>
  </r>
  <r>
    <x v="29"/>
    <x v="41"/>
    <n v="72.3"/>
    <n v="601.25"/>
    <n v="400.97"/>
  </r>
  <r>
    <x v="30"/>
    <x v="41"/>
    <n v="72.3"/>
    <n v="572.54999999999995"/>
    <n v="381.88"/>
  </r>
  <r>
    <x v="31"/>
    <x v="41"/>
    <n v="72.3"/>
    <n v="604.11"/>
    <n v="404.35"/>
  </r>
  <r>
    <x v="32"/>
    <x v="41"/>
    <n v="72.3"/>
    <n v="488.22"/>
    <n v="353.84"/>
  </r>
  <r>
    <x v="33"/>
    <x v="41"/>
    <n v="72.3"/>
    <n v="547.1"/>
    <n v="372.15"/>
  </r>
  <r>
    <x v="34"/>
    <x v="41"/>
    <n v="72.3"/>
    <n v="619.29"/>
    <n v="413.02"/>
  </r>
  <r>
    <x v="35"/>
    <x v="41"/>
    <n v="72.3"/>
    <n v="498.77"/>
    <n v="332.96"/>
  </r>
  <r>
    <x v="36"/>
    <x v="41"/>
    <n v="72.3"/>
    <n v="1152.32"/>
    <n v="627.98"/>
  </r>
  <r>
    <x v="37"/>
    <x v="41"/>
    <n v="72.3"/>
    <n v="585.99"/>
    <n v="403.73"/>
  </r>
  <r>
    <x v="38"/>
    <x v="41"/>
    <n v="72.3"/>
    <n v="683.34"/>
    <n v="487.75"/>
  </r>
  <r>
    <x v="39"/>
    <x v="41"/>
    <n v="72.3"/>
    <n v="525.51"/>
    <n v="0"/>
  </r>
  <r>
    <x v="40"/>
    <x v="41"/>
    <n v="72.3"/>
    <n v="639.77"/>
    <n v="0"/>
  </r>
  <r>
    <x v="41"/>
    <x v="41"/>
    <n v="72.3"/>
    <n v="646.49"/>
    <n v="443.84"/>
  </r>
  <r>
    <x v="42"/>
    <x v="41"/>
    <n v="72.3"/>
    <n v="610.86"/>
    <n v="0"/>
  </r>
  <r>
    <x v="43"/>
    <x v="41"/>
    <n v="72.3"/>
    <n v="660.1"/>
    <n v="0"/>
  </r>
  <r>
    <x v="44"/>
    <x v="41"/>
    <n v="72.3"/>
    <n v="647.86"/>
    <n v="0"/>
  </r>
  <r>
    <x v="45"/>
    <x v="41"/>
    <n v="72.3"/>
    <n v="657.83"/>
    <n v="0"/>
  </r>
  <r>
    <x v="46"/>
    <x v="41"/>
    <n v="72.3"/>
    <n v="592.16999999999996"/>
    <n v="0"/>
  </r>
  <r>
    <x v="47"/>
    <x v="41"/>
    <n v="72.3"/>
    <n v="561.83000000000004"/>
    <n v="356.45"/>
  </r>
  <r>
    <x v="48"/>
    <x v="41"/>
    <n v="72.3"/>
    <n v="1223.96"/>
    <n v="687.56"/>
  </r>
  <r>
    <x v="49"/>
    <x v="41"/>
    <n v="72.3"/>
    <n v="626.17999999999995"/>
    <n v="424.94"/>
  </r>
  <r>
    <x v="50"/>
    <x v="41"/>
    <n v="72.3"/>
    <n v="600.30999999999995"/>
    <n v="408.77"/>
  </r>
  <r>
    <x v="51"/>
    <x v="41"/>
    <n v="72.3"/>
    <n v="578.25"/>
    <n v="408.8"/>
  </r>
  <r>
    <x v="52"/>
    <x v="41"/>
    <n v="72.3"/>
    <n v="570.54999999999995"/>
    <n v="400.45"/>
  </r>
  <r>
    <x v="53"/>
    <x v="41"/>
    <n v="72.3"/>
    <n v="638.22"/>
    <n v="0"/>
  </r>
  <r>
    <x v="54"/>
    <x v="41"/>
    <n v="72.3"/>
    <n v="510.44"/>
    <n v="0"/>
  </r>
  <r>
    <x v="55"/>
    <x v="41"/>
    <n v="72.3"/>
    <n v="661.18"/>
    <n v="0"/>
  </r>
  <r>
    <x v="56"/>
    <x v="41"/>
    <n v="72.3"/>
    <n v="597.52"/>
    <n v="0"/>
  </r>
  <r>
    <x v="57"/>
    <x v="41"/>
    <n v="72.3"/>
    <n v="631.74"/>
    <n v="0"/>
  </r>
  <r>
    <x v="58"/>
    <x v="41"/>
    <n v="72.3"/>
    <n v="661.49"/>
    <n v="0"/>
  </r>
  <r>
    <x v="59"/>
    <x v="41"/>
    <n v="72.3"/>
    <n v="575.67999999999995"/>
    <n v="335.76"/>
  </r>
  <r>
    <x v="60"/>
    <x v="41"/>
    <n v="72.3"/>
    <n v="1029.97"/>
    <n v="574.80999999999995"/>
  </r>
  <r>
    <x v="61"/>
    <x v="41"/>
    <n v="72.3"/>
    <n v="634.35"/>
    <n v="433.05"/>
  </r>
  <r>
    <x v="62"/>
    <x v="41"/>
    <n v="72.3"/>
    <n v="619.41"/>
    <n v="435.58"/>
  </r>
  <r>
    <x v="63"/>
    <x v="41"/>
    <n v="72.3"/>
    <n v="583.39"/>
    <n v="402.55"/>
  </r>
  <r>
    <x v="64"/>
    <x v="41"/>
    <n v="72.3"/>
    <n v="700.59"/>
    <n v="0"/>
  </r>
  <r>
    <x v="65"/>
    <x v="41"/>
    <n v="72.3"/>
    <n v="697.97"/>
    <n v="0"/>
  </r>
  <r>
    <x v="66"/>
    <x v="41"/>
    <n v="72.3"/>
    <n v="618.53"/>
    <n v="0"/>
  </r>
  <r>
    <x v="67"/>
    <x v="41"/>
    <n v="72.3"/>
    <n v="739.03"/>
    <n v="0"/>
  </r>
  <r>
    <x v="68"/>
    <x v="41"/>
    <n v="72.3"/>
    <n v="508.75"/>
    <n v="0"/>
  </r>
  <r>
    <x v="69"/>
    <x v="41"/>
    <n v="72.3"/>
    <n v="706.41"/>
    <n v="452.01"/>
  </r>
  <r>
    <x v="70"/>
    <x v="41"/>
    <n v="72.3"/>
    <n v="790.34"/>
    <n v="497.06"/>
  </r>
  <r>
    <x v="71"/>
    <x v="41"/>
    <n v="72.3"/>
    <n v="739.65"/>
    <n v="485.55"/>
  </r>
  <r>
    <x v="72"/>
    <x v="41"/>
    <n v="72.3"/>
    <n v="0"/>
    <n v="0"/>
  </r>
  <r>
    <x v="73"/>
    <x v="41"/>
    <n v="72.3"/>
    <n v="0"/>
    <n v="0"/>
  </r>
  <r>
    <x v="74"/>
    <x v="41"/>
    <n v="72.3"/>
    <n v="0"/>
    <n v="0"/>
  </r>
  <r>
    <x v="75"/>
    <x v="41"/>
    <n v="72.3"/>
    <n v="0"/>
    <n v="0"/>
  </r>
  <r>
    <x v="76"/>
    <x v="41"/>
    <n v="72.3"/>
    <n v="0"/>
    <n v="0"/>
  </r>
  <r>
    <x v="77"/>
    <x v="41"/>
    <n v="72.3"/>
    <n v="0"/>
    <n v="0"/>
  </r>
  <r>
    <x v="78"/>
    <x v="41"/>
    <n v="72.3"/>
    <n v="0"/>
    <n v="0"/>
  </r>
  <r>
    <x v="79"/>
    <x v="41"/>
    <n v="72.3"/>
    <n v="0"/>
    <n v="0"/>
  </r>
  <r>
    <x v="80"/>
    <x v="41"/>
    <n v="72.3"/>
    <n v="0"/>
    <n v="0"/>
  </r>
  <r>
    <x v="81"/>
    <x v="41"/>
    <n v="72.3"/>
    <n v="0"/>
    <n v="0"/>
  </r>
  <r>
    <x v="82"/>
    <x v="41"/>
    <n v="72.3"/>
    <n v="0"/>
    <n v="0"/>
  </r>
  <r>
    <x v="83"/>
    <x v="41"/>
    <n v="72.3"/>
    <n v="0"/>
    <n v="0"/>
  </r>
  <r>
    <x v="84"/>
    <x v="41"/>
    <n v="72.3"/>
    <n v="0"/>
    <n v="0"/>
  </r>
  <r>
    <x v="85"/>
    <x v="41"/>
    <n v="72.3"/>
    <n v="0"/>
    <n v="0"/>
  </r>
  <r>
    <x v="86"/>
    <x v="41"/>
    <n v="72.3"/>
    <n v="0"/>
    <n v="0"/>
  </r>
  <r>
    <x v="87"/>
    <x v="41"/>
    <n v="72.3"/>
    <n v="0"/>
    <n v="0"/>
  </r>
  <r>
    <x v="88"/>
    <x v="41"/>
    <n v="72.3"/>
    <n v="0"/>
    <n v="0"/>
  </r>
  <r>
    <x v="89"/>
    <x v="41"/>
    <n v="72.3"/>
    <n v="0"/>
    <n v="0"/>
  </r>
  <r>
    <x v="90"/>
    <x v="41"/>
    <n v="72.3"/>
    <n v="0"/>
    <n v="0"/>
  </r>
  <r>
    <x v="91"/>
    <x v="41"/>
    <n v="72.3"/>
    <n v="0"/>
    <n v="0"/>
  </r>
  <r>
    <x v="92"/>
    <x v="41"/>
    <n v="72.3"/>
    <n v="0"/>
    <n v="0"/>
  </r>
  <r>
    <x v="93"/>
    <x v="41"/>
    <n v="72.3"/>
    <n v="0"/>
    <n v="0"/>
  </r>
  <r>
    <x v="94"/>
    <x v="41"/>
    <n v="72.3"/>
    <n v="0"/>
    <n v="0"/>
  </r>
  <r>
    <x v="95"/>
    <x v="41"/>
    <n v="72.3"/>
    <n v="0"/>
    <n v="0"/>
  </r>
  <r>
    <x v="0"/>
    <x v="42"/>
    <n v="72.599999999999994"/>
    <n v="810.7"/>
    <n v="824.19"/>
  </r>
  <r>
    <x v="1"/>
    <x v="42"/>
    <n v="72.599999999999994"/>
    <n v="521.85"/>
    <n v="508.83"/>
  </r>
  <r>
    <x v="2"/>
    <x v="42"/>
    <n v="72.599999999999994"/>
    <n v="515.04"/>
    <n v="484.38"/>
  </r>
  <r>
    <x v="3"/>
    <x v="42"/>
    <n v="72.599999999999994"/>
    <n v="495.31"/>
    <n v="493.74"/>
  </r>
  <r>
    <x v="4"/>
    <x v="42"/>
    <n v="72.599999999999994"/>
    <n v="493.53"/>
    <n v="478.68"/>
  </r>
  <r>
    <x v="5"/>
    <x v="42"/>
    <n v="72.599999999999994"/>
    <n v="510.37"/>
    <n v="481.76"/>
  </r>
  <r>
    <x v="6"/>
    <x v="42"/>
    <n v="72.599999999999994"/>
    <n v="466.05"/>
    <n v="454.41"/>
  </r>
  <r>
    <x v="7"/>
    <x v="42"/>
    <n v="72.599999999999994"/>
    <n v="530.84"/>
    <n v="543.42999999999995"/>
  </r>
  <r>
    <x v="8"/>
    <x v="42"/>
    <n v="72.599999999999994"/>
    <n v="480.58"/>
    <n v="462.8"/>
  </r>
  <r>
    <x v="9"/>
    <x v="42"/>
    <n v="72.599999999999994"/>
    <n v="468.87"/>
    <n v="459.58"/>
  </r>
  <r>
    <x v="10"/>
    <x v="42"/>
    <n v="72.599999999999994"/>
    <n v="481.19"/>
    <n v="486.01"/>
  </r>
  <r>
    <x v="11"/>
    <x v="42"/>
    <n v="72.599999999999994"/>
    <n v="604.83000000000004"/>
    <n v="-960.18"/>
  </r>
  <r>
    <x v="12"/>
    <x v="42"/>
    <n v="72.599999999999994"/>
    <n v="1899.85"/>
    <n v="88.46"/>
  </r>
  <r>
    <x v="13"/>
    <x v="42"/>
    <n v="72.599999999999994"/>
    <n v="1400.52"/>
    <n v="70.91"/>
  </r>
  <r>
    <x v="14"/>
    <x v="42"/>
    <n v="72.599999999999994"/>
    <n v="1507.56"/>
    <n v="78.88"/>
  </r>
  <r>
    <x v="15"/>
    <x v="42"/>
    <n v="72.599999999999994"/>
    <n v="1524.42"/>
    <n v="59.45"/>
  </r>
  <r>
    <x v="16"/>
    <x v="42"/>
    <n v="72.599999999999994"/>
    <n v="1455.39"/>
    <n v="64.89"/>
  </r>
  <r>
    <x v="17"/>
    <x v="42"/>
    <n v="72.599999999999994"/>
    <n v="1468.56"/>
    <n v="58.64"/>
  </r>
  <r>
    <x v="18"/>
    <x v="42"/>
    <n v="72.599999999999994"/>
    <n v="1342.11"/>
    <n v="55.2"/>
  </r>
  <r>
    <x v="19"/>
    <x v="42"/>
    <n v="72.599999999999994"/>
    <n v="1431.95"/>
    <n v="65.08"/>
  </r>
  <r>
    <x v="20"/>
    <x v="42"/>
    <n v="72.599999999999994"/>
    <n v="1416.11"/>
    <n v="56.3"/>
  </r>
  <r>
    <x v="21"/>
    <x v="42"/>
    <n v="72.599999999999994"/>
    <n v="1373.75"/>
    <n v="47.49"/>
  </r>
  <r>
    <x v="22"/>
    <x v="42"/>
    <n v="72.599999999999994"/>
    <n v="1379.45"/>
    <n v="51.08"/>
  </r>
  <r>
    <x v="23"/>
    <x v="42"/>
    <n v="72.599999999999994"/>
    <n v="1411.48"/>
    <n v="25.7"/>
  </r>
  <r>
    <x v="24"/>
    <x v="42"/>
    <n v="72.599999999999994"/>
    <n v="1001.43"/>
    <n v="647.33000000000004"/>
  </r>
  <r>
    <x v="25"/>
    <x v="42"/>
    <n v="72.599999999999994"/>
    <n v="585.28"/>
    <n v="423.51"/>
  </r>
  <r>
    <x v="26"/>
    <x v="42"/>
    <n v="72.599999999999994"/>
    <n v="544.92999999999995"/>
    <n v="388.86"/>
  </r>
  <r>
    <x v="27"/>
    <x v="42"/>
    <n v="72.599999999999994"/>
    <n v="495.03"/>
    <n v="427.13"/>
  </r>
  <r>
    <x v="28"/>
    <x v="42"/>
    <n v="72.599999999999994"/>
    <n v="522.24"/>
    <n v="404.34"/>
  </r>
  <r>
    <x v="29"/>
    <x v="42"/>
    <n v="72.599999999999994"/>
    <n v="609.78"/>
    <n v="428.74"/>
  </r>
  <r>
    <x v="30"/>
    <x v="42"/>
    <n v="72.599999999999994"/>
    <n v="581.79999999999995"/>
    <n v="407.25"/>
  </r>
  <r>
    <x v="31"/>
    <x v="42"/>
    <n v="72.599999999999994"/>
    <n v="612.35"/>
    <n v="430.16"/>
  </r>
  <r>
    <x v="32"/>
    <x v="42"/>
    <n v="72.599999999999994"/>
    <n v="495.48"/>
    <n v="381.51"/>
  </r>
  <r>
    <x v="33"/>
    <x v="42"/>
    <n v="72.599999999999994"/>
    <n v="555.66999999999996"/>
    <n v="397.99"/>
  </r>
  <r>
    <x v="34"/>
    <x v="42"/>
    <n v="72.599999999999994"/>
    <n v="628.73"/>
    <n v="441.82"/>
  </r>
  <r>
    <x v="35"/>
    <x v="42"/>
    <n v="72.599999999999994"/>
    <n v="509.56"/>
    <n v="347.48"/>
  </r>
  <r>
    <x v="36"/>
    <x v="42"/>
    <n v="72.599999999999994"/>
    <n v="1156.71"/>
    <n v="643.96"/>
  </r>
  <r>
    <x v="37"/>
    <x v="42"/>
    <n v="72.599999999999994"/>
    <n v="594.65"/>
    <n v="414.88"/>
  </r>
  <r>
    <x v="38"/>
    <x v="42"/>
    <n v="72.599999999999994"/>
    <n v="695.37"/>
    <n v="496.41"/>
  </r>
  <r>
    <x v="39"/>
    <x v="42"/>
    <n v="72.599999999999994"/>
    <n v="532.45000000000005"/>
    <n v="0"/>
  </r>
  <r>
    <x v="40"/>
    <x v="42"/>
    <n v="72.599999999999994"/>
    <n v="645.47"/>
    <n v="0"/>
  </r>
  <r>
    <x v="41"/>
    <x v="42"/>
    <n v="72.599999999999994"/>
    <n v="657.92"/>
    <n v="458.07"/>
  </r>
  <r>
    <x v="42"/>
    <x v="42"/>
    <n v="72.599999999999994"/>
    <n v="619.16999999999996"/>
    <n v="0"/>
  </r>
  <r>
    <x v="43"/>
    <x v="42"/>
    <n v="72.599999999999994"/>
    <n v="664.82"/>
    <n v="0"/>
  </r>
  <r>
    <x v="44"/>
    <x v="42"/>
    <n v="72.599999999999994"/>
    <n v="652.36"/>
    <n v="0"/>
  </r>
  <r>
    <x v="45"/>
    <x v="42"/>
    <n v="72.599999999999994"/>
    <n v="663.65"/>
    <n v="0"/>
  </r>
  <r>
    <x v="46"/>
    <x v="42"/>
    <n v="72.599999999999994"/>
    <n v="599.12"/>
    <n v="0"/>
  </r>
  <r>
    <x v="47"/>
    <x v="42"/>
    <n v="72.599999999999994"/>
    <n v="571.4"/>
    <n v="358.35"/>
  </r>
  <r>
    <x v="48"/>
    <x v="42"/>
    <n v="72.599999999999994"/>
    <n v="1229"/>
    <n v="706.62"/>
  </r>
  <r>
    <x v="49"/>
    <x v="42"/>
    <n v="72.599999999999994"/>
    <n v="636.12"/>
    <n v="437.64"/>
  </r>
  <r>
    <x v="50"/>
    <x v="42"/>
    <n v="72.599999999999994"/>
    <n v="614.17999999999995"/>
    <n v="419.52"/>
  </r>
  <r>
    <x v="51"/>
    <x v="42"/>
    <n v="72.599999999999994"/>
    <n v="591.44000000000005"/>
    <n v="417.75"/>
  </r>
  <r>
    <x v="52"/>
    <x v="42"/>
    <n v="72.599999999999994"/>
    <n v="580.95000000000005"/>
    <n v="408.48"/>
  </r>
  <r>
    <x v="53"/>
    <x v="42"/>
    <n v="72.599999999999994"/>
    <n v="646.61"/>
    <n v="0"/>
  </r>
  <r>
    <x v="54"/>
    <x v="42"/>
    <n v="72.599999999999994"/>
    <n v="517.53"/>
    <n v="0"/>
  </r>
  <r>
    <x v="55"/>
    <x v="42"/>
    <n v="72.599999999999994"/>
    <n v="669.06"/>
    <n v="0"/>
  </r>
  <r>
    <x v="56"/>
    <x v="42"/>
    <n v="72.599999999999994"/>
    <n v="604.44000000000005"/>
    <n v="0"/>
  </r>
  <r>
    <x v="57"/>
    <x v="42"/>
    <n v="72.599999999999994"/>
    <n v="638.86"/>
    <n v="0"/>
  </r>
  <r>
    <x v="58"/>
    <x v="42"/>
    <n v="72.599999999999994"/>
    <n v="669.28"/>
    <n v="0"/>
  </r>
  <r>
    <x v="59"/>
    <x v="42"/>
    <n v="72.599999999999994"/>
    <n v="586.39"/>
    <n v="339.68"/>
  </r>
  <r>
    <x v="60"/>
    <x v="42"/>
    <n v="72.599999999999994"/>
    <n v="1035.02"/>
    <n v="591.47"/>
  </r>
  <r>
    <x v="61"/>
    <x v="42"/>
    <n v="72.599999999999994"/>
    <n v="643.71"/>
    <n v="447.05"/>
  </r>
  <r>
    <x v="62"/>
    <x v="42"/>
    <n v="72.599999999999994"/>
    <n v="632.55999999999995"/>
    <n v="451.48"/>
  </r>
  <r>
    <x v="63"/>
    <x v="42"/>
    <n v="72.599999999999994"/>
    <n v="594.22"/>
    <n v="411.9"/>
  </r>
  <r>
    <x v="64"/>
    <x v="42"/>
    <n v="72.599999999999994"/>
    <n v="710.33"/>
    <n v="0"/>
  </r>
  <r>
    <x v="65"/>
    <x v="42"/>
    <n v="72.599999999999994"/>
    <n v="708.56"/>
    <n v="0"/>
  </r>
  <r>
    <x v="66"/>
    <x v="42"/>
    <n v="72.599999999999994"/>
    <n v="625.63"/>
    <n v="0"/>
  </r>
  <r>
    <x v="67"/>
    <x v="42"/>
    <n v="72.599999999999994"/>
    <n v="748.61"/>
    <n v="0"/>
  </r>
  <r>
    <x v="68"/>
    <x v="42"/>
    <n v="72.599999999999994"/>
    <n v="510.81"/>
    <n v="0"/>
  </r>
  <r>
    <x v="69"/>
    <x v="42"/>
    <n v="72.599999999999994"/>
    <n v="714.94"/>
    <n v="460.68"/>
  </r>
  <r>
    <x v="70"/>
    <x v="42"/>
    <n v="72.599999999999994"/>
    <n v="799.73"/>
    <n v="504.01"/>
  </r>
  <r>
    <x v="71"/>
    <x v="42"/>
    <n v="72.599999999999994"/>
    <n v="751.48"/>
    <n v="486.95"/>
  </r>
  <r>
    <x v="72"/>
    <x v="42"/>
    <n v="72.599999999999994"/>
    <n v="0"/>
    <n v="0"/>
  </r>
  <r>
    <x v="73"/>
    <x v="42"/>
    <n v="72.599999999999994"/>
    <n v="0"/>
    <n v="0"/>
  </r>
  <r>
    <x v="74"/>
    <x v="42"/>
    <n v="72.599999999999994"/>
    <n v="0"/>
    <n v="0"/>
  </r>
  <r>
    <x v="75"/>
    <x v="42"/>
    <n v="72.599999999999994"/>
    <n v="0"/>
    <n v="0"/>
  </r>
  <r>
    <x v="76"/>
    <x v="42"/>
    <n v="72.599999999999994"/>
    <n v="0"/>
    <n v="0"/>
  </r>
  <r>
    <x v="77"/>
    <x v="42"/>
    <n v="72.599999999999994"/>
    <n v="0"/>
    <n v="0"/>
  </r>
  <r>
    <x v="78"/>
    <x v="42"/>
    <n v="72.599999999999994"/>
    <n v="0"/>
    <n v="0"/>
  </r>
  <r>
    <x v="79"/>
    <x v="42"/>
    <n v="72.599999999999994"/>
    <n v="0"/>
    <n v="0"/>
  </r>
  <r>
    <x v="80"/>
    <x v="42"/>
    <n v="72.599999999999994"/>
    <n v="0"/>
    <n v="0"/>
  </r>
  <r>
    <x v="81"/>
    <x v="42"/>
    <n v="72.599999999999994"/>
    <n v="0"/>
    <n v="0"/>
  </r>
  <r>
    <x v="82"/>
    <x v="42"/>
    <n v="72.599999999999994"/>
    <n v="0"/>
    <n v="0"/>
  </r>
  <r>
    <x v="83"/>
    <x v="42"/>
    <n v="72.599999999999994"/>
    <n v="0"/>
    <n v="0"/>
  </r>
  <r>
    <x v="84"/>
    <x v="42"/>
    <n v="72.599999999999994"/>
    <n v="0"/>
    <n v="0"/>
  </r>
  <r>
    <x v="85"/>
    <x v="42"/>
    <n v="72.599999999999994"/>
    <n v="0"/>
    <n v="0"/>
  </r>
  <r>
    <x v="86"/>
    <x v="42"/>
    <n v="72.599999999999994"/>
    <n v="0"/>
    <n v="0"/>
  </r>
  <r>
    <x v="87"/>
    <x v="42"/>
    <n v="72.599999999999994"/>
    <n v="0"/>
    <n v="0"/>
  </r>
  <r>
    <x v="88"/>
    <x v="42"/>
    <n v="72.599999999999994"/>
    <n v="0"/>
    <n v="0"/>
  </r>
  <r>
    <x v="89"/>
    <x v="42"/>
    <n v="72.599999999999994"/>
    <n v="0"/>
    <n v="0"/>
  </r>
  <r>
    <x v="90"/>
    <x v="42"/>
    <n v="72.599999999999994"/>
    <n v="0"/>
    <n v="0"/>
  </r>
  <r>
    <x v="91"/>
    <x v="42"/>
    <n v="72.599999999999994"/>
    <n v="0"/>
    <n v="0"/>
  </r>
  <r>
    <x v="92"/>
    <x v="42"/>
    <n v="72.599999999999994"/>
    <n v="0"/>
    <n v="0"/>
  </r>
  <r>
    <x v="93"/>
    <x v="42"/>
    <n v="72.599999999999994"/>
    <n v="0"/>
    <n v="0"/>
  </r>
  <r>
    <x v="94"/>
    <x v="42"/>
    <n v="72.599999999999994"/>
    <n v="0"/>
    <n v="0"/>
  </r>
  <r>
    <x v="95"/>
    <x v="42"/>
    <n v="72.599999999999994"/>
    <n v="0"/>
    <n v="0"/>
  </r>
  <r>
    <x v="0"/>
    <x v="43"/>
    <n v="72.900000000000006"/>
    <n v="814.57"/>
    <n v="910.02"/>
  </r>
  <r>
    <x v="1"/>
    <x v="43"/>
    <n v="72.900000000000006"/>
    <n v="529.64"/>
    <n v="562.32000000000005"/>
  </r>
  <r>
    <x v="2"/>
    <x v="43"/>
    <n v="72.900000000000006"/>
    <n v="522.42999999999995"/>
    <n v="529.83000000000004"/>
  </r>
  <r>
    <x v="3"/>
    <x v="43"/>
    <n v="72.900000000000006"/>
    <n v="502.92"/>
    <n v="540.25"/>
  </r>
  <r>
    <x v="4"/>
    <x v="43"/>
    <n v="72.900000000000006"/>
    <n v="501.19"/>
    <n v="528.52"/>
  </r>
  <r>
    <x v="5"/>
    <x v="43"/>
    <n v="72.900000000000006"/>
    <n v="518.77"/>
    <n v="533.03"/>
  </r>
  <r>
    <x v="6"/>
    <x v="43"/>
    <n v="72.900000000000006"/>
    <n v="475.54"/>
    <n v="503.27"/>
  </r>
  <r>
    <x v="7"/>
    <x v="43"/>
    <n v="72.900000000000006"/>
    <n v="537.86"/>
    <n v="607.73"/>
  </r>
  <r>
    <x v="8"/>
    <x v="43"/>
    <n v="72.900000000000006"/>
    <n v="489.52"/>
    <n v="528.41999999999996"/>
  </r>
  <r>
    <x v="9"/>
    <x v="43"/>
    <n v="72.900000000000006"/>
    <n v="476.95"/>
    <n v="523.78"/>
  </r>
  <r>
    <x v="10"/>
    <x v="43"/>
    <n v="72.900000000000006"/>
    <n v="491.07"/>
    <n v="552.19000000000005"/>
  </r>
  <r>
    <x v="11"/>
    <x v="43"/>
    <n v="72.900000000000006"/>
    <n v="598.29"/>
    <n v="-1011.17"/>
  </r>
  <r>
    <x v="12"/>
    <x v="43"/>
    <n v="72.900000000000006"/>
    <n v="2118.9899999999998"/>
    <n v="95.18"/>
  </r>
  <r>
    <x v="13"/>
    <x v="43"/>
    <n v="72.900000000000006"/>
    <n v="1537.08"/>
    <n v="74.37"/>
  </r>
  <r>
    <x v="14"/>
    <x v="43"/>
    <n v="72.900000000000006"/>
    <n v="1650.51"/>
    <n v="83.44"/>
  </r>
  <r>
    <x v="15"/>
    <x v="43"/>
    <n v="72.900000000000006"/>
    <n v="1684.44"/>
    <n v="69.209999999999994"/>
  </r>
  <r>
    <x v="16"/>
    <x v="43"/>
    <n v="72.900000000000006"/>
    <n v="1604.95"/>
    <n v="67.489999999999995"/>
  </r>
  <r>
    <x v="17"/>
    <x v="43"/>
    <n v="72.900000000000006"/>
    <n v="1618.59"/>
    <n v="61.82"/>
  </r>
  <r>
    <x v="18"/>
    <x v="43"/>
    <n v="72.900000000000006"/>
    <n v="1479.84"/>
    <n v="57.91"/>
  </r>
  <r>
    <x v="19"/>
    <x v="43"/>
    <n v="72.900000000000006"/>
    <n v="1586.1"/>
    <n v="68.8"/>
  </r>
  <r>
    <x v="20"/>
    <x v="43"/>
    <n v="72.900000000000006"/>
    <n v="1577.94"/>
    <n v="58.8"/>
  </r>
  <r>
    <x v="21"/>
    <x v="43"/>
    <n v="72.900000000000006"/>
    <n v="1530.43"/>
    <n v="49.3"/>
  </r>
  <r>
    <x v="22"/>
    <x v="43"/>
    <n v="72.900000000000006"/>
    <n v="1542"/>
    <n v="54.95"/>
  </r>
  <r>
    <x v="23"/>
    <x v="43"/>
    <n v="72.900000000000006"/>
    <n v="1585.49"/>
    <n v="29.15"/>
  </r>
  <r>
    <x v="24"/>
    <x v="43"/>
    <n v="72.900000000000006"/>
    <n v="1010.2"/>
    <n v="687"/>
  </r>
  <r>
    <x v="25"/>
    <x v="43"/>
    <n v="72.900000000000006"/>
    <n v="595.39"/>
    <n v="444.64"/>
  </r>
  <r>
    <x v="26"/>
    <x v="43"/>
    <n v="72.900000000000006"/>
    <n v="555.11"/>
    <n v="412.38"/>
  </r>
  <r>
    <x v="27"/>
    <x v="43"/>
    <n v="72.900000000000006"/>
    <n v="511.11"/>
    <n v="450.69"/>
  </r>
  <r>
    <x v="28"/>
    <x v="43"/>
    <n v="72.900000000000006"/>
    <n v="531.14"/>
    <n v="432.36"/>
  </r>
  <r>
    <x v="29"/>
    <x v="43"/>
    <n v="72.900000000000006"/>
    <n v="618.29"/>
    <n v="457.26"/>
  </r>
  <r>
    <x v="30"/>
    <x v="43"/>
    <n v="72.900000000000006"/>
    <n v="590.97"/>
    <n v="432.45"/>
  </r>
  <r>
    <x v="31"/>
    <x v="43"/>
    <n v="72.900000000000006"/>
    <n v="620.5"/>
    <n v="457.55"/>
  </r>
  <r>
    <x v="32"/>
    <x v="43"/>
    <n v="72.900000000000006"/>
    <n v="502.61"/>
    <n v="409.47"/>
  </r>
  <r>
    <x v="33"/>
    <x v="43"/>
    <n v="72.900000000000006"/>
    <n v="564.15"/>
    <n v="424.53"/>
  </r>
  <r>
    <x v="34"/>
    <x v="43"/>
    <n v="72.900000000000006"/>
    <n v="638.01"/>
    <n v="469.51"/>
  </r>
  <r>
    <x v="35"/>
    <x v="43"/>
    <n v="72.900000000000006"/>
    <n v="520.16999999999996"/>
    <n v="362.05"/>
  </r>
  <r>
    <x v="36"/>
    <x v="43"/>
    <n v="72.900000000000006"/>
    <n v="1161.01"/>
    <n v="658.77"/>
  </r>
  <r>
    <x v="37"/>
    <x v="43"/>
    <n v="72.900000000000006"/>
    <n v="602.66"/>
    <n v="423.32"/>
  </r>
  <r>
    <x v="38"/>
    <x v="43"/>
    <n v="72.900000000000006"/>
    <n v="706.71"/>
    <n v="502.53"/>
  </r>
  <r>
    <x v="39"/>
    <x v="43"/>
    <n v="72.900000000000006"/>
    <n v="538.84"/>
    <n v="0"/>
  </r>
  <r>
    <x v="40"/>
    <x v="43"/>
    <n v="72.900000000000006"/>
    <n v="650.57000000000005"/>
    <n v="0"/>
  </r>
  <r>
    <x v="41"/>
    <x v="43"/>
    <n v="72.900000000000006"/>
    <n v="668.96"/>
    <n v="470.57"/>
  </r>
  <r>
    <x v="42"/>
    <x v="43"/>
    <n v="72.900000000000006"/>
    <n v="627.29"/>
    <n v="0"/>
  </r>
  <r>
    <x v="43"/>
    <x v="43"/>
    <n v="72.900000000000006"/>
    <n v="669.21"/>
    <n v="0"/>
  </r>
  <r>
    <x v="44"/>
    <x v="43"/>
    <n v="72.900000000000006"/>
    <n v="656.42"/>
    <n v="0"/>
  </r>
  <r>
    <x v="45"/>
    <x v="43"/>
    <n v="72.900000000000006"/>
    <n v="668.97"/>
    <n v="0"/>
  </r>
  <r>
    <x v="46"/>
    <x v="43"/>
    <n v="72.900000000000006"/>
    <n v="605.45000000000005"/>
    <n v="0"/>
  </r>
  <r>
    <x v="47"/>
    <x v="43"/>
    <n v="72.900000000000006"/>
    <n v="580.13"/>
    <n v="358.22"/>
  </r>
  <r>
    <x v="48"/>
    <x v="43"/>
    <n v="72.900000000000006"/>
    <n v="1233.8800000000001"/>
    <n v="725.36"/>
  </r>
  <r>
    <x v="49"/>
    <x v="43"/>
    <n v="72.900000000000006"/>
    <n v="645.23"/>
    <n v="447.53"/>
  </r>
  <r>
    <x v="50"/>
    <x v="43"/>
    <n v="72.900000000000006"/>
    <n v="627.53"/>
    <n v="427.26"/>
  </r>
  <r>
    <x v="51"/>
    <x v="43"/>
    <n v="72.900000000000006"/>
    <n v="604.16999999999996"/>
    <n v="423.49"/>
  </r>
  <r>
    <x v="52"/>
    <x v="43"/>
    <n v="72.900000000000006"/>
    <n v="591.02"/>
    <n v="413.41"/>
  </r>
  <r>
    <x v="53"/>
    <x v="43"/>
    <n v="72.900000000000006"/>
    <n v="654.55999999999995"/>
    <n v="0"/>
  </r>
  <r>
    <x v="54"/>
    <x v="43"/>
    <n v="72.900000000000006"/>
    <n v="524.14"/>
    <n v="0"/>
  </r>
  <r>
    <x v="55"/>
    <x v="43"/>
    <n v="72.900000000000006"/>
    <n v="676.55"/>
    <n v="0"/>
  </r>
  <r>
    <x v="56"/>
    <x v="43"/>
    <n v="72.900000000000006"/>
    <n v="610.85"/>
    <n v="0"/>
  </r>
  <r>
    <x v="57"/>
    <x v="43"/>
    <n v="72.900000000000006"/>
    <n v="645.64"/>
    <n v="0"/>
  </r>
  <r>
    <x v="58"/>
    <x v="43"/>
    <n v="72.900000000000006"/>
    <n v="676.31"/>
    <n v="0"/>
  </r>
  <r>
    <x v="59"/>
    <x v="43"/>
    <n v="72.900000000000006"/>
    <n v="596.52"/>
    <n v="342.74"/>
  </r>
  <r>
    <x v="60"/>
    <x v="43"/>
    <n v="72.900000000000006"/>
    <n v="1039.96"/>
    <n v="609.03"/>
  </r>
  <r>
    <x v="61"/>
    <x v="43"/>
    <n v="72.900000000000006"/>
    <n v="652.17999999999995"/>
    <n v="461.6"/>
  </r>
  <r>
    <x v="62"/>
    <x v="43"/>
    <n v="72.900000000000006"/>
    <n v="645.44000000000005"/>
    <n v="462.78"/>
  </r>
  <r>
    <x v="63"/>
    <x v="43"/>
    <n v="72.900000000000006"/>
    <n v="604.54"/>
    <n v="418.54"/>
  </r>
  <r>
    <x v="64"/>
    <x v="43"/>
    <n v="72.900000000000006"/>
    <n v="719.61"/>
    <n v="0"/>
  </r>
  <r>
    <x v="65"/>
    <x v="43"/>
    <n v="72.900000000000006"/>
    <n v="718.55"/>
    <n v="0"/>
  </r>
  <r>
    <x v="66"/>
    <x v="43"/>
    <n v="72.900000000000006"/>
    <n v="632.05999999999995"/>
    <n v="0"/>
  </r>
  <r>
    <x v="67"/>
    <x v="43"/>
    <n v="72.900000000000006"/>
    <n v="757.9"/>
    <n v="0"/>
  </r>
  <r>
    <x v="68"/>
    <x v="43"/>
    <n v="72.900000000000006"/>
    <n v="512.55999999999995"/>
    <n v="0"/>
  </r>
  <r>
    <x v="69"/>
    <x v="43"/>
    <n v="72.900000000000006"/>
    <n v="722.34"/>
    <n v="468.61"/>
  </r>
  <r>
    <x v="70"/>
    <x v="43"/>
    <n v="72.900000000000006"/>
    <n v="808.02"/>
    <n v="509.2"/>
  </r>
  <r>
    <x v="71"/>
    <x v="43"/>
    <n v="72.900000000000006"/>
    <n v="761.77"/>
    <n v="486.05"/>
  </r>
  <r>
    <x v="72"/>
    <x v="43"/>
    <n v="72.900000000000006"/>
    <n v="0"/>
    <n v="0"/>
  </r>
  <r>
    <x v="73"/>
    <x v="43"/>
    <n v="72.900000000000006"/>
    <n v="0"/>
    <n v="0"/>
  </r>
  <r>
    <x v="74"/>
    <x v="43"/>
    <n v="72.900000000000006"/>
    <n v="0"/>
    <n v="0"/>
  </r>
  <r>
    <x v="75"/>
    <x v="43"/>
    <n v="72.900000000000006"/>
    <n v="0"/>
    <n v="0"/>
  </r>
  <r>
    <x v="76"/>
    <x v="43"/>
    <n v="72.900000000000006"/>
    <n v="0"/>
    <n v="0"/>
  </r>
  <r>
    <x v="77"/>
    <x v="43"/>
    <n v="72.900000000000006"/>
    <n v="0"/>
    <n v="0"/>
  </r>
  <r>
    <x v="78"/>
    <x v="43"/>
    <n v="72.900000000000006"/>
    <n v="0"/>
    <n v="0"/>
  </r>
  <r>
    <x v="79"/>
    <x v="43"/>
    <n v="72.900000000000006"/>
    <n v="0"/>
    <n v="0"/>
  </r>
  <r>
    <x v="80"/>
    <x v="43"/>
    <n v="72.900000000000006"/>
    <n v="0"/>
    <n v="0"/>
  </r>
  <r>
    <x v="81"/>
    <x v="43"/>
    <n v="72.900000000000006"/>
    <n v="0"/>
    <n v="0"/>
  </r>
  <r>
    <x v="82"/>
    <x v="43"/>
    <n v="72.900000000000006"/>
    <n v="0"/>
    <n v="0"/>
  </r>
  <r>
    <x v="83"/>
    <x v="43"/>
    <n v="72.900000000000006"/>
    <n v="0"/>
    <n v="0"/>
  </r>
  <r>
    <x v="84"/>
    <x v="43"/>
    <n v="72.900000000000006"/>
    <n v="0"/>
    <n v="0"/>
  </r>
  <r>
    <x v="85"/>
    <x v="43"/>
    <n v="72.900000000000006"/>
    <n v="0"/>
    <n v="0"/>
  </r>
  <r>
    <x v="86"/>
    <x v="43"/>
    <n v="72.900000000000006"/>
    <n v="0"/>
    <n v="0"/>
  </r>
  <r>
    <x v="87"/>
    <x v="43"/>
    <n v="72.900000000000006"/>
    <n v="0"/>
    <n v="0"/>
  </r>
  <r>
    <x v="88"/>
    <x v="43"/>
    <n v="72.900000000000006"/>
    <n v="0"/>
    <n v="0"/>
  </r>
  <r>
    <x v="89"/>
    <x v="43"/>
    <n v="72.900000000000006"/>
    <n v="0"/>
    <n v="0"/>
  </r>
  <r>
    <x v="90"/>
    <x v="43"/>
    <n v="72.900000000000006"/>
    <n v="0"/>
    <n v="0"/>
  </r>
  <r>
    <x v="91"/>
    <x v="43"/>
    <n v="72.900000000000006"/>
    <n v="0"/>
    <n v="0"/>
  </r>
  <r>
    <x v="92"/>
    <x v="43"/>
    <n v="72.900000000000006"/>
    <n v="0"/>
    <n v="0"/>
  </r>
  <r>
    <x v="93"/>
    <x v="43"/>
    <n v="72.900000000000006"/>
    <n v="0"/>
    <n v="0"/>
  </r>
  <r>
    <x v="94"/>
    <x v="43"/>
    <n v="72.900000000000006"/>
    <n v="0"/>
    <n v="0"/>
  </r>
  <r>
    <x v="95"/>
    <x v="43"/>
    <n v="72.900000000000006"/>
    <n v="0"/>
    <n v="0"/>
  </r>
  <r>
    <x v="0"/>
    <x v="44"/>
    <n v="73.2"/>
    <n v="818.29"/>
    <n v="997.09"/>
  </r>
  <r>
    <x v="1"/>
    <x v="44"/>
    <n v="73.2"/>
    <n v="537.1"/>
    <n v="618.29999999999995"/>
  </r>
  <r>
    <x v="2"/>
    <x v="44"/>
    <n v="73.2"/>
    <n v="529.55999999999995"/>
    <n v="578.05999999999995"/>
  </r>
  <r>
    <x v="3"/>
    <x v="44"/>
    <n v="73.2"/>
    <n v="510.23"/>
    <n v="589.33000000000004"/>
  </r>
  <r>
    <x v="4"/>
    <x v="44"/>
    <n v="73.2"/>
    <n v="508.57"/>
    <n v="584.26"/>
  </r>
  <r>
    <x v="5"/>
    <x v="44"/>
    <n v="73.2"/>
    <n v="526.95000000000005"/>
    <n v="591"/>
  </r>
  <r>
    <x v="6"/>
    <x v="44"/>
    <n v="73.2"/>
    <n v="484.74"/>
    <n v="557.96"/>
  </r>
  <r>
    <x v="7"/>
    <x v="44"/>
    <n v="73.2"/>
    <n v="544.61"/>
    <n v="675.77"/>
  </r>
  <r>
    <x v="8"/>
    <x v="44"/>
    <n v="73.2"/>
    <n v="498.32"/>
    <n v="604.08000000000004"/>
  </r>
  <r>
    <x v="9"/>
    <x v="44"/>
    <n v="73.2"/>
    <n v="484.89"/>
    <n v="596.49"/>
  </r>
  <r>
    <x v="10"/>
    <x v="44"/>
    <n v="73.2"/>
    <n v="500.73"/>
    <n v="625.05999999999995"/>
  </r>
  <r>
    <x v="11"/>
    <x v="44"/>
    <n v="73.2"/>
    <n v="590.76"/>
    <n v="-1063.3900000000001"/>
  </r>
  <r>
    <x v="12"/>
    <x v="44"/>
    <n v="73.2"/>
    <n v="2353.3200000000002"/>
    <n v="103.09"/>
  </r>
  <r>
    <x v="13"/>
    <x v="44"/>
    <n v="73.2"/>
    <n v="1660.06"/>
    <n v="77.34"/>
  </r>
  <r>
    <x v="14"/>
    <x v="44"/>
    <n v="73.2"/>
    <n v="1781.09"/>
    <n v="88.58"/>
  </r>
  <r>
    <x v="15"/>
    <x v="44"/>
    <n v="73.2"/>
    <n v="1824.74"/>
    <n v="75.069999999999993"/>
  </r>
  <r>
    <x v="16"/>
    <x v="44"/>
    <n v="73.2"/>
    <n v="1746.1"/>
    <n v="69.42"/>
  </r>
  <r>
    <x v="17"/>
    <x v="44"/>
    <n v="73.2"/>
    <n v="1758.02"/>
    <n v="64.849999999999994"/>
  </r>
  <r>
    <x v="18"/>
    <x v="44"/>
    <n v="73.2"/>
    <n v="1611.21"/>
    <n v="60.91"/>
  </r>
  <r>
    <x v="19"/>
    <x v="44"/>
    <n v="73.2"/>
    <n v="1733.43"/>
    <n v="72.03"/>
  </r>
  <r>
    <x v="20"/>
    <x v="44"/>
    <n v="73.2"/>
    <n v="1739.22"/>
    <n v="61.16"/>
  </r>
  <r>
    <x v="21"/>
    <x v="44"/>
    <n v="73.2"/>
    <n v="1691.1"/>
    <n v="50.88"/>
  </r>
  <r>
    <x v="22"/>
    <x v="44"/>
    <n v="73.2"/>
    <n v="1704.63"/>
    <n v="57.86"/>
  </r>
  <r>
    <x v="23"/>
    <x v="44"/>
    <n v="73.2"/>
    <n v="1766.83"/>
    <n v="32.49"/>
  </r>
  <r>
    <x v="24"/>
    <x v="44"/>
    <n v="73.2"/>
    <n v="1019.36"/>
    <n v="721.58"/>
  </r>
  <r>
    <x v="25"/>
    <x v="44"/>
    <n v="73.2"/>
    <n v="605.16999999999996"/>
    <n v="461.97"/>
  </r>
  <r>
    <x v="26"/>
    <x v="44"/>
    <n v="73.2"/>
    <n v="565.32000000000005"/>
    <n v="433.84"/>
  </r>
  <r>
    <x v="27"/>
    <x v="44"/>
    <n v="73.2"/>
    <n v="527.51"/>
    <n v="466.89"/>
  </r>
  <r>
    <x v="28"/>
    <x v="44"/>
    <n v="73.2"/>
    <n v="539.97"/>
    <n v="456.04"/>
  </r>
  <r>
    <x v="29"/>
    <x v="44"/>
    <n v="73.2"/>
    <n v="626.89"/>
    <n v="481.43"/>
  </r>
  <r>
    <x v="30"/>
    <x v="44"/>
    <n v="73.2"/>
    <n v="600.14"/>
    <n v="455.08"/>
  </r>
  <r>
    <x v="31"/>
    <x v="44"/>
    <n v="73.2"/>
    <n v="628.63"/>
    <n v="482.51"/>
  </r>
  <r>
    <x v="32"/>
    <x v="44"/>
    <n v="73.2"/>
    <n v="509.68"/>
    <n v="432.72"/>
  </r>
  <r>
    <x v="33"/>
    <x v="44"/>
    <n v="73.2"/>
    <n v="572.6"/>
    <n v="448.79"/>
  </r>
  <r>
    <x v="34"/>
    <x v="44"/>
    <n v="73.2"/>
    <n v="647.23"/>
    <n v="492.15"/>
  </r>
  <r>
    <x v="35"/>
    <x v="44"/>
    <n v="73.2"/>
    <n v="530.72"/>
    <n v="375"/>
  </r>
  <r>
    <x v="36"/>
    <x v="44"/>
    <n v="73.2"/>
    <n v="1165.3"/>
    <n v="670.55"/>
  </r>
  <r>
    <x v="37"/>
    <x v="44"/>
    <n v="73.2"/>
    <n v="609.92999999999995"/>
    <n v="428.15"/>
  </r>
  <r>
    <x v="38"/>
    <x v="44"/>
    <n v="73.2"/>
    <n v="717.26"/>
    <n v="507.91"/>
  </r>
  <r>
    <x v="39"/>
    <x v="44"/>
    <n v="73.2"/>
    <n v="544.62"/>
    <n v="0"/>
  </r>
  <r>
    <x v="40"/>
    <x v="44"/>
    <n v="73.2"/>
    <n v="655.04999999999995"/>
    <n v="0"/>
  </r>
  <r>
    <x v="41"/>
    <x v="44"/>
    <n v="73.2"/>
    <n v="679.49"/>
    <n v="478.94"/>
  </r>
  <r>
    <x v="42"/>
    <x v="44"/>
    <n v="73.2"/>
    <n v="635.21"/>
    <n v="0"/>
  </r>
  <r>
    <x v="43"/>
    <x v="44"/>
    <n v="73.2"/>
    <n v="673.26"/>
    <n v="0"/>
  </r>
  <r>
    <x v="44"/>
    <x v="44"/>
    <n v="73.2"/>
    <n v="660.05"/>
    <n v="0"/>
  </r>
  <r>
    <x v="45"/>
    <x v="44"/>
    <n v="73.2"/>
    <n v="673.78"/>
    <n v="0"/>
  </r>
  <r>
    <x v="46"/>
    <x v="44"/>
    <n v="73.2"/>
    <n v="611.15"/>
    <n v="0"/>
  </r>
  <r>
    <x v="47"/>
    <x v="44"/>
    <n v="73.2"/>
    <n v="588.07000000000005"/>
    <n v="355.35"/>
  </r>
  <r>
    <x v="48"/>
    <x v="44"/>
    <n v="73.2"/>
    <n v="1238.68"/>
    <n v="742.38"/>
  </r>
  <r>
    <x v="49"/>
    <x v="44"/>
    <n v="73.2"/>
    <n v="653.41"/>
    <n v="453.68"/>
  </r>
  <r>
    <x v="50"/>
    <x v="44"/>
    <n v="73.2"/>
    <n v="640.24"/>
    <n v="431.63"/>
  </r>
  <r>
    <x v="51"/>
    <x v="44"/>
    <n v="73.2"/>
    <n v="616.32000000000005"/>
    <n v="425.66"/>
  </r>
  <r>
    <x v="52"/>
    <x v="44"/>
    <n v="73.2"/>
    <n v="600.69000000000005"/>
    <n v="414.91"/>
  </r>
  <r>
    <x v="53"/>
    <x v="44"/>
    <n v="73.2"/>
    <n v="662.01"/>
    <n v="0"/>
  </r>
  <r>
    <x v="54"/>
    <x v="44"/>
    <n v="73.2"/>
    <n v="530.19000000000005"/>
    <n v="0"/>
  </r>
  <r>
    <x v="55"/>
    <x v="44"/>
    <n v="73.2"/>
    <n v="683.61"/>
    <n v="0"/>
  </r>
  <r>
    <x v="56"/>
    <x v="44"/>
    <n v="73.2"/>
    <n v="616.76"/>
    <n v="0"/>
  </r>
  <r>
    <x v="57"/>
    <x v="44"/>
    <n v="73.2"/>
    <n v="652.16"/>
    <n v="0"/>
  </r>
  <r>
    <x v="58"/>
    <x v="44"/>
    <n v="73.2"/>
    <n v="682.57"/>
    <n v="0"/>
  </r>
  <r>
    <x v="59"/>
    <x v="44"/>
    <n v="73.2"/>
    <n v="606.12"/>
    <n v="345.04"/>
  </r>
  <r>
    <x v="60"/>
    <x v="44"/>
    <n v="73.2"/>
    <n v="1044.82"/>
    <n v="625.58000000000004"/>
  </r>
  <r>
    <x v="61"/>
    <x v="44"/>
    <n v="73.2"/>
    <n v="659.68"/>
    <n v="473.69"/>
  </r>
  <r>
    <x v="62"/>
    <x v="44"/>
    <n v="73.2"/>
    <n v="657.96"/>
    <n v="468.12"/>
  </r>
  <r>
    <x v="63"/>
    <x v="44"/>
    <n v="73.2"/>
    <n v="614.24"/>
    <n v="422.06"/>
  </r>
  <r>
    <x v="64"/>
    <x v="44"/>
    <n v="73.2"/>
    <n v="728.35"/>
    <n v="0"/>
  </r>
  <r>
    <x v="65"/>
    <x v="44"/>
    <n v="73.2"/>
    <n v="727.87"/>
    <n v="0"/>
  </r>
  <r>
    <x v="66"/>
    <x v="44"/>
    <n v="73.2"/>
    <n v="637.75"/>
    <n v="0"/>
  </r>
  <r>
    <x v="67"/>
    <x v="44"/>
    <n v="73.2"/>
    <n v="766.85"/>
    <n v="0"/>
  </r>
  <r>
    <x v="68"/>
    <x v="44"/>
    <n v="73.2"/>
    <n v="514.07000000000005"/>
    <n v="0"/>
  </r>
  <r>
    <x v="69"/>
    <x v="44"/>
    <n v="73.2"/>
    <n v="728.62"/>
    <n v="473.85"/>
  </r>
  <r>
    <x v="70"/>
    <x v="44"/>
    <n v="73.2"/>
    <n v="815.18"/>
    <n v="512"/>
  </r>
  <r>
    <x v="71"/>
    <x v="44"/>
    <n v="73.2"/>
    <n v="770.51"/>
    <n v="482.58"/>
  </r>
  <r>
    <x v="72"/>
    <x v="44"/>
    <n v="73.2"/>
    <n v="0"/>
    <n v="0"/>
  </r>
  <r>
    <x v="73"/>
    <x v="44"/>
    <n v="73.2"/>
    <n v="0"/>
    <n v="0"/>
  </r>
  <r>
    <x v="74"/>
    <x v="44"/>
    <n v="73.2"/>
    <n v="0"/>
    <n v="0"/>
  </r>
  <r>
    <x v="75"/>
    <x v="44"/>
    <n v="73.2"/>
    <n v="0"/>
    <n v="0"/>
  </r>
  <r>
    <x v="76"/>
    <x v="44"/>
    <n v="73.2"/>
    <n v="0"/>
    <n v="0"/>
  </r>
  <r>
    <x v="77"/>
    <x v="44"/>
    <n v="73.2"/>
    <n v="0"/>
    <n v="0"/>
  </r>
  <r>
    <x v="78"/>
    <x v="44"/>
    <n v="73.2"/>
    <n v="0"/>
    <n v="0"/>
  </r>
  <r>
    <x v="79"/>
    <x v="44"/>
    <n v="73.2"/>
    <n v="0"/>
    <n v="0"/>
  </r>
  <r>
    <x v="80"/>
    <x v="44"/>
    <n v="73.2"/>
    <n v="0"/>
    <n v="0"/>
  </r>
  <r>
    <x v="81"/>
    <x v="44"/>
    <n v="73.2"/>
    <n v="0"/>
    <n v="0"/>
  </r>
  <r>
    <x v="82"/>
    <x v="44"/>
    <n v="73.2"/>
    <n v="0"/>
    <n v="0"/>
  </r>
  <r>
    <x v="83"/>
    <x v="44"/>
    <n v="73.2"/>
    <n v="0"/>
    <n v="0"/>
  </r>
  <r>
    <x v="84"/>
    <x v="44"/>
    <n v="73.2"/>
    <n v="0"/>
    <n v="0"/>
  </r>
  <r>
    <x v="85"/>
    <x v="44"/>
    <n v="73.2"/>
    <n v="0"/>
    <n v="0"/>
  </r>
  <r>
    <x v="86"/>
    <x v="44"/>
    <n v="73.2"/>
    <n v="0"/>
    <n v="0"/>
  </r>
  <r>
    <x v="87"/>
    <x v="44"/>
    <n v="73.2"/>
    <n v="0"/>
    <n v="0"/>
  </r>
  <r>
    <x v="88"/>
    <x v="44"/>
    <n v="73.2"/>
    <n v="0"/>
    <n v="0"/>
  </r>
  <r>
    <x v="89"/>
    <x v="44"/>
    <n v="73.2"/>
    <n v="0"/>
    <n v="0"/>
  </r>
  <r>
    <x v="90"/>
    <x v="44"/>
    <n v="73.2"/>
    <n v="0"/>
    <n v="0"/>
  </r>
  <r>
    <x v="91"/>
    <x v="44"/>
    <n v="73.2"/>
    <n v="0"/>
    <n v="0"/>
  </r>
  <r>
    <x v="92"/>
    <x v="44"/>
    <n v="73.2"/>
    <n v="0"/>
    <n v="0"/>
  </r>
  <r>
    <x v="93"/>
    <x v="44"/>
    <n v="73.2"/>
    <n v="0"/>
    <n v="0"/>
  </r>
  <r>
    <x v="94"/>
    <x v="44"/>
    <n v="73.2"/>
    <n v="0"/>
    <n v="0"/>
  </r>
  <r>
    <x v="95"/>
    <x v="44"/>
    <n v="73.2"/>
    <n v="0"/>
    <n v="0"/>
  </r>
  <r>
    <x v="0"/>
    <x v="45"/>
    <n v="73.5"/>
    <n v="821.93"/>
    <n v="1072.55"/>
  </r>
  <r>
    <x v="1"/>
    <x v="45"/>
    <n v="73.5"/>
    <n v="544.30999999999995"/>
    <n v="668.18"/>
  </r>
  <r>
    <x v="2"/>
    <x v="45"/>
    <n v="73.5"/>
    <n v="536.51"/>
    <n v="626.41999999999996"/>
  </r>
  <r>
    <x v="3"/>
    <x v="45"/>
    <n v="73.5"/>
    <n v="517.39"/>
    <n v="636.11"/>
  </r>
  <r>
    <x v="4"/>
    <x v="45"/>
    <n v="73.5"/>
    <n v="515.76"/>
    <n v="639.08000000000004"/>
  </r>
  <r>
    <x v="5"/>
    <x v="45"/>
    <n v="73.5"/>
    <n v="535.04999999999995"/>
    <n v="649.9"/>
  </r>
  <r>
    <x v="6"/>
    <x v="45"/>
    <n v="73.5"/>
    <n v="493.77"/>
    <n v="613.89"/>
  </r>
  <r>
    <x v="7"/>
    <x v="45"/>
    <n v="73.5"/>
    <n v="551.19000000000005"/>
    <n v="737.24"/>
  </r>
  <r>
    <x v="8"/>
    <x v="45"/>
    <n v="73.5"/>
    <n v="507.12"/>
    <n v="681.52"/>
  </r>
  <r>
    <x v="9"/>
    <x v="45"/>
    <n v="73.5"/>
    <n v="492.83"/>
    <n v="670.06"/>
  </r>
  <r>
    <x v="10"/>
    <x v="45"/>
    <n v="73.5"/>
    <n v="510.29"/>
    <n v="694.7"/>
  </r>
  <r>
    <x v="11"/>
    <x v="45"/>
    <n v="73.5"/>
    <n v="582.16999999999996"/>
    <n v="-1116.57"/>
  </r>
  <r>
    <x v="12"/>
    <x v="45"/>
    <n v="73.5"/>
    <n v="2578.5700000000002"/>
    <n v="112.09"/>
  </r>
  <r>
    <x v="13"/>
    <x v="45"/>
    <n v="73.5"/>
    <n v="1754.27"/>
    <n v="79.7"/>
  </r>
  <r>
    <x v="14"/>
    <x v="45"/>
    <n v="73.5"/>
    <n v="1884"/>
    <n v="94.83"/>
  </r>
  <r>
    <x v="15"/>
    <x v="45"/>
    <n v="73.5"/>
    <n v="1933.19"/>
    <n v="78.72"/>
  </r>
  <r>
    <x v="16"/>
    <x v="45"/>
    <n v="73.5"/>
    <n v="1858.06"/>
    <n v="70.64"/>
  </r>
  <r>
    <x v="17"/>
    <x v="45"/>
    <n v="73.5"/>
    <n v="1870.51"/>
    <n v="67.680000000000007"/>
  </r>
  <r>
    <x v="18"/>
    <x v="45"/>
    <n v="73.5"/>
    <n v="1719.59"/>
    <n v="64.430000000000007"/>
  </r>
  <r>
    <x v="19"/>
    <x v="45"/>
    <n v="73.5"/>
    <n v="1853.6"/>
    <n v="74.63"/>
  </r>
  <r>
    <x v="20"/>
    <x v="45"/>
    <n v="73.5"/>
    <n v="1877.53"/>
    <n v="63.36"/>
  </r>
  <r>
    <x v="21"/>
    <x v="45"/>
    <n v="73.5"/>
    <n v="1835.37"/>
    <n v="52.21"/>
  </r>
  <r>
    <x v="22"/>
    <x v="45"/>
    <n v="73.5"/>
    <n v="1844.86"/>
    <n v="59.88"/>
  </r>
  <r>
    <x v="23"/>
    <x v="45"/>
    <n v="73.5"/>
    <n v="1931.75"/>
    <n v="35.71"/>
  </r>
  <r>
    <x v="24"/>
    <x v="45"/>
    <n v="73.5"/>
    <n v="1029.0899999999999"/>
    <n v="746.54"/>
  </r>
  <r>
    <x v="25"/>
    <x v="45"/>
    <n v="73.5"/>
    <n v="614.66999999999996"/>
    <n v="473.85"/>
  </r>
  <r>
    <x v="26"/>
    <x v="45"/>
    <n v="73.5"/>
    <n v="575.63"/>
    <n v="450.78"/>
  </r>
  <r>
    <x v="27"/>
    <x v="45"/>
    <n v="73.5"/>
    <n v="544.26"/>
    <n v="475.59"/>
  </r>
  <r>
    <x v="28"/>
    <x v="45"/>
    <n v="73.5"/>
    <n v="548.84"/>
    <n v="471.98"/>
  </r>
  <r>
    <x v="29"/>
    <x v="45"/>
    <n v="73.5"/>
    <n v="635.70000000000005"/>
    <n v="497.21"/>
  </r>
  <r>
    <x v="30"/>
    <x v="45"/>
    <n v="73.5"/>
    <n v="609.38"/>
    <n v="472.03"/>
  </r>
  <r>
    <x v="31"/>
    <x v="45"/>
    <n v="73.5"/>
    <n v="636.86"/>
    <n v="500.42"/>
  </r>
  <r>
    <x v="32"/>
    <x v="45"/>
    <n v="73.5"/>
    <n v="516.78"/>
    <n v="449.02"/>
  </r>
  <r>
    <x v="33"/>
    <x v="45"/>
    <n v="73.5"/>
    <n v="581.16"/>
    <n v="467.45"/>
  </r>
  <r>
    <x v="34"/>
    <x v="45"/>
    <n v="73.5"/>
    <n v="656.5"/>
    <n v="507.9"/>
  </r>
  <r>
    <x v="35"/>
    <x v="45"/>
    <n v="73.5"/>
    <n v="541.38"/>
    <n v="384.78"/>
  </r>
  <r>
    <x v="36"/>
    <x v="45"/>
    <n v="73.5"/>
    <n v="1169.6600000000001"/>
    <n v="677.69"/>
  </r>
  <r>
    <x v="37"/>
    <x v="45"/>
    <n v="73.5"/>
    <n v="616.45000000000005"/>
    <n v="428.54"/>
  </r>
  <r>
    <x v="38"/>
    <x v="45"/>
    <n v="73.5"/>
    <n v="726.96"/>
    <n v="511.98"/>
  </r>
  <r>
    <x v="39"/>
    <x v="45"/>
    <n v="73.5"/>
    <n v="549.76"/>
    <n v="0"/>
  </r>
  <r>
    <x v="40"/>
    <x v="45"/>
    <n v="73.5"/>
    <n v="658.9"/>
    <n v="0"/>
  </r>
  <r>
    <x v="41"/>
    <x v="45"/>
    <n v="73.5"/>
    <n v="689.45"/>
    <n v="480.87"/>
  </r>
  <r>
    <x v="42"/>
    <x v="45"/>
    <n v="73.5"/>
    <n v="642.91999999999996"/>
    <n v="0"/>
  </r>
  <r>
    <x v="43"/>
    <x v="45"/>
    <n v="73.5"/>
    <n v="676.99"/>
    <n v="0"/>
  </r>
  <r>
    <x v="44"/>
    <x v="45"/>
    <n v="73.5"/>
    <n v="663.26"/>
    <n v="0"/>
  </r>
  <r>
    <x v="45"/>
    <x v="45"/>
    <n v="73.5"/>
    <n v="678.09"/>
    <n v="0"/>
  </r>
  <r>
    <x v="46"/>
    <x v="45"/>
    <n v="73.5"/>
    <n v="616.19000000000005"/>
    <n v="0"/>
  </r>
  <r>
    <x v="47"/>
    <x v="45"/>
    <n v="73.5"/>
    <n v="595.28"/>
    <n v="349.36"/>
  </r>
  <r>
    <x v="48"/>
    <x v="45"/>
    <n v="73.5"/>
    <n v="1243.49"/>
    <n v="756.14"/>
  </r>
  <r>
    <x v="49"/>
    <x v="45"/>
    <n v="73.5"/>
    <n v="660.58"/>
    <n v="455.32"/>
  </r>
  <r>
    <x v="50"/>
    <x v="45"/>
    <n v="73.5"/>
    <n v="652.20000000000005"/>
    <n v="432.4"/>
  </r>
  <r>
    <x v="51"/>
    <x v="45"/>
    <n v="73.5"/>
    <n v="627.83000000000004"/>
    <n v="424.04"/>
  </r>
  <r>
    <x v="52"/>
    <x v="45"/>
    <n v="73.5"/>
    <n v="609.94000000000005"/>
    <n v="412.82"/>
  </r>
  <r>
    <x v="53"/>
    <x v="45"/>
    <n v="73.5"/>
    <n v="668.94"/>
    <n v="0"/>
  </r>
  <r>
    <x v="54"/>
    <x v="45"/>
    <n v="73.5"/>
    <n v="535.66"/>
    <n v="0"/>
  </r>
  <r>
    <x v="55"/>
    <x v="45"/>
    <n v="73.5"/>
    <n v="690.27"/>
    <n v="0"/>
  </r>
  <r>
    <x v="56"/>
    <x v="45"/>
    <n v="73.5"/>
    <n v="622.20000000000005"/>
    <n v="0"/>
  </r>
  <r>
    <x v="57"/>
    <x v="45"/>
    <n v="73.5"/>
    <n v="658.49"/>
    <n v="0"/>
  </r>
  <r>
    <x v="58"/>
    <x v="45"/>
    <n v="73.5"/>
    <n v="688.05"/>
    <n v="0"/>
  </r>
  <r>
    <x v="59"/>
    <x v="45"/>
    <n v="73.5"/>
    <n v="615.27"/>
    <n v="346.72"/>
  </r>
  <r>
    <x v="60"/>
    <x v="45"/>
    <n v="73.5"/>
    <n v="1049.67"/>
    <n v="638.47"/>
  </r>
  <r>
    <x v="61"/>
    <x v="45"/>
    <n v="73.5"/>
    <n v="666.14"/>
    <n v="479.87"/>
  </r>
  <r>
    <x v="62"/>
    <x v="45"/>
    <n v="73.5"/>
    <n v="670.06"/>
    <n v="466.51"/>
  </r>
  <r>
    <x v="63"/>
    <x v="45"/>
    <n v="73.5"/>
    <n v="623.23"/>
    <n v="422.14"/>
  </r>
  <r>
    <x v="64"/>
    <x v="45"/>
    <n v="73.5"/>
    <n v="736.51"/>
    <n v="0"/>
  </r>
  <r>
    <x v="65"/>
    <x v="45"/>
    <n v="73.5"/>
    <n v="736.47"/>
    <n v="0"/>
  </r>
  <r>
    <x v="66"/>
    <x v="45"/>
    <n v="73.5"/>
    <n v="642.66999999999996"/>
    <n v="0"/>
  </r>
  <r>
    <x v="67"/>
    <x v="45"/>
    <n v="73.5"/>
    <n v="775.4"/>
    <n v="0"/>
  </r>
  <r>
    <x v="68"/>
    <x v="45"/>
    <n v="73.5"/>
    <n v="515.42999999999995"/>
    <n v="0"/>
  </r>
  <r>
    <x v="69"/>
    <x v="45"/>
    <n v="73.5"/>
    <n v="733.84"/>
    <n v="474.32"/>
  </r>
  <r>
    <x v="70"/>
    <x v="45"/>
    <n v="73.5"/>
    <n v="821.18"/>
    <n v="511.81"/>
  </r>
  <r>
    <x v="71"/>
    <x v="45"/>
    <n v="73.5"/>
    <n v="777.74"/>
    <n v="476.45"/>
  </r>
  <r>
    <x v="72"/>
    <x v="45"/>
    <n v="73.5"/>
    <n v="0"/>
    <n v="0"/>
  </r>
  <r>
    <x v="73"/>
    <x v="45"/>
    <n v="73.5"/>
    <n v="0"/>
    <n v="0"/>
  </r>
  <r>
    <x v="74"/>
    <x v="45"/>
    <n v="73.5"/>
    <n v="0"/>
    <n v="0"/>
  </r>
  <r>
    <x v="75"/>
    <x v="45"/>
    <n v="73.5"/>
    <n v="0"/>
    <n v="0"/>
  </r>
  <r>
    <x v="76"/>
    <x v="45"/>
    <n v="73.5"/>
    <n v="0"/>
    <n v="0"/>
  </r>
  <r>
    <x v="77"/>
    <x v="45"/>
    <n v="73.5"/>
    <n v="0"/>
    <n v="0"/>
  </r>
  <r>
    <x v="78"/>
    <x v="45"/>
    <n v="73.5"/>
    <n v="0"/>
    <n v="0"/>
  </r>
  <r>
    <x v="79"/>
    <x v="45"/>
    <n v="73.5"/>
    <n v="0"/>
    <n v="0"/>
  </r>
  <r>
    <x v="80"/>
    <x v="45"/>
    <n v="73.5"/>
    <n v="0"/>
    <n v="0"/>
  </r>
  <r>
    <x v="81"/>
    <x v="45"/>
    <n v="73.5"/>
    <n v="0"/>
    <n v="0"/>
  </r>
  <r>
    <x v="82"/>
    <x v="45"/>
    <n v="73.5"/>
    <n v="0"/>
    <n v="0"/>
  </r>
  <r>
    <x v="83"/>
    <x v="45"/>
    <n v="73.5"/>
    <n v="0"/>
    <n v="0"/>
  </r>
  <r>
    <x v="84"/>
    <x v="45"/>
    <n v="73.5"/>
    <n v="0"/>
    <n v="0"/>
  </r>
  <r>
    <x v="85"/>
    <x v="45"/>
    <n v="73.5"/>
    <n v="0"/>
    <n v="0"/>
  </r>
  <r>
    <x v="86"/>
    <x v="45"/>
    <n v="73.5"/>
    <n v="0"/>
    <n v="0"/>
  </r>
  <r>
    <x v="87"/>
    <x v="45"/>
    <n v="73.5"/>
    <n v="0"/>
    <n v="0"/>
  </r>
  <r>
    <x v="88"/>
    <x v="45"/>
    <n v="73.5"/>
    <n v="0"/>
    <n v="0"/>
  </r>
  <r>
    <x v="89"/>
    <x v="45"/>
    <n v="73.5"/>
    <n v="0"/>
    <n v="0"/>
  </r>
  <r>
    <x v="90"/>
    <x v="45"/>
    <n v="73.5"/>
    <n v="0"/>
    <n v="0"/>
  </r>
  <r>
    <x v="91"/>
    <x v="45"/>
    <n v="73.5"/>
    <n v="0"/>
    <n v="0"/>
  </r>
  <r>
    <x v="92"/>
    <x v="45"/>
    <n v="73.5"/>
    <n v="0"/>
    <n v="0"/>
  </r>
  <r>
    <x v="93"/>
    <x v="45"/>
    <n v="73.5"/>
    <n v="0"/>
    <n v="0"/>
  </r>
  <r>
    <x v="94"/>
    <x v="45"/>
    <n v="73.5"/>
    <n v="0"/>
    <n v="0"/>
  </r>
  <r>
    <x v="95"/>
    <x v="45"/>
    <n v="73.5"/>
    <n v="0"/>
    <n v="0"/>
  </r>
  <r>
    <x v="0"/>
    <x v="46"/>
    <n v="73.8"/>
    <n v="825.61"/>
    <n v="1126.6500000000001"/>
  </r>
  <r>
    <x v="1"/>
    <x v="46"/>
    <n v="73.8"/>
    <n v="551.41999999999996"/>
    <n v="704.6"/>
  </r>
  <r>
    <x v="2"/>
    <x v="46"/>
    <n v="73.8"/>
    <n v="543.46"/>
    <n v="667.64"/>
  </r>
  <r>
    <x v="3"/>
    <x v="46"/>
    <n v="73.8"/>
    <n v="524.57000000000005"/>
    <n v="674.11"/>
  </r>
  <r>
    <x v="4"/>
    <x v="46"/>
    <n v="73.8"/>
    <n v="522.92999999999995"/>
    <n v="683.7"/>
  </r>
  <r>
    <x v="5"/>
    <x v="46"/>
    <n v="73.8"/>
    <n v="543.21"/>
    <n v="700.01"/>
  </r>
  <r>
    <x v="6"/>
    <x v="46"/>
    <n v="73.8"/>
    <n v="502.77"/>
    <n v="662.14"/>
  </r>
  <r>
    <x v="7"/>
    <x v="46"/>
    <n v="73.8"/>
    <n v="557.74"/>
    <n v="783.46"/>
  </r>
  <r>
    <x v="8"/>
    <x v="46"/>
    <n v="73.8"/>
    <n v="516.12"/>
    <n v="747.79"/>
  </r>
  <r>
    <x v="9"/>
    <x v="46"/>
    <n v="73.8"/>
    <n v="500.95"/>
    <n v="733.25"/>
  </r>
  <r>
    <x v="10"/>
    <x v="46"/>
    <n v="73.8"/>
    <n v="519.9"/>
    <n v="749.24"/>
  </r>
  <r>
    <x v="11"/>
    <x v="46"/>
    <n v="73.8"/>
    <n v="572.5"/>
    <n v="-1170.43"/>
  </r>
  <r>
    <x v="12"/>
    <x v="46"/>
    <n v="73.8"/>
    <n v="2761.5"/>
    <n v="120.68"/>
  </r>
  <r>
    <x v="13"/>
    <x v="46"/>
    <n v="73.8"/>
    <n v="1809.95"/>
    <n v="81.36"/>
  </r>
  <r>
    <x v="14"/>
    <x v="46"/>
    <n v="73.8"/>
    <n v="1946.4"/>
    <n v="101.57"/>
  </r>
  <r>
    <x v="15"/>
    <x v="46"/>
    <n v="73.8"/>
    <n v="1999.66"/>
    <n v="80.569999999999993"/>
  </r>
  <r>
    <x v="16"/>
    <x v="46"/>
    <n v="73.8"/>
    <n v="1929.59"/>
    <n v="71.11"/>
  </r>
  <r>
    <x v="17"/>
    <x v="46"/>
    <n v="73.8"/>
    <n v="1946.2"/>
    <n v="70.099999999999994"/>
  </r>
  <r>
    <x v="18"/>
    <x v="46"/>
    <n v="73.8"/>
    <n v="1794.62"/>
    <n v="68.489999999999995"/>
  </r>
  <r>
    <x v="19"/>
    <x v="46"/>
    <n v="73.8"/>
    <n v="1934.18"/>
    <n v="76.459999999999994"/>
  </r>
  <r>
    <x v="20"/>
    <x v="46"/>
    <n v="73.8"/>
    <n v="1978.8"/>
    <n v="65.38"/>
  </r>
  <r>
    <x v="21"/>
    <x v="46"/>
    <n v="73.8"/>
    <n v="1944.59"/>
    <n v="53.3"/>
  </r>
  <r>
    <x v="22"/>
    <x v="46"/>
    <n v="73.8"/>
    <n v="1947.06"/>
    <n v="61.61"/>
  </r>
  <r>
    <x v="23"/>
    <x v="46"/>
    <n v="73.8"/>
    <n v="2058.39"/>
    <n v="38.82"/>
  </r>
  <r>
    <x v="24"/>
    <x v="46"/>
    <n v="73.8"/>
    <n v="1039.5899999999999"/>
    <n v="759.19"/>
  </r>
  <r>
    <x v="25"/>
    <x v="46"/>
    <n v="73.8"/>
    <n v="624"/>
    <n v="478.59"/>
  </r>
  <r>
    <x v="26"/>
    <x v="46"/>
    <n v="73.8"/>
    <n v="586.16"/>
    <n v="459.81"/>
  </r>
  <r>
    <x v="27"/>
    <x v="46"/>
    <n v="73.8"/>
    <n v="561.41"/>
    <n v="475.42"/>
  </r>
  <r>
    <x v="28"/>
    <x v="46"/>
    <n v="73.8"/>
    <n v="557.85"/>
    <n v="478.42"/>
  </r>
  <r>
    <x v="29"/>
    <x v="46"/>
    <n v="73.8"/>
    <n v="644.87"/>
    <n v="502.62"/>
  </r>
  <r>
    <x v="30"/>
    <x v="46"/>
    <n v="73.8"/>
    <n v="618.83000000000004"/>
    <n v="480.41"/>
  </r>
  <r>
    <x v="31"/>
    <x v="46"/>
    <n v="73.8"/>
    <n v="645.33000000000004"/>
    <n v="507.91"/>
  </r>
  <r>
    <x v="32"/>
    <x v="46"/>
    <n v="73.8"/>
    <n v="524.02"/>
    <n v="457.54"/>
  </r>
  <r>
    <x v="33"/>
    <x v="46"/>
    <n v="73.8"/>
    <n v="589.95000000000005"/>
    <n v="477.64"/>
  </r>
  <r>
    <x v="34"/>
    <x v="46"/>
    <n v="73.8"/>
    <n v="665.98"/>
    <n v="515.17999999999995"/>
  </r>
  <r>
    <x v="35"/>
    <x v="46"/>
    <n v="73.8"/>
    <n v="552.38"/>
    <n v="390.83"/>
  </r>
  <r>
    <x v="36"/>
    <x v="46"/>
    <n v="73.8"/>
    <n v="1174.17"/>
    <n v="679"/>
  </r>
  <r>
    <x v="37"/>
    <x v="46"/>
    <n v="73.8"/>
    <n v="622.17999999999995"/>
    <n v="423.8"/>
  </r>
  <r>
    <x v="38"/>
    <x v="46"/>
    <n v="73.8"/>
    <n v="735.76"/>
    <n v="511.61"/>
  </r>
  <r>
    <x v="39"/>
    <x v="46"/>
    <n v="73.8"/>
    <n v="554.26"/>
    <n v="0"/>
  </r>
  <r>
    <x v="40"/>
    <x v="46"/>
    <n v="73.8"/>
    <n v="662.15"/>
    <n v="0"/>
  </r>
  <r>
    <x v="41"/>
    <x v="46"/>
    <n v="73.8"/>
    <n v="698.78"/>
    <n v="474.38"/>
  </r>
  <r>
    <x v="42"/>
    <x v="46"/>
    <n v="73.8"/>
    <n v="650.42999999999995"/>
    <n v="0"/>
  </r>
  <r>
    <x v="43"/>
    <x v="46"/>
    <n v="73.8"/>
    <n v="680.42"/>
    <n v="0"/>
  </r>
  <r>
    <x v="44"/>
    <x v="46"/>
    <n v="73.8"/>
    <n v="666.11"/>
    <n v="0"/>
  </r>
  <r>
    <x v="45"/>
    <x v="46"/>
    <n v="73.8"/>
    <n v="681.93"/>
    <n v="0"/>
  </r>
  <r>
    <x v="46"/>
    <x v="46"/>
    <n v="73.8"/>
    <n v="620.59"/>
    <n v="0"/>
  </r>
  <r>
    <x v="47"/>
    <x v="46"/>
    <n v="73.8"/>
    <n v="601.87"/>
    <n v="340.44"/>
  </r>
  <r>
    <x v="48"/>
    <x v="46"/>
    <n v="73.8"/>
    <n v="1248.3900000000001"/>
    <n v="764.23"/>
  </r>
  <r>
    <x v="49"/>
    <x v="46"/>
    <n v="73.8"/>
    <n v="666.66"/>
    <n v="451.97"/>
  </r>
  <r>
    <x v="50"/>
    <x v="46"/>
    <n v="73.8"/>
    <n v="663.33"/>
    <n v="429.5"/>
  </r>
  <r>
    <x v="51"/>
    <x v="46"/>
    <n v="73.8"/>
    <n v="638.65"/>
    <n v="418.67"/>
  </r>
  <r>
    <x v="52"/>
    <x v="46"/>
    <n v="73.8"/>
    <n v="618.72"/>
    <n v="407.24"/>
  </r>
  <r>
    <x v="53"/>
    <x v="46"/>
    <n v="73.8"/>
    <n v="675.35"/>
    <n v="0"/>
  </r>
  <r>
    <x v="54"/>
    <x v="46"/>
    <n v="73.8"/>
    <n v="540.53"/>
    <n v="0"/>
  </r>
  <r>
    <x v="55"/>
    <x v="46"/>
    <n v="73.8"/>
    <n v="696.54"/>
    <n v="0"/>
  </r>
  <r>
    <x v="56"/>
    <x v="46"/>
    <n v="73.8"/>
    <n v="627.22"/>
    <n v="0"/>
  </r>
  <r>
    <x v="57"/>
    <x v="46"/>
    <n v="73.8"/>
    <n v="664.77"/>
    <n v="0"/>
  </r>
  <r>
    <x v="58"/>
    <x v="46"/>
    <n v="73.8"/>
    <n v="692.79"/>
    <n v="0"/>
  </r>
  <r>
    <x v="59"/>
    <x v="46"/>
    <n v="73.8"/>
    <n v="624.12"/>
    <n v="347.94"/>
  </r>
  <r>
    <x v="60"/>
    <x v="46"/>
    <n v="73.8"/>
    <n v="1054.57"/>
    <n v="645.46"/>
  </r>
  <r>
    <x v="61"/>
    <x v="46"/>
    <n v="73.8"/>
    <n v="671.5"/>
    <n v="478.13"/>
  </r>
  <r>
    <x v="62"/>
    <x v="46"/>
    <n v="73.8"/>
    <n v="681.68"/>
    <n v="457.72"/>
  </r>
  <r>
    <x v="63"/>
    <x v="46"/>
    <n v="73.8"/>
    <n v="631.42999999999995"/>
    <n v="418.63"/>
  </r>
  <r>
    <x v="64"/>
    <x v="46"/>
    <n v="73.8"/>
    <n v="744.04"/>
    <n v="0"/>
  </r>
  <r>
    <x v="65"/>
    <x v="46"/>
    <n v="73.8"/>
    <n v="744.35"/>
    <n v="0"/>
  </r>
  <r>
    <x v="66"/>
    <x v="46"/>
    <n v="73.8"/>
    <n v="646.78"/>
    <n v="0"/>
  </r>
  <r>
    <x v="67"/>
    <x v="46"/>
    <n v="73.8"/>
    <n v="783.52"/>
    <n v="0"/>
  </r>
  <r>
    <x v="68"/>
    <x v="46"/>
    <n v="73.8"/>
    <n v="516.78"/>
    <n v="0"/>
  </r>
  <r>
    <x v="69"/>
    <x v="46"/>
    <n v="73.8"/>
    <n v="738.1"/>
    <n v="468.29"/>
  </r>
  <r>
    <x v="70"/>
    <x v="46"/>
    <n v="73.8"/>
    <n v="826.03"/>
    <n v="508.13"/>
  </r>
  <r>
    <x v="71"/>
    <x v="46"/>
    <n v="73.8"/>
    <n v="783.58"/>
    <n v="467.78"/>
  </r>
  <r>
    <x v="72"/>
    <x v="46"/>
    <n v="73.8"/>
    <n v="0"/>
    <n v="0"/>
  </r>
  <r>
    <x v="73"/>
    <x v="46"/>
    <n v="73.8"/>
    <n v="0"/>
    <n v="0"/>
  </r>
  <r>
    <x v="74"/>
    <x v="46"/>
    <n v="73.8"/>
    <n v="0"/>
    <n v="0"/>
  </r>
  <r>
    <x v="75"/>
    <x v="46"/>
    <n v="73.8"/>
    <n v="0"/>
    <n v="0"/>
  </r>
  <r>
    <x v="76"/>
    <x v="46"/>
    <n v="73.8"/>
    <n v="0"/>
    <n v="0"/>
  </r>
  <r>
    <x v="77"/>
    <x v="46"/>
    <n v="73.8"/>
    <n v="0"/>
    <n v="0"/>
  </r>
  <r>
    <x v="78"/>
    <x v="46"/>
    <n v="73.8"/>
    <n v="0"/>
    <n v="0"/>
  </r>
  <r>
    <x v="79"/>
    <x v="46"/>
    <n v="73.8"/>
    <n v="0"/>
    <n v="0"/>
  </r>
  <r>
    <x v="80"/>
    <x v="46"/>
    <n v="73.8"/>
    <n v="0"/>
    <n v="0"/>
  </r>
  <r>
    <x v="81"/>
    <x v="46"/>
    <n v="73.8"/>
    <n v="0"/>
    <n v="0"/>
  </r>
  <r>
    <x v="82"/>
    <x v="46"/>
    <n v="73.8"/>
    <n v="0"/>
    <n v="0"/>
  </r>
  <r>
    <x v="83"/>
    <x v="46"/>
    <n v="73.8"/>
    <n v="0"/>
    <n v="0"/>
  </r>
  <r>
    <x v="84"/>
    <x v="46"/>
    <n v="73.8"/>
    <n v="0"/>
    <n v="0"/>
  </r>
  <r>
    <x v="85"/>
    <x v="46"/>
    <n v="73.8"/>
    <n v="0"/>
    <n v="0"/>
  </r>
  <r>
    <x v="86"/>
    <x v="46"/>
    <n v="73.8"/>
    <n v="0"/>
    <n v="0"/>
  </r>
  <r>
    <x v="87"/>
    <x v="46"/>
    <n v="73.8"/>
    <n v="0"/>
    <n v="0"/>
  </r>
  <r>
    <x v="88"/>
    <x v="46"/>
    <n v="73.8"/>
    <n v="0"/>
    <n v="0"/>
  </r>
  <r>
    <x v="89"/>
    <x v="46"/>
    <n v="73.8"/>
    <n v="0"/>
    <n v="0"/>
  </r>
  <r>
    <x v="90"/>
    <x v="46"/>
    <n v="73.8"/>
    <n v="0"/>
    <n v="0"/>
  </r>
  <r>
    <x v="91"/>
    <x v="46"/>
    <n v="73.8"/>
    <n v="0"/>
    <n v="0"/>
  </r>
  <r>
    <x v="92"/>
    <x v="46"/>
    <n v="73.8"/>
    <n v="0"/>
    <n v="0"/>
  </r>
  <r>
    <x v="93"/>
    <x v="46"/>
    <n v="73.8"/>
    <n v="0"/>
    <n v="0"/>
  </r>
  <r>
    <x v="94"/>
    <x v="46"/>
    <n v="73.8"/>
    <n v="0"/>
    <n v="0"/>
  </r>
  <r>
    <x v="95"/>
    <x v="46"/>
    <n v="73.8"/>
    <n v="0"/>
    <n v="0"/>
  </r>
  <r>
    <x v="0"/>
    <x v="47"/>
    <n v="74.099999999999994"/>
    <n v="829.46"/>
    <n v="1153.03"/>
  </r>
  <r>
    <x v="1"/>
    <x v="47"/>
    <n v="74.099999999999994"/>
    <n v="558.59"/>
    <n v="724.02"/>
  </r>
  <r>
    <x v="2"/>
    <x v="47"/>
    <n v="74.099999999999994"/>
    <n v="550.59"/>
    <n v="693.68"/>
  </r>
  <r>
    <x v="3"/>
    <x v="47"/>
    <n v="74.099999999999994"/>
    <n v="532"/>
    <n v="697.46"/>
  </r>
  <r>
    <x v="4"/>
    <x v="47"/>
    <n v="74.099999999999994"/>
    <n v="530.24"/>
    <n v="712.4"/>
  </r>
  <r>
    <x v="5"/>
    <x v="47"/>
    <n v="74.099999999999994"/>
    <n v="551.65"/>
    <n v="733.2"/>
  </r>
  <r>
    <x v="6"/>
    <x v="47"/>
    <n v="74.099999999999994"/>
    <n v="511.94"/>
    <n v="694.59"/>
  </r>
  <r>
    <x v="7"/>
    <x v="47"/>
    <n v="74.099999999999994"/>
    <n v="564.44000000000005"/>
    <n v="808.44"/>
  </r>
  <r>
    <x v="8"/>
    <x v="47"/>
    <n v="74.099999999999994"/>
    <n v="525.53"/>
    <n v="793.11"/>
  </r>
  <r>
    <x v="9"/>
    <x v="47"/>
    <n v="74.099999999999994"/>
    <n v="509.46"/>
    <n v="777.57"/>
  </r>
  <r>
    <x v="10"/>
    <x v="47"/>
    <n v="74.099999999999994"/>
    <n v="529.76"/>
    <n v="782.73"/>
  </r>
  <r>
    <x v="11"/>
    <x v="47"/>
    <n v="74.099999999999994"/>
    <n v="561.86"/>
    <n v="-1224.6600000000001"/>
  </r>
  <r>
    <x v="12"/>
    <x v="47"/>
    <n v="74.099999999999994"/>
    <n v="2878.64"/>
    <n v="126.79"/>
  </r>
  <r>
    <x v="13"/>
    <x v="47"/>
    <n v="74.099999999999994"/>
    <n v="1817.48"/>
    <n v="82.27"/>
  </r>
  <r>
    <x v="14"/>
    <x v="47"/>
    <n v="74.099999999999994"/>
    <n v="1956.17"/>
    <n v="106.96"/>
  </r>
  <r>
    <x v="15"/>
    <x v="47"/>
    <n v="74.099999999999994"/>
    <n v="2013.42"/>
    <n v="80.42"/>
  </r>
  <r>
    <x v="16"/>
    <x v="47"/>
    <n v="74.099999999999994"/>
    <n v="1951.83"/>
    <n v="70.84"/>
  </r>
  <r>
    <x v="17"/>
    <x v="47"/>
    <n v="74.099999999999994"/>
    <n v="1974.14"/>
    <n v="71.67"/>
  </r>
  <r>
    <x v="18"/>
    <x v="47"/>
    <n v="74.099999999999994"/>
    <n v="1825.86"/>
    <n v="72.22"/>
  </r>
  <r>
    <x v="19"/>
    <x v="47"/>
    <n v="74.099999999999994"/>
    <n v="1964.27"/>
    <n v="77.39"/>
  </r>
  <r>
    <x v="20"/>
    <x v="47"/>
    <n v="74.099999999999994"/>
    <n v="2032.94"/>
    <n v="67.19"/>
  </r>
  <r>
    <x v="21"/>
    <x v="47"/>
    <n v="74.099999999999994"/>
    <n v="2006.69"/>
    <n v="54.13"/>
  </r>
  <r>
    <x v="22"/>
    <x v="47"/>
    <n v="74.099999999999994"/>
    <n v="1999.63"/>
    <n v="62.96"/>
  </r>
  <r>
    <x v="23"/>
    <x v="47"/>
    <n v="74.099999999999994"/>
    <n v="2133.84"/>
    <n v="41.83"/>
  </r>
  <r>
    <x v="24"/>
    <x v="47"/>
    <n v="74.099999999999994"/>
    <n v="1051.1099999999999"/>
    <n v="757.3"/>
  </r>
  <r>
    <x v="25"/>
    <x v="47"/>
    <n v="74.099999999999994"/>
    <n v="633.33000000000004"/>
    <n v="474.41"/>
  </r>
  <r>
    <x v="26"/>
    <x v="47"/>
    <n v="74.099999999999994"/>
    <n v="597.03"/>
    <n v="458.22"/>
  </r>
  <r>
    <x v="27"/>
    <x v="47"/>
    <n v="74.099999999999994"/>
    <n v="579.04"/>
    <n v="464.66"/>
  </r>
  <r>
    <x v="28"/>
    <x v="47"/>
    <n v="74.099999999999994"/>
    <n v="567.17999999999995"/>
    <n v="474.43"/>
  </r>
  <r>
    <x v="29"/>
    <x v="47"/>
    <n v="74.099999999999994"/>
    <n v="654.59"/>
    <n v="496.96"/>
  </r>
  <r>
    <x v="30"/>
    <x v="47"/>
    <n v="74.099999999999994"/>
    <n v="628.64"/>
    <n v="477.98"/>
  </r>
  <r>
    <x v="31"/>
    <x v="47"/>
    <n v="74.099999999999994"/>
    <n v="654.19000000000005"/>
    <n v="503.09"/>
  </r>
  <r>
    <x v="32"/>
    <x v="47"/>
    <n v="74.099999999999994"/>
    <n v="531.55999999999995"/>
    <n v="456.82"/>
  </r>
  <r>
    <x v="33"/>
    <x v="47"/>
    <n v="74.099999999999994"/>
    <n v="599.16"/>
    <n v="477.3"/>
  </r>
  <r>
    <x v="34"/>
    <x v="47"/>
    <n v="74.099999999999994"/>
    <n v="675.86"/>
    <n v="511.48"/>
  </r>
  <r>
    <x v="35"/>
    <x v="47"/>
    <n v="74.099999999999994"/>
    <n v="564.02"/>
    <n v="393.05"/>
  </r>
  <r>
    <x v="36"/>
    <x v="47"/>
    <n v="74.099999999999994"/>
    <n v="1178.94"/>
    <n v="673.79"/>
  </r>
  <r>
    <x v="37"/>
    <x v="47"/>
    <n v="74.099999999999994"/>
    <n v="627.16"/>
    <n v="413.58"/>
  </r>
  <r>
    <x v="38"/>
    <x v="47"/>
    <n v="74.099999999999994"/>
    <n v="743.67"/>
    <n v="503.18"/>
  </r>
  <r>
    <x v="39"/>
    <x v="47"/>
    <n v="74.099999999999994"/>
    <n v="558.16"/>
    <n v="0"/>
  </r>
  <r>
    <x v="40"/>
    <x v="47"/>
    <n v="74.099999999999994"/>
    <n v="664.87"/>
    <n v="0"/>
  </r>
  <r>
    <x v="41"/>
    <x v="47"/>
    <n v="74.099999999999994"/>
    <n v="707.48"/>
    <n v="458.38"/>
  </r>
  <r>
    <x v="42"/>
    <x v="47"/>
    <n v="74.099999999999994"/>
    <n v="657.78"/>
    <n v="0"/>
  </r>
  <r>
    <x v="43"/>
    <x v="47"/>
    <n v="74.099999999999994"/>
    <n v="683.6"/>
    <n v="0"/>
  </r>
  <r>
    <x v="44"/>
    <x v="47"/>
    <n v="74.099999999999994"/>
    <n v="668.65"/>
    <n v="0"/>
  </r>
  <r>
    <x v="45"/>
    <x v="47"/>
    <n v="74.099999999999994"/>
    <n v="685.34"/>
    <n v="0"/>
  </r>
  <r>
    <x v="46"/>
    <x v="47"/>
    <n v="74.099999999999994"/>
    <n v="624.39"/>
    <n v="0"/>
  </r>
  <r>
    <x v="47"/>
    <x v="47"/>
    <n v="74.099999999999994"/>
    <n v="608.02"/>
    <n v="329.37"/>
  </r>
  <r>
    <x v="48"/>
    <x v="47"/>
    <n v="74.099999999999994"/>
    <n v="1253.49"/>
    <n v="763.21"/>
  </r>
  <r>
    <x v="49"/>
    <x v="47"/>
    <n v="74.099999999999994"/>
    <n v="671.61"/>
    <n v="443.45"/>
  </r>
  <r>
    <x v="50"/>
    <x v="47"/>
    <n v="74.099999999999994"/>
    <n v="673.57"/>
    <n v="423.05"/>
  </r>
  <r>
    <x v="51"/>
    <x v="47"/>
    <n v="74.099999999999994"/>
    <n v="648.76"/>
    <n v="409.88"/>
  </r>
  <r>
    <x v="52"/>
    <x v="47"/>
    <n v="74.099999999999994"/>
    <n v="627.04"/>
    <n v="398.53"/>
  </r>
  <r>
    <x v="53"/>
    <x v="47"/>
    <n v="74.099999999999994"/>
    <n v="681.23"/>
    <n v="0"/>
  </r>
  <r>
    <x v="54"/>
    <x v="47"/>
    <n v="74.099999999999994"/>
    <n v="544.79999999999995"/>
    <n v="0"/>
  </r>
  <r>
    <x v="55"/>
    <x v="47"/>
    <n v="74.099999999999994"/>
    <n v="702.49"/>
    <n v="0"/>
  </r>
  <r>
    <x v="56"/>
    <x v="47"/>
    <n v="74.099999999999994"/>
    <n v="631.95000000000005"/>
    <n v="0"/>
  </r>
  <r>
    <x v="57"/>
    <x v="47"/>
    <n v="74.099999999999994"/>
    <n v="671.18"/>
    <n v="0"/>
  </r>
  <r>
    <x v="58"/>
    <x v="47"/>
    <n v="74.099999999999994"/>
    <n v="696.83"/>
    <n v="0"/>
  </r>
  <r>
    <x v="59"/>
    <x v="47"/>
    <n v="74.099999999999994"/>
    <n v="632.86"/>
    <n v="348.9"/>
  </r>
  <r>
    <x v="60"/>
    <x v="47"/>
    <n v="74.099999999999994"/>
    <n v="1059.5899999999999"/>
    <n v="644.94000000000005"/>
  </r>
  <r>
    <x v="61"/>
    <x v="47"/>
    <n v="74.099999999999994"/>
    <n v="675.74"/>
    <n v="468.8"/>
  </r>
  <r>
    <x v="62"/>
    <x v="47"/>
    <n v="74.099999999999994"/>
    <n v="692.8"/>
    <n v="442.52"/>
  </r>
  <r>
    <x v="63"/>
    <x v="47"/>
    <n v="74.099999999999994"/>
    <n v="638.78"/>
    <n v="411.57"/>
  </r>
  <r>
    <x v="64"/>
    <x v="47"/>
    <n v="74.099999999999994"/>
    <n v="750.91"/>
    <n v="0"/>
  </r>
  <r>
    <x v="65"/>
    <x v="47"/>
    <n v="74.099999999999994"/>
    <n v="751.52"/>
    <n v="0"/>
  </r>
  <r>
    <x v="66"/>
    <x v="47"/>
    <n v="74.099999999999994"/>
    <n v="650.08000000000004"/>
    <n v="0"/>
  </r>
  <r>
    <x v="67"/>
    <x v="47"/>
    <n v="74.099999999999994"/>
    <n v="791.18"/>
    <n v="0"/>
  </r>
  <r>
    <x v="68"/>
    <x v="47"/>
    <n v="74.099999999999994"/>
    <n v="518.27"/>
    <n v="0"/>
  </r>
  <r>
    <x v="69"/>
    <x v="47"/>
    <n v="74.099999999999994"/>
    <n v="741.57"/>
    <n v="454.93"/>
  </r>
  <r>
    <x v="70"/>
    <x v="47"/>
    <n v="74.099999999999994"/>
    <n v="829.8"/>
    <n v="500.73"/>
  </r>
  <r>
    <x v="71"/>
    <x v="47"/>
    <n v="74.099999999999994"/>
    <n v="788.22"/>
    <n v="456.89"/>
  </r>
  <r>
    <x v="72"/>
    <x v="47"/>
    <n v="74.099999999999994"/>
    <n v="0"/>
    <n v="0"/>
  </r>
  <r>
    <x v="73"/>
    <x v="47"/>
    <n v="74.099999999999994"/>
    <n v="0"/>
    <n v="0"/>
  </r>
  <r>
    <x v="74"/>
    <x v="47"/>
    <n v="74.099999999999994"/>
    <n v="0"/>
    <n v="0"/>
  </r>
  <r>
    <x v="75"/>
    <x v="47"/>
    <n v="74.099999999999994"/>
    <n v="0"/>
    <n v="0"/>
  </r>
  <r>
    <x v="76"/>
    <x v="47"/>
    <n v="74.099999999999994"/>
    <n v="0"/>
    <n v="0"/>
  </r>
  <r>
    <x v="77"/>
    <x v="47"/>
    <n v="74.099999999999994"/>
    <n v="0"/>
    <n v="0"/>
  </r>
  <r>
    <x v="78"/>
    <x v="47"/>
    <n v="74.099999999999994"/>
    <n v="0"/>
    <n v="0"/>
  </r>
  <r>
    <x v="79"/>
    <x v="47"/>
    <n v="74.099999999999994"/>
    <n v="0"/>
    <n v="0"/>
  </r>
  <r>
    <x v="80"/>
    <x v="47"/>
    <n v="74.099999999999994"/>
    <n v="0"/>
    <n v="0"/>
  </r>
  <r>
    <x v="81"/>
    <x v="47"/>
    <n v="74.099999999999994"/>
    <n v="0"/>
    <n v="0"/>
  </r>
  <r>
    <x v="82"/>
    <x v="47"/>
    <n v="74.099999999999994"/>
    <n v="0"/>
    <n v="0"/>
  </r>
  <r>
    <x v="83"/>
    <x v="47"/>
    <n v="74.099999999999994"/>
    <n v="0"/>
    <n v="0"/>
  </r>
  <r>
    <x v="84"/>
    <x v="47"/>
    <n v="74.099999999999994"/>
    <n v="0"/>
    <n v="0"/>
  </r>
  <r>
    <x v="85"/>
    <x v="47"/>
    <n v="74.099999999999994"/>
    <n v="0"/>
    <n v="0"/>
  </r>
  <r>
    <x v="86"/>
    <x v="47"/>
    <n v="74.099999999999994"/>
    <n v="0"/>
    <n v="0"/>
  </r>
  <r>
    <x v="87"/>
    <x v="47"/>
    <n v="74.099999999999994"/>
    <n v="0"/>
    <n v="0"/>
  </r>
  <r>
    <x v="88"/>
    <x v="47"/>
    <n v="74.099999999999994"/>
    <n v="0"/>
    <n v="0"/>
  </r>
  <r>
    <x v="89"/>
    <x v="47"/>
    <n v="74.099999999999994"/>
    <n v="0"/>
    <n v="0"/>
  </r>
  <r>
    <x v="90"/>
    <x v="47"/>
    <n v="74.099999999999994"/>
    <n v="0"/>
    <n v="0"/>
  </r>
  <r>
    <x v="91"/>
    <x v="47"/>
    <n v="74.099999999999994"/>
    <n v="0"/>
    <n v="0"/>
  </r>
  <r>
    <x v="92"/>
    <x v="47"/>
    <n v="74.099999999999994"/>
    <n v="0"/>
    <n v="0"/>
  </r>
  <r>
    <x v="93"/>
    <x v="47"/>
    <n v="74.099999999999994"/>
    <n v="0"/>
    <n v="0"/>
  </r>
  <r>
    <x v="94"/>
    <x v="47"/>
    <n v="74.099999999999994"/>
    <n v="0"/>
    <n v="0"/>
  </r>
  <r>
    <x v="95"/>
    <x v="47"/>
    <n v="74.099999999999994"/>
    <n v="0"/>
    <n v="0"/>
  </r>
  <r>
    <x v="0"/>
    <x v="48"/>
    <n v="74.400000000000006"/>
    <n v="833.68"/>
    <n v="1147.32"/>
  </r>
  <r>
    <x v="1"/>
    <x v="48"/>
    <n v="74.400000000000006"/>
    <n v="566.03"/>
    <n v="723.66"/>
  </r>
  <r>
    <x v="2"/>
    <x v="48"/>
    <n v="74.400000000000006"/>
    <n v="558.14"/>
    <n v="698.68"/>
  </r>
  <r>
    <x v="3"/>
    <x v="48"/>
    <n v="74.400000000000006"/>
    <n v="539.96"/>
    <n v="701.35"/>
  </r>
  <r>
    <x v="4"/>
    <x v="48"/>
    <n v="74.400000000000006"/>
    <n v="537.95000000000005"/>
    <n v="720.68"/>
  </r>
  <r>
    <x v="5"/>
    <x v="48"/>
    <n v="74.400000000000006"/>
    <n v="560.62"/>
    <n v="743.6"/>
  </r>
  <r>
    <x v="6"/>
    <x v="48"/>
    <n v="74.400000000000006"/>
    <n v="521.5"/>
    <n v="704.4"/>
  </r>
  <r>
    <x v="7"/>
    <x v="48"/>
    <n v="74.400000000000006"/>
    <n v="571.48"/>
    <n v="807.86"/>
  </r>
  <r>
    <x v="8"/>
    <x v="48"/>
    <n v="74.400000000000006"/>
    <n v="535.59"/>
    <n v="810.66"/>
  </r>
  <r>
    <x v="9"/>
    <x v="48"/>
    <n v="74.400000000000006"/>
    <n v="518.58000000000004"/>
    <n v="796.41"/>
  </r>
  <r>
    <x v="10"/>
    <x v="48"/>
    <n v="74.400000000000006"/>
    <n v="540.11"/>
    <n v="791.66"/>
  </r>
  <r>
    <x v="11"/>
    <x v="48"/>
    <n v="74.400000000000006"/>
    <n v="550.52"/>
    <n v="-1278.9000000000001"/>
  </r>
  <r>
    <x v="12"/>
    <x v="48"/>
    <n v="74.400000000000006"/>
    <n v="2909.66"/>
    <n v="129.28"/>
  </r>
  <r>
    <x v="13"/>
    <x v="48"/>
    <n v="74.400000000000006"/>
    <n v="1770.21"/>
    <n v="82.44"/>
  </r>
  <r>
    <x v="14"/>
    <x v="48"/>
    <n v="74.400000000000006"/>
    <n v="1905.79"/>
    <n v="109.45"/>
  </r>
  <r>
    <x v="15"/>
    <x v="48"/>
    <n v="74.400000000000006"/>
    <n v="1966.81"/>
    <n v="78.19"/>
  </r>
  <r>
    <x v="16"/>
    <x v="48"/>
    <n v="74.400000000000006"/>
    <n v="1917.7"/>
    <n v="69.87"/>
  </r>
  <r>
    <x v="17"/>
    <x v="48"/>
    <n v="74.400000000000006"/>
    <n v="1944.55"/>
    <n v="71.88"/>
  </r>
  <r>
    <x v="18"/>
    <x v="48"/>
    <n v="74.400000000000006"/>
    <n v="1803.4"/>
    <n v="74.260000000000005"/>
  </r>
  <r>
    <x v="19"/>
    <x v="48"/>
    <n v="74.400000000000006"/>
    <n v="1935.11"/>
    <n v="77.36"/>
  </r>
  <r>
    <x v="20"/>
    <x v="48"/>
    <n v="74.400000000000006"/>
    <n v="2029.91"/>
    <n v="68.760000000000005"/>
  </r>
  <r>
    <x v="21"/>
    <x v="48"/>
    <n v="74.400000000000006"/>
    <n v="2010.55"/>
    <n v="54.71"/>
  </r>
  <r>
    <x v="22"/>
    <x v="48"/>
    <n v="74.400000000000006"/>
    <n v="1992.29"/>
    <n v="63.33"/>
  </r>
  <r>
    <x v="23"/>
    <x v="48"/>
    <n v="74.400000000000006"/>
    <n v="2146.7199999999998"/>
    <n v="44.73"/>
  </r>
  <r>
    <x v="24"/>
    <x v="48"/>
    <n v="74.400000000000006"/>
    <n v="1063.8900000000001"/>
    <n v="739.8"/>
  </r>
  <r>
    <x v="25"/>
    <x v="48"/>
    <n v="74.400000000000006"/>
    <n v="642.85"/>
    <n v="459.66"/>
  </r>
  <r>
    <x v="26"/>
    <x v="48"/>
    <n v="74.400000000000006"/>
    <n v="608.42999999999995"/>
    <n v="445.32"/>
  </r>
  <r>
    <x v="27"/>
    <x v="48"/>
    <n v="74.400000000000006"/>
    <n v="597.26"/>
    <n v="442.37"/>
  </r>
  <r>
    <x v="28"/>
    <x v="48"/>
    <n v="74.400000000000006"/>
    <n v="577"/>
    <n v="459.35"/>
  </r>
  <r>
    <x v="29"/>
    <x v="48"/>
    <n v="74.400000000000006"/>
    <n v="665.08"/>
    <n v="480.21"/>
  </r>
  <r>
    <x v="30"/>
    <x v="48"/>
    <n v="74.400000000000006"/>
    <n v="638.98"/>
    <n v="463.62"/>
  </r>
  <r>
    <x v="31"/>
    <x v="48"/>
    <n v="74.400000000000006"/>
    <n v="663.65"/>
    <n v="485.71"/>
  </r>
  <r>
    <x v="32"/>
    <x v="48"/>
    <n v="74.400000000000006"/>
    <n v="539.57000000000005"/>
    <n v="445.32"/>
  </r>
  <r>
    <x v="33"/>
    <x v="48"/>
    <n v="74.400000000000006"/>
    <n v="609"/>
    <n v="465.68"/>
  </r>
  <r>
    <x v="34"/>
    <x v="48"/>
    <n v="74.400000000000006"/>
    <n v="686.36"/>
    <n v="494.93"/>
  </r>
  <r>
    <x v="35"/>
    <x v="48"/>
    <n v="74.400000000000006"/>
    <n v="576.61"/>
    <n v="391.89"/>
  </r>
  <r>
    <x v="36"/>
    <x v="48"/>
    <n v="74.400000000000006"/>
    <n v="1184.06"/>
    <n v="661.83"/>
  </r>
  <r>
    <x v="37"/>
    <x v="48"/>
    <n v="74.400000000000006"/>
    <n v="631.41"/>
    <n v="398.03"/>
  </r>
  <r>
    <x v="38"/>
    <x v="48"/>
    <n v="74.400000000000006"/>
    <n v="750.72"/>
    <n v="484.77"/>
  </r>
  <r>
    <x v="39"/>
    <x v="48"/>
    <n v="74.400000000000006"/>
    <n v="561.52"/>
    <n v="0"/>
  </r>
  <r>
    <x v="40"/>
    <x v="48"/>
    <n v="74.400000000000006"/>
    <n v="667.18"/>
    <n v="0"/>
  </r>
  <r>
    <x v="41"/>
    <x v="48"/>
    <n v="74.400000000000006"/>
    <n v="715.58"/>
    <n v="433.39"/>
  </r>
  <r>
    <x v="42"/>
    <x v="48"/>
    <n v="74.400000000000006"/>
    <n v="665.04"/>
    <n v="0"/>
  </r>
  <r>
    <x v="43"/>
    <x v="48"/>
    <n v="74.400000000000006"/>
    <n v="686.59"/>
    <n v="0"/>
  </r>
  <r>
    <x v="44"/>
    <x v="48"/>
    <n v="74.400000000000006"/>
    <n v="670.99"/>
    <n v="0"/>
  </r>
  <r>
    <x v="45"/>
    <x v="48"/>
    <n v="74.400000000000006"/>
    <n v="688.41"/>
    <n v="0"/>
  </r>
  <r>
    <x v="46"/>
    <x v="48"/>
    <n v="74.400000000000006"/>
    <n v="627.64"/>
    <n v="0"/>
  </r>
  <r>
    <x v="47"/>
    <x v="48"/>
    <n v="74.400000000000006"/>
    <n v="613.95000000000005"/>
    <n v="317.51"/>
  </r>
  <r>
    <x v="48"/>
    <x v="48"/>
    <n v="74.400000000000006"/>
    <n v="1258.9100000000001"/>
    <n v="750.1"/>
  </r>
  <r>
    <x v="49"/>
    <x v="48"/>
    <n v="74.400000000000006"/>
    <n v="675.44"/>
    <n v="429.81"/>
  </r>
  <r>
    <x v="50"/>
    <x v="48"/>
    <n v="74.400000000000006"/>
    <n v="682.9"/>
    <n v="413.44"/>
  </r>
  <r>
    <x v="51"/>
    <x v="48"/>
    <n v="74.400000000000006"/>
    <n v="658.18"/>
    <n v="398.29"/>
  </r>
  <r>
    <x v="52"/>
    <x v="48"/>
    <n v="74.400000000000006"/>
    <n v="634.94000000000005"/>
    <n v="387.33"/>
  </r>
  <r>
    <x v="53"/>
    <x v="48"/>
    <n v="74.400000000000006"/>
    <n v="686.65"/>
    <n v="0"/>
  </r>
  <r>
    <x v="54"/>
    <x v="48"/>
    <n v="74.400000000000006"/>
    <n v="548.51"/>
    <n v="0"/>
  </r>
  <r>
    <x v="55"/>
    <x v="48"/>
    <n v="74.400000000000006"/>
    <n v="708.18"/>
    <n v="0"/>
  </r>
  <r>
    <x v="56"/>
    <x v="48"/>
    <n v="74.400000000000006"/>
    <n v="636.54"/>
    <n v="0"/>
  </r>
  <r>
    <x v="57"/>
    <x v="48"/>
    <n v="74.400000000000006"/>
    <n v="677.92"/>
    <n v="0"/>
  </r>
  <r>
    <x v="58"/>
    <x v="48"/>
    <n v="74.400000000000006"/>
    <n v="700.26"/>
    <n v="0"/>
  </r>
  <r>
    <x v="59"/>
    <x v="48"/>
    <n v="74.400000000000006"/>
    <n v="641.74"/>
    <n v="349.78"/>
  </r>
  <r>
    <x v="60"/>
    <x v="48"/>
    <n v="74.400000000000006"/>
    <n v="1064.79"/>
    <n v="635.83000000000004"/>
  </r>
  <r>
    <x v="61"/>
    <x v="48"/>
    <n v="74.400000000000006"/>
    <n v="678.9"/>
    <n v="453.96"/>
  </r>
  <r>
    <x v="62"/>
    <x v="48"/>
    <n v="74.400000000000006"/>
    <n v="703.42"/>
    <n v="422.69"/>
  </r>
  <r>
    <x v="63"/>
    <x v="48"/>
    <n v="74.400000000000006"/>
    <n v="645.26"/>
    <n v="401.22"/>
  </r>
  <r>
    <x v="64"/>
    <x v="48"/>
    <n v="74.400000000000006"/>
    <n v="757.11"/>
    <n v="0"/>
  </r>
  <r>
    <x v="65"/>
    <x v="48"/>
    <n v="74.400000000000006"/>
    <n v="758.05"/>
    <n v="0"/>
  </r>
  <r>
    <x v="66"/>
    <x v="48"/>
    <n v="74.400000000000006"/>
    <n v="652.61"/>
    <n v="0"/>
  </r>
  <r>
    <x v="67"/>
    <x v="48"/>
    <n v="74.400000000000006"/>
    <n v="798.38"/>
    <n v="0"/>
  </r>
  <r>
    <x v="68"/>
    <x v="48"/>
    <n v="74.400000000000006"/>
    <n v="520.12"/>
    <n v="0"/>
  </r>
  <r>
    <x v="69"/>
    <x v="48"/>
    <n v="74.400000000000006"/>
    <n v="744.47"/>
    <n v="434.72"/>
  </r>
  <r>
    <x v="70"/>
    <x v="48"/>
    <n v="74.400000000000006"/>
    <n v="832.58"/>
    <n v="489.69"/>
  </r>
  <r>
    <x v="71"/>
    <x v="48"/>
    <n v="74.400000000000006"/>
    <n v="791.91"/>
    <n v="444.37"/>
  </r>
  <r>
    <x v="72"/>
    <x v="48"/>
    <n v="74.400000000000006"/>
    <n v="0"/>
    <n v="0"/>
  </r>
  <r>
    <x v="73"/>
    <x v="48"/>
    <n v="74.400000000000006"/>
    <n v="0"/>
    <n v="0"/>
  </r>
  <r>
    <x v="74"/>
    <x v="48"/>
    <n v="74.400000000000006"/>
    <n v="0"/>
    <n v="0"/>
  </r>
  <r>
    <x v="75"/>
    <x v="48"/>
    <n v="74.400000000000006"/>
    <n v="0"/>
    <n v="0"/>
  </r>
  <r>
    <x v="76"/>
    <x v="48"/>
    <n v="74.400000000000006"/>
    <n v="0"/>
    <n v="0"/>
  </r>
  <r>
    <x v="77"/>
    <x v="48"/>
    <n v="74.400000000000006"/>
    <n v="0"/>
    <n v="0"/>
  </r>
  <r>
    <x v="78"/>
    <x v="48"/>
    <n v="74.400000000000006"/>
    <n v="0"/>
    <n v="0"/>
  </r>
  <r>
    <x v="79"/>
    <x v="48"/>
    <n v="74.400000000000006"/>
    <n v="0"/>
    <n v="0"/>
  </r>
  <r>
    <x v="80"/>
    <x v="48"/>
    <n v="74.400000000000006"/>
    <n v="0"/>
    <n v="0"/>
  </r>
  <r>
    <x v="81"/>
    <x v="48"/>
    <n v="74.400000000000006"/>
    <n v="0"/>
    <n v="0"/>
  </r>
  <r>
    <x v="82"/>
    <x v="48"/>
    <n v="74.400000000000006"/>
    <n v="0"/>
    <n v="0"/>
  </r>
  <r>
    <x v="83"/>
    <x v="48"/>
    <n v="74.400000000000006"/>
    <n v="0"/>
    <n v="0"/>
  </r>
  <r>
    <x v="84"/>
    <x v="48"/>
    <n v="74.400000000000006"/>
    <n v="0"/>
    <n v="0"/>
  </r>
  <r>
    <x v="85"/>
    <x v="48"/>
    <n v="74.400000000000006"/>
    <n v="0"/>
    <n v="0"/>
  </r>
  <r>
    <x v="86"/>
    <x v="48"/>
    <n v="74.400000000000006"/>
    <n v="0"/>
    <n v="0"/>
  </r>
  <r>
    <x v="87"/>
    <x v="48"/>
    <n v="74.400000000000006"/>
    <n v="0"/>
    <n v="0"/>
  </r>
  <r>
    <x v="88"/>
    <x v="48"/>
    <n v="74.400000000000006"/>
    <n v="0"/>
    <n v="0"/>
  </r>
  <r>
    <x v="89"/>
    <x v="48"/>
    <n v="74.400000000000006"/>
    <n v="0"/>
    <n v="0"/>
  </r>
  <r>
    <x v="90"/>
    <x v="48"/>
    <n v="74.400000000000006"/>
    <n v="0"/>
    <n v="0"/>
  </r>
  <r>
    <x v="91"/>
    <x v="48"/>
    <n v="74.400000000000006"/>
    <n v="0"/>
    <n v="0"/>
  </r>
  <r>
    <x v="92"/>
    <x v="48"/>
    <n v="74.400000000000006"/>
    <n v="0"/>
    <n v="0"/>
  </r>
  <r>
    <x v="93"/>
    <x v="48"/>
    <n v="74.400000000000006"/>
    <n v="0"/>
    <n v="0"/>
  </r>
  <r>
    <x v="94"/>
    <x v="48"/>
    <n v="74.400000000000006"/>
    <n v="0"/>
    <n v="0"/>
  </r>
  <r>
    <x v="95"/>
    <x v="48"/>
    <n v="74.400000000000006"/>
    <n v="0"/>
    <n v="0"/>
  </r>
  <r>
    <x v="0"/>
    <x v="49"/>
    <n v="74.7"/>
    <n v="838.46"/>
    <n v="1109.02"/>
  </r>
  <r>
    <x v="1"/>
    <x v="49"/>
    <n v="74.7"/>
    <n v="573.99"/>
    <n v="702.57"/>
  </r>
  <r>
    <x v="2"/>
    <x v="49"/>
    <n v="74.7"/>
    <n v="566.38"/>
    <n v="680.92"/>
  </r>
  <r>
    <x v="3"/>
    <x v="49"/>
    <n v="74.7"/>
    <n v="548.74"/>
    <n v="684.09"/>
  </r>
  <r>
    <x v="4"/>
    <x v="49"/>
    <n v="74.7"/>
    <n v="546.30999999999995"/>
    <n v="706.02"/>
  </r>
  <r>
    <x v="5"/>
    <x v="49"/>
    <n v="74.7"/>
    <n v="570.39"/>
    <n v="729.25"/>
  </r>
  <r>
    <x v="6"/>
    <x v="49"/>
    <n v="74.7"/>
    <n v="531.67999999999995"/>
    <n v="687.84"/>
  </r>
  <r>
    <x v="7"/>
    <x v="49"/>
    <n v="74.7"/>
    <n v="579.1"/>
    <n v="781.2"/>
  </r>
  <r>
    <x v="8"/>
    <x v="49"/>
    <n v="74.7"/>
    <n v="546.55999999999995"/>
    <n v="798.19"/>
  </r>
  <r>
    <x v="9"/>
    <x v="49"/>
    <n v="74.7"/>
    <n v="528.54999999999995"/>
    <n v="786.7"/>
  </r>
  <r>
    <x v="10"/>
    <x v="49"/>
    <n v="74.7"/>
    <n v="551.19000000000005"/>
    <n v="775.61"/>
  </r>
  <r>
    <x v="11"/>
    <x v="49"/>
    <n v="74.7"/>
    <n v="539.02"/>
    <n v="-1332.76"/>
  </r>
  <r>
    <x v="12"/>
    <x v="49"/>
    <n v="74.7"/>
    <n v="2843.05"/>
    <n v="128.35"/>
  </r>
  <r>
    <x v="13"/>
    <x v="49"/>
    <n v="74.7"/>
    <n v="1668.15"/>
    <n v="81.96"/>
  </r>
  <r>
    <x v="14"/>
    <x v="49"/>
    <n v="74.7"/>
    <n v="1795.85"/>
    <n v="108.59"/>
  </r>
  <r>
    <x v="15"/>
    <x v="49"/>
    <n v="74.7"/>
    <n v="1858.85"/>
    <n v="74.010000000000005"/>
  </r>
  <r>
    <x v="16"/>
    <x v="49"/>
    <n v="74.7"/>
    <n v="1825.74"/>
    <n v="68.3"/>
  </r>
  <r>
    <x v="17"/>
    <x v="49"/>
    <n v="74.7"/>
    <n v="1854.59"/>
    <n v="70.430000000000007"/>
  </r>
  <r>
    <x v="18"/>
    <x v="49"/>
    <n v="74.7"/>
    <n v="1723.15"/>
    <n v="73.47"/>
  </r>
  <r>
    <x v="19"/>
    <x v="49"/>
    <n v="74.7"/>
    <n v="1844.79"/>
    <n v="76.36"/>
  </r>
  <r>
    <x v="20"/>
    <x v="49"/>
    <n v="74.7"/>
    <n v="1964.66"/>
    <n v="70.010000000000005"/>
  </r>
  <r>
    <x v="21"/>
    <x v="49"/>
    <n v="74.7"/>
    <n v="1950.86"/>
    <n v="55.05"/>
  </r>
  <r>
    <x v="22"/>
    <x v="49"/>
    <n v="74.7"/>
    <n v="1921.09"/>
    <n v="62.38"/>
  </r>
  <r>
    <x v="23"/>
    <x v="49"/>
    <n v="74.7"/>
    <n v="2091.1999999999998"/>
    <n v="47.52"/>
  </r>
  <r>
    <x v="24"/>
    <x v="49"/>
    <n v="74.7"/>
    <n v="1078.23"/>
    <n v="707.59"/>
  </r>
  <r>
    <x v="25"/>
    <x v="49"/>
    <n v="74.7"/>
    <n v="652.83000000000004"/>
    <n v="433.4"/>
  </r>
  <r>
    <x v="26"/>
    <x v="49"/>
    <n v="74.7"/>
    <n v="620.55999999999995"/>
    <n v="422.7"/>
  </r>
  <r>
    <x v="27"/>
    <x v="49"/>
    <n v="74.7"/>
    <n v="616.21"/>
    <n v="409.32"/>
  </r>
  <r>
    <x v="28"/>
    <x v="49"/>
    <n v="74.7"/>
    <n v="587.54"/>
    <n v="433.05"/>
  </r>
  <r>
    <x v="29"/>
    <x v="49"/>
    <n v="74.7"/>
    <n v="676.59"/>
    <n v="452.86"/>
  </r>
  <r>
    <x v="30"/>
    <x v="49"/>
    <n v="74.7"/>
    <n v="650.07000000000005"/>
    <n v="438.25"/>
  </r>
  <r>
    <x v="31"/>
    <x v="49"/>
    <n v="74.7"/>
    <n v="673.95"/>
    <n v="457.39"/>
  </r>
  <r>
    <x v="32"/>
    <x v="49"/>
    <n v="74.7"/>
    <n v="548.28"/>
    <n v="422.64"/>
  </r>
  <r>
    <x v="33"/>
    <x v="49"/>
    <n v="74.7"/>
    <n v="619.70000000000005"/>
    <n v="443.5"/>
  </r>
  <r>
    <x v="34"/>
    <x v="49"/>
    <n v="74.7"/>
    <n v="697.73"/>
    <n v="466.33"/>
  </r>
  <r>
    <x v="35"/>
    <x v="49"/>
    <n v="74.7"/>
    <n v="590.54999999999995"/>
    <n v="388.06"/>
  </r>
  <r>
    <x v="36"/>
    <x v="49"/>
    <n v="74.7"/>
    <n v="1189.6300000000001"/>
    <n v="643.64"/>
  </r>
  <r>
    <x v="37"/>
    <x v="49"/>
    <n v="74.7"/>
    <n v="635.03"/>
    <n v="377.93"/>
  </r>
  <r>
    <x v="38"/>
    <x v="49"/>
    <n v="74.7"/>
    <n v="757.03"/>
    <n v="457.19"/>
  </r>
  <r>
    <x v="39"/>
    <x v="49"/>
    <n v="74.7"/>
    <n v="564.46"/>
    <n v="0"/>
  </r>
  <r>
    <x v="40"/>
    <x v="49"/>
    <n v="74.7"/>
    <n v="669.25"/>
    <n v="0"/>
  </r>
  <r>
    <x v="41"/>
    <x v="49"/>
    <n v="74.7"/>
    <n v="723.18"/>
    <n v="401.85"/>
  </r>
  <r>
    <x v="42"/>
    <x v="49"/>
    <n v="74.7"/>
    <n v="672.31"/>
    <n v="0"/>
  </r>
  <r>
    <x v="43"/>
    <x v="49"/>
    <n v="74.7"/>
    <n v="689.45"/>
    <n v="0"/>
  </r>
  <r>
    <x v="44"/>
    <x v="49"/>
    <n v="74.7"/>
    <n v="673.22"/>
    <n v="0"/>
  </r>
  <r>
    <x v="45"/>
    <x v="49"/>
    <n v="74.7"/>
    <n v="691.22"/>
    <n v="0"/>
  </r>
  <r>
    <x v="46"/>
    <x v="49"/>
    <n v="74.7"/>
    <n v="630.41"/>
    <n v="0"/>
  </r>
  <r>
    <x v="47"/>
    <x v="49"/>
    <n v="74.7"/>
    <n v="619.92999999999995"/>
    <n v="306.55"/>
  </r>
  <r>
    <x v="48"/>
    <x v="49"/>
    <n v="74.7"/>
    <n v="1264.74"/>
    <n v="724.91"/>
  </r>
  <r>
    <x v="49"/>
    <x v="49"/>
    <n v="74.7"/>
    <n v="678.19"/>
    <n v="411.32"/>
  </r>
  <r>
    <x v="50"/>
    <x v="49"/>
    <n v="74.7"/>
    <n v="691.32"/>
    <n v="401.24"/>
  </r>
  <r>
    <x v="51"/>
    <x v="49"/>
    <n v="74.7"/>
    <n v="666.99"/>
    <n v="384.78"/>
  </r>
  <r>
    <x v="52"/>
    <x v="49"/>
    <n v="74.7"/>
    <n v="642.49"/>
    <n v="374.49"/>
  </r>
  <r>
    <x v="53"/>
    <x v="49"/>
    <n v="74.7"/>
    <n v="691.67"/>
    <n v="0"/>
  </r>
  <r>
    <x v="54"/>
    <x v="49"/>
    <n v="74.7"/>
    <n v="551.73"/>
    <n v="0"/>
  </r>
  <r>
    <x v="55"/>
    <x v="49"/>
    <n v="74.7"/>
    <n v="713.73"/>
    <n v="0"/>
  </r>
  <r>
    <x v="56"/>
    <x v="49"/>
    <n v="74.7"/>
    <n v="641.20000000000005"/>
    <n v="0"/>
  </r>
  <r>
    <x v="57"/>
    <x v="49"/>
    <n v="74.7"/>
    <n v="685.26"/>
    <n v="0"/>
  </r>
  <r>
    <x v="58"/>
    <x v="49"/>
    <n v="74.7"/>
    <n v="703.18"/>
    <n v="0"/>
  </r>
  <r>
    <x v="59"/>
    <x v="49"/>
    <n v="74.7"/>
    <n v="651.04999999999995"/>
    <n v="350.76"/>
  </r>
  <r>
    <x v="60"/>
    <x v="49"/>
    <n v="74.7"/>
    <n v="1070.26"/>
    <n v="618.03"/>
  </r>
  <r>
    <x v="61"/>
    <x v="49"/>
    <n v="74.7"/>
    <n v="681.04"/>
    <n v="436.18"/>
  </r>
  <r>
    <x v="62"/>
    <x v="49"/>
    <n v="74.7"/>
    <n v="713.57"/>
    <n v="400.77"/>
  </r>
  <r>
    <x v="63"/>
    <x v="49"/>
    <n v="74.7"/>
    <n v="650.86"/>
    <n v="388.06"/>
  </r>
  <r>
    <x v="64"/>
    <x v="49"/>
    <n v="74.7"/>
    <n v="762.64"/>
    <n v="0"/>
  </r>
  <r>
    <x v="65"/>
    <x v="49"/>
    <n v="74.7"/>
    <n v="764.06"/>
    <n v="0"/>
  </r>
  <r>
    <x v="66"/>
    <x v="49"/>
    <n v="74.7"/>
    <n v="654.42999999999995"/>
    <n v="0"/>
  </r>
  <r>
    <x v="67"/>
    <x v="49"/>
    <n v="74.7"/>
    <n v="805.15"/>
    <n v="0"/>
  </r>
  <r>
    <x v="68"/>
    <x v="49"/>
    <n v="74.7"/>
    <n v="522.55999999999995"/>
    <n v="0"/>
  </r>
  <r>
    <x v="69"/>
    <x v="49"/>
    <n v="74.7"/>
    <n v="747.06"/>
    <n v="409.67"/>
  </r>
  <r>
    <x v="70"/>
    <x v="49"/>
    <n v="74.7"/>
    <n v="834.49"/>
    <n v="475.41"/>
  </r>
  <r>
    <x v="71"/>
    <x v="49"/>
    <n v="74.7"/>
    <n v="794.98"/>
    <n v="430.96"/>
  </r>
  <r>
    <x v="72"/>
    <x v="49"/>
    <n v="74.7"/>
    <n v="0"/>
    <n v="0"/>
  </r>
  <r>
    <x v="73"/>
    <x v="49"/>
    <n v="74.7"/>
    <n v="0"/>
    <n v="0"/>
  </r>
  <r>
    <x v="74"/>
    <x v="49"/>
    <n v="74.7"/>
    <n v="0"/>
    <n v="0"/>
  </r>
  <r>
    <x v="75"/>
    <x v="49"/>
    <n v="74.7"/>
    <n v="0"/>
    <n v="0"/>
  </r>
  <r>
    <x v="76"/>
    <x v="49"/>
    <n v="74.7"/>
    <n v="0"/>
    <n v="0"/>
  </r>
  <r>
    <x v="77"/>
    <x v="49"/>
    <n v="74.7"/>
    <n v="0"/>
    <n v="0"/>
  </r>
  <r>
    <x v="78"/>
    <x v="49"/>
    <n v="74.7"/>
    <n v="0"/>
    <n v="0"/>
  </r>
  <r>
    <x v="79"/>
    <x v="49"/>
    <n v="74.7"/>
    <n v="0"/>
    <n v="0"/>
  </r>
  <r>
    <x v="80"/>
    <x v="49"/>
    <n v="74.7"/>
    <n v="0"/>
    <n v="0"/>
  </r>
  <r>
    <x v="81"/>
    <x v="49"/>
    <n v="74.7"/>
    <n v="0"/>
    <n v="0"/>
  </r>
  <r>
    <x v="82"/>
    <x v="49"/>
    <n v="74.7"/>
    <n v="0"/>
    <n v="0"/>
  </r>
  <r>
    <x v="83"/>
    <x v="49"/>
    <n v="74.7"/>
    <n v="0"/>
    <n v="0"/>
  </r>
  <r>
    <x v="84"/>
    <x v="49"/>
    <n v="74.7"/>
    <n v="0"/>
    <n v="0"/>
  </r>
  <r>
    <x v="85"/>
    <x v="49"/>
    <n v="74.7"/>
    <n v="0"/>
    <n v="0"/>
  </r>
  <r>
    <x v="86"/>
    <x v="49"/>
    <n v="74.7"/>
    <n v="0"/>
    <n v="0"/>
  </r>
  <r>
    <x v="87"/>
    <x v="49"/>
    <n v="74.7"/>
    <n v="0"/>
    <n v="0"/>
  </r>
  <r>
    <x v="88"/>
    <x v="49"/>
    <n v="74.7"/>
    <n v="0"/>
    <n v="0"/>
  </r>
  <r>
    <x v="89"/>
    <x v="49"/>
    <n v="74.7"/>
    <n v="0"/>
    <n v="0"/>
  </r>
  <r>
    <x v="90"/>
    <x v="49"/>
    <n v="74.7"/>
    <n v="0"/>
    <n v="0"/>
  </r>
  <r>
    <x v="91"/>
    <x v="49"/>
    <n v="74.7"/>
    <n v="0"/>
    <n v="0"/>
  </r>
  <r>
    <x v="92"/>
    <x v="49"/>
    <n v="74.7"/>
    <n v="0"/>
    <n v="0"/>
  </r>
  <r>
    <x v="93"/>
    <x v="49"/>
    <n v="74.7"/>
    <n v="0"/>
    <n v="0"/>
  </r>
  <r>
    <x v="94"/>
    <x v="49"/>
    <n v="74.7"/>
    <n v="0"/>
    <n v="0"/>
  </r>
  <r>
    <x v="95"/>
    <x v="49"/>
    <n v="74.7"/>
    <n v="0"/>
    <n v="0"/>
  </r>
  <r>
    <x v="0"/>
    <x v="50"/>
    <n v="75"/>
    <n v="844.09"/>
    <n v="1042.45"/>
  </r>
  <r>
    <x v="1"/>
    <x v="50"/>
    <n v="75"/>
    <n v="582.75"/>
    <n v="662.81"/>
  </r>
  <r>
    <x v="2"/>
    <x v="50"/>
    <n v="75"/>
    <n v="575.6"/>
    <n v="643.37"/>
  </r>
  <r>
    <x v="3"/>
    <x v="50"/>
    <n v="75"/>
    <n v="558.65"/>
    <n v="648.12"/>
  </r>
  <r>
    <x v="4"/>
    <x v="50"/>
    <n v="75"/>
    <n v="555.61"/>
    <n v="669.9"/>
  </r>
  <r>
    <x v="5"/>
    <x v="50"/>
    <n v="75"/>
    <n v="581.26"/>
    <n v="693.15"/>
  </r>
  <r>
    <x v="6"/>
    <x v="50"/>
    <n v="75"/>
    <n v="542.75"/>
    <n v="647.28"/>
  </r>
  <r>
    <x v="7"/>
    <x v="50"/>
    <n v="75"/>
    <n v="587.57000000000005"/>
    <n v="733.07"/>
  </r>
  <r>
    <x v="8"/>
    <x v="50"/>
    <n v="75"/>
    <n v="558.70000000000005"/>
    <n v="759.86"/>
  </r>
  <r>
    <x v="9"/>
    <x v="50"/>
    <n v="75"/>
    <n v="539.6"/>
    <n v="750.97"/>
  </r>
  <r>
    <x v="10"/>
    <x v="50"/>
    <n v="75"/>
    <n v="563.28"/>
    <n v="738.1"/>
  </r>
  <r>
    <x v="11"/>
    <x v="50"/>
    <n v="75"/>
    <n v="528.24"/>
    <n v="-1385.83"/>
  </r>
  <r>
    <x v="12"/>
    <x v="50"/>
    <n v="75"/>
    <n v="2683.69"/>
    <n v="125.25"/>
  </r>
  <r>
    <x v="13"/>
    <x v="50"/>
    <n v="75"/>
    <n v="1518.64"/>
    <n v="80.97"/>
  </r>
  <r>
    <x v="14"/>
    <x v="50"/>
    <n v="75"/>
    <n v="1635.06"/>
    <n v="105.1"/>
  </r>
  <r>
    <x v="15"/>
    <x v="50"/>
    <n v="75"/>
    <n v="1695.99"/>
    <n v="68.540000000000006"/>
  </r>
  <r>
    <x v="16"/>
    <x v="50"/>
    <n v="75"/>
    <n v="1681.99"/>
    <n v="66.31"/>
  </r>
  <r>
    <x v="17"/>
    <x v="50"/>
    <n v="75"/>
    <n v="1710.41"/>
    <n v="67.510000000000005"/>
  </r>
  <r>
    <x v="18"/>
    <x v="50"/>
    <n v="75"/>
    <n v="1590.06"/>
    <n v="69.760000000000005"/>
  </r>
  <r>
    <x v="19"/>
    <x v="50"/>
    <n v="75"/>
    <n v="1700.13"/>
    <n v="74.459999999999994"/>
  </r>
  <r>
    <x v="20"/>
    <x v="50"/>
    <n v="75"/>
    <n v="1840.52"/>
    <n v="70.89"/>
  </r>
  <r>
    <x v="21"/>
    <x v="50"/>
    <n v="75"/>
    <n v="1831.68"/>
    <n v="55.17"/>
  </r>
  <r>
    <x v="22"/>
    <x v="50"/>
    <n v="75"/>
    <n v="1791.42"/>
    <n v="60.27"/>
  </r>
  <r>
    <x v="23"/>
    <x v="50"/>
    <n v="75"/>
    <n v="1971.16"/>
    <n v="50.21"/>
  </r>
  <r>
    <x v="24"/>
    <x v="50"/>
    <n v="75"/>
    <n v="1094.44"/>
    <n v="663.91"/>
  </r>
  <r>
    <x v="25"/>
    <x v="50"/>
    <n v="75"/>
    <n v="663.59"/>
    <n v="397.33"/>
  </r>
  <r>
    <x v="26"/>
    <x v="50"/>
    <n v="75"/>
    <n v="633.65"/>
    <n v="393.75"/>
  </r>
  <r>
    <x v="27"/>
    <x v="50"/>
    <n v="75"/>
    <n v="636.1"/>
    <n v="368.72"/>
  </r>
  <r>
    <x v="28"/>
    <x v="50"/>
    <n v="75"/>
    <n v="599.09"/>
    <n v="396.99"/>
  </r>
  <r>
    <x v="29"/>
    <x v="50"/>
    <n v="75"/>
    <n v="689.44"/>
    <n v="417.14"/>
  </r>
  <r>
    <x v="30"/>
    <x v="50"/>
    <n v="75"/>
    <n v="662.14"/>
    <n v="405.63"/>
  </r>
  <r>
    <x v="31"/>
    <x v="50"/>
    <n v="75"/>
    <n v="685.35"/>
    <n v="422.21"/>
  </r>
  <r>
    <x v="32"/>
    <x v="50"/>
    <n v="75"/>
    <n v="557.92999999999995"/>
    <n v="390.58"/>
  </r>
  <r>
    <x v="33"/>
    <x v="50"/>
    <n v="75"/>
    <n v="631.54999999999995"/>
    <n v="412.89"/>
  </r>
  <r>
    <x v="34"/>
    <x v="50"/>
    <n v="75"/>
    <n v="710.27"/>
    <n v="430.3"/>
  </r>
  <r>
    <x v="35"/>
    <x v="50"/>
    <n v="75"/>
    <n v="606.24"/>
    <n v="381.68"/>
  </r>
  <r>
    <x v="36"/>
    <x v="50"/>
    <n v="75"/>
    <n v="1195.75"/>
    <n v="620.72"/>
  </r>
  <r>
    <x v="37"/>
    <x v="50"/>
    <n v="75"/>
    <n v="638.14"/>
    <n v="354.72"/>
  </r>
  <r>
    <x v="38"/>
    <x v="50"/>
    <n v="75"/>
    <n v="762.76"/>
    <n v="423.92"/>
  </r>
  <r>
    <x v="39"/>
    <x v="50"/>
    <n v="75"/>
    <n v="567.16"/>
    <n v="0"/>
  </r>
  <r>
    <x v="40"/>
    <x v="50"/>
    <n v="75"/>
    <n v="671.31"/>
    <n v="0"/>
  </r>
  <r>
    <x v="41"/>
    <x v="50"/>
    <n v="75"/>
    <n v="730.45"/>
    <n v="367.62"/>
  </r>
  <r>
    <x v="42"/>
    <x v="50"/>
    <n v="75"/>
    <n v="679.72"/>
    <n v="0"/>
  </r>
  <r>
    <x v="43"/>
    <x v="50"/>
    <n v="75"/>
    <n v="692.27"/>
    <n v="0"/>
  </r>
  <r>
    <x v="44"/>
    <x v="50"/>
    <n v="75"/>
    <n v="675.48"/>
    <n v="0"/>
  </r>
  <r>
    <x v="45"/>
    <x v="50"/>
    <n v="75"/>
    <n v="693.9"/>
    <n v="0"/>
  </r>
  <r>
    <x v="46"/>
    <x v="50"/>
    <n v="75"/>
    <n v="632.82000000000005"/>
    <n v="0"/>
  </r>
  <r>
    <x v="47"/>
    <x v="50"/>
    <n v="75"/>
    <n v="626.28"/>
    <n v="298.04000000000002"/>
  </r>
  <r>
    <x v="48"/>
    <x v="50"/>
    <n v="75"/>
    <n v="1271.1099999999999"/>
    <n v="691.79"/>
  </r>
  <r>
    <x v="49"/>
    <x v="50"/>
    <n v="75"/>
    <n v="679.96"/>
    <n v="388.31"/>
  </r>
  <r>
    <x v="50"/>
    <x v="50"/>
    <n v="75"/>
    <n v="698.92"/>
    <n v="387.24"/>
  </r>
  <r>
    <x v="51"/>
    <x v="50"/>
    <n v="75"/>
    <n v="675.34"/>
    <n v="370.43"/>
  </r>
  <r>
    <x v="52"/>
    <x v="50"/>
    <n v="75"/>
    <n v="649.80999999999995"/>
    <n v="361.02"/>
  </r>
  <r>
    <x v="53"/>
    <x v="50"/>
    <n v="75"/>
    <n v="696.43"/>
    <n v="0"/>
  </r>
  <r>
    <x v="54"/>
    <x v="50"/>
    <n v="75"/>
    <n v="554.57000000000005"/>
    <n v="0"/>
  </r>
  <r>
    <x v="55"/>
    <x v="50"/>
    <n v="75"/>
    <n v="719.27"/>
    <n v="0"/>
  </r>
  <r>
    <x v="56"/>
    <x v="50"/>
    <n v="75"/>
    <n v="646.24"/>
    <n v="0"/>
  </r>
  <r>
    <x v="57"/>
    <x v="50"/>
    <n v="75"/>
    <n v="693.46"/>
    <n v="0"/>
  </r>
  <r>
    <x v="58"/>
    <x v="50"/>
    <n v="75"/>
    <n v="705.71"/>
    <n v="0"/>
  </r>
  <r>
    <x v="59"/>
    <x v="50"/>
    <n v="75"/>
    <n v="661.12"/>
    <n v="351.97"/>
  </r>
  <r>
    <x v="60"/>
    <x v="50"/>
    <n v="75"/>
    <n v="1076.0899999999999"/>
    <n v="593.35"/>
  </r>
  <r>
    <x v="61"/>
    <x v="50"/>
    <n v="75"/>
    <n v="682.27"/>
    <n v="417.08"/>
  </r>
  <r>
    <x v="62"/>
    <x v="50"/>
    <n v="75"/>
    <n v="723.33"/>
    <n v="379.54"/>
  </r>
  <r>
    <x v="63"/>
    <x v="50"/>
    <n v="75"/>
    <n v="655.62"/>
    <n v="372.78"/>
  </r>
  <r>
    <x v="64"/>
    <x v="50"/>
    <n v="75"/>
    <n v="767.54"/>
    <n v="0"/>
  </r>
  <r>
    <x v="65"/>
    <x v="50"/>
    <n v="75"/>
    <n v="769.7"/>
    <n v="0"/>
  </r>
  <r>
    <x v="66"/>
    <x v="50"/>
    <n v="75"/>
    <n v="655.66"/>
    <n v="0"/>
  </r>
  <r>
    <x v="67"/>
    <x v="50"/>
    <n v="75"/>
    <n v="811.54"/>
    <n v="0"/>
  </r>
  <r>
    <x v="68"/>
    <x v="50"/>
    <n v="75"/>
    <n v="525.88"/>
    <n v="0"/>
  </r>
  <r>
    <x v="69"/>
    <x v="50"/>
    <n v="75"/>
    <n v="749.66"/>
    <n v="382.95"/>
  </r>
  <r>
    <x v="70"/>
    <x v="50"/>
    <n v="75"/>
    <n v="835.69"/>
    <n v="458.57"/>
  </r>
  <r>
    <x v="71"/>
    <x v="50"/>
    <n v="75"/>
    <n v="797.79"/>
    <n v="417.48"/>
  </r>
  <r>
    <x v="72"/>
    <x v="50"/>
    <n v="75"/>
    <n v="0"/>
    <n v="0"/>
  </r>
  <r>
    <x v="73"/>
    <x v="50"/>
    <n v="75"/>
    <n v="0"/>
    <n v="0"/>
  </r>
  <r>
    <x v="74"/>
    <x v="50"/>
    <n v="75"/>
    <n v="0"/>
    <n v="0"/>
  </r>
  <r>
    <x v="75"/>
    <x v="50"/>
    <n v="75"/>
    <n v="0"/>
    <n v="0"/>
  </r>
  <r>
    <x v="76"/>
    <x v="50"/>
    <n v="75"/>
    <n v="0"/>
    <n v="0"/>
  </r>
  <r>
    <x v="77"/>
    <x v="50"/>
    <n v="75"/>
    <n v="0"/>
    <n v="0"/>
  </r>
  <r>
    <x v="78"/>
    <x v="50"/>
    <n v="75"/>
    <n v="0"/>
    <n v="0"/>
  </r>
  <r>
    <x v="79"/>
    <x v="50"/>
    <n v="75"/>
    <n v="0"/>
    <n v="0"/>
  </r>
  <r>
    <x v="80"/>
    <x v="50"/>
    <n v="75"/>
    <n v="0"/>
    <n v="0"/>
  </r>
  <r>
    <x v="81"/>
    <x v="50"/>
    <n v="75"/>
    <n v="0"/>
    <n v="0"/>
  </r>
  <r>
    <x v="82"/>
    <x v="50"/>
    <n v="75"/>
    <n v="0"/>
    <n v="0"/>
  </r>
  <r>
    <x v="83"/>
    <x v="50"/>
    <n v="75"/>
    <n v="0"/>
    <n v="0"/>
  </r>
  <r>
    <x v="84"/>
    <x v="50"/>
    <n v="75"/>
    <n v="0"/>
    <n v="0"/>
  </r>
  <r>
    <x v="85"/>
    <x v="50"/>
    <n v="75"/>
    <n v="0"/>
    <n v="0"/>
  </r>
  <r>
    <x v="86"/>
    <x v="50"/>
    <n v="75"/>
    <n v="0"/>
    <n v="0"/>
  </r>
  <r>
    <x v="87"/>
    <x v="50"/>
    <n v="75"/>
    <n v="0"/>
    <n v="0"/>
  </r>
  <r>
    <x v="88"/>
    <x v="50"/>
    <n v="75"/>
    <n v="0"/>
    <n v="0"/>
  </r>
  <r>
    <x v="89"/>
    <x v="50"/>
    <n v="75"/>
    <n v="0"/>
    <n v="0"/>
  </r>
  <r>
    <x v="90"/>
    <x v="50"/>
    <n v="75"/>
    <n v="0"/>
    <n v="0"/>
  </r>
  <r>
    <x v="91"/>
    <x v="50"/>
    <n v="75"/>
    <n v="0"/>
    <n v="0"/>
  </r>
  <r>
    <x v="92"/>
    <x v="50"/>
    <n v="75"/>
    <n v="0"/>
    <n v="0"/>
  </r>
  <r>
    <x v="93"/>
    <x v="50"/>
    <n v="75"/>
    <n v="0"/>
    <n v="0"/>
  </r>
  <r>
    <x v="94"/>
    <x v="50"/>
    <n v="75"/>
    <n v="0"/>
    <n v="0"/>
  </r>
  <r>
    <x v="95"/>
    <x v="50"/>
    <n v="75"/>
    <n v="0"/>
    <n v="0"/>
  </r>
  <r>
    <x v="0"/>
    <x v="51"/>
    <n v="75.3"/>
    <n v="850.89"/>
    <n v="955.9"/>
  </r>
  <r>
    <x v="1"/>
    <x v="51"/>
    <n v="75.3"/>
    <n v="592.63"/>
    <n v="609.41"/>
  </r>
  <r>
    <x v="2"/>
    <x v="51"/>
    <n v="75.3"/>
    <n v="586.1"/>
    <n v="592.39"/>
  </r>
  <r>
    <x v="3"/>
    <x v="51"/>
    <n v="75.3"/>
    <n v="570.04999999999995"/>
    <n v="598.94000000000005"/>
  </r>
  <r>
    <x v="4"/>
    <x v="51"/>
    <n v="75.3"/>
    <n v="566.16999999999996"/>
    <n v="617.96"/>
  </r>
  <r>
    <x v="5"/>
    <x v="51"/>
    <n v="75.3"/>
    <n v="593.54"/>
    <n v="641.83000000000004"/>
  </r>
  <r>
    <x v="6"/>
    <x v="51"/>
    <n v="75.3"/>
    <n v="554.97"/>
    <n v="591.54"/>
  </r>
  <r>
    <x v="7"/>
    <x v="51"/>
    <n v="75.3"/>
    <n v="597.16999999999996"/>
    <n v="672.04"/>
  </r>
  <r>
    <x v="8"/>
    <x v="51"/>
    <n v="75.3"/>
    <n v="572.25"/>
    <n v="704.6"/>
  </r>
  <r>
    <x v="9"/>
    <x v="51"/>
    <n v="75.3"/>
    <n v="551.97"/>
    <n v="696.56"/>
  </r>
  <r>
    <x v="10"/>
    <x v="51"/>
    <n v="75.3"/>
    <n v="576.65"/>
    <n v="685.16"/>
  </r>
  <r>
    <x v="11"/>
    <x v="51"/>
    <n v="75.3"/>
    <n v="519.49"/>
    <n v="-1437.67"/>
  </r>
  <r>
    <x v="12"/>
    <x v="51"/>
    <n v="75.3"/>
    <n v="2450.65"/>
    <n v="121.3"/>
  </r>
  <r>
    <x v="13"/>
    <x v="51"/>
    <n v="75.3"/>
    <n v="1340.06"/>
    <n v="79.66"/>
  </r>
  <r>
    <x v="14"/>
    <x v="51"/>
    <n v="75.3"/>
    <n v="1443.6"/>
    <n v="100.61"/>
  </r>
  <r>
    <x v="15"/>
    <x v="51"/>
    <n v="75.3"/>
    <n v="1497.83"/>
    <n v="63.45"/>
  </r>
  <r>
    <x v="16"/>
    <x v="51"/>
    <n v="75.3"/>
    <n v="1500.62"/>
    <n v="64.11"/>
  </r>
  <r>
    <x v="17"/>
    <x v="51"/>
    <n v="75.3"/>
    <n v="1526.68"/>
    <n v="63.81"/>
  </r>
  <r>
    <x v="18"/>
    <x v="51"/>
    <n v="75.3"/>
    <n v="1418.9"/>
    <n v="64.349999999999994"/>
  </r>
  <r>
    <x v="19"/>
    <x v="51"/>
    <n v="75.3"/>
    <n v="1516.21"/>
    <n v="71.81"/>
  </r>
  <r>
    <x v="20"/>
    <x v="51"/>
    <n v="75.3"/>
    <n v="1667.42"/>
    <n v="71.34"/>
  </r>
  <r>
    <x v="21"/>
    <x v="51"/>
    <n v="75.3"/>
    <n v="1664.54"/>
    <n v="55.11"/>
  </r>
  <r>
    <x v="22"/>
    <x v="51"/>
    <n v="75.3"/>
    <n v="1615.81"/>
    <n v="57.37"/>
  </r>
  <r>
    <x v="23"/>
    <x v="51"/>
    <n v="75.3"/>
    <n v="1798.76"/>
    <n v="52.8"/>
  </r>
  <r>
    <x v="24"/>
    <x v="51"/>
    <n v="75.3"/>
    <n v="1112.8599999999999"/>
    <n v="616.25"/>
  </r>
  <r>
    <x v="25"/>
    <x v="51"/>
    <n v="75.3"/>
    <n v="675.49"/>
    <n v="359.09"/>
  </r>
  <r>
    <x v="26"/>
    <x v="51"/>
    <n v="75.3"/>
    <n v="647.98"/>
    <n v="362.5"/>
  </r>
  <r>
    <x v="27"/>
    <x v="51"/>
    <n v="75.3"/>
    <n v="657.2"/>
    <n v="326.3"/>
  </r>
  <r>
    <x v="28"/>
    <x v="51"/>
    <n v="75.3"/>
    <n v="611.97"/>
    <n v="354.73"/>
  </r>
  <r>
    <x v="29"/>
    <x v="51"/>
    <n v="75.3"/>
    <n v="703.97"/>
    <n v="379.81"/>
  </r>
  <r>
    <x v="30"/>
    <x v="51"/>
    <n v="75.3"/>
    <n v="675.47"/>
    <n v="372.56"/>
  </r>
  <r>
    <x v="31"/>
    <x v="51"/>
    <n v="75.3"/>
    <n v="698.16"/>
    <n v="386.66"/>
  </r>
  <r>
    <x v="32"/>
    <x v="51"/>
    <n v="75.3"/>
    <n v="568.83000000000004"/>
    <n v="354.88"/>
  </r>
  <r>
    <x v="33"/>
    <x v="51"/>
    <n v="75.3"/>
    <n v="644.86"/>
    <n v="378.87"/>
  </r>
  <r>
    <x v="34"/>
    <x v="51"/>
    <n v="75.3"/>
    <n v="724.3"/>
    <n v="394.4"/>
  </r>
  <r>
    <x v="35"/>
    <x v="51"/>
    <n v="75.3"/>
    <n v="624.11"/>
    <n v="371.66"/>
  </r>
  <r>
    <x v="36"/>
    <x v="51"/>
    <n v="75.3"/>
    <n v="1202.54"/>
    <n v="595.33000000000004"/>
  </r>
  <r>
    <x v="37"/>
    <x v="51"/>
    <n v="75.3"/>
    <n v="640.91"/>
    <n v="330.22"/>
  </r>
  <r>
    <x v="38"/>
    <x v="51"/>
    <n v="75.3"/>
    <n v="768.12"/>
    <n v="389.92"/>
  </r>
  <r>
    <x v="39"/>
    <x v="51"/>
    <n v="75.3"/>
    <n v="569.85"/>
    <n v="0"/>
  </r>
  <r>
    <x v="40"/>
    <x v="51"/>
    <n v="75.3"/>
    <n v="673.66"/>
    <n v="0"/>
  </r>
  <r>
    <x v="41"/>
    <x v="51"/>
    <n v="75.3"/>
    <n v="737.64"/>
    <n v="335.25"/>
  </r>
  <r>
    <x v="42"/>
    <x v="51"/>
    <n v="75.3"/>
    <n v="687.48"/>
    <n v="0"/>
  </r>
  <r>
    <x v="43"/>
    <x v="51"/>
    <n v="75.3"/>
    <n v="695.18"/>
    <n v="0"/>
  </r>
  <r>
    <x v="44"/>
    <x v="51"/>
    <n v="75.3"/>
    <n v="677.95"/>
    <n v="0"/>
  </r>
  <r>
    <x v="45"/>
    <x v="51"/>
    <n v="75.3"/>
    <n v="696.59"/>
    <n v="0"/>
  </r>
  <r>
    <x v="46"/>
    <x v="51"/>
    <n v="75.3"/>
    <n v="634.96"/>
    <n v="0"/>
  </r>
  <r>
    <x v="47"/>
    <x v="51"/>
    <n v="75.3"/>
    <n v="633.32000000000005"/>
    <n v="293.01"/>
  </r>
  <r>
    <x v="48"/>
    <x v="51"/>
    <n v="75.3"/>
    <n v="1278.1600000000001"/>
    <n v="657.27"/>
  </r>
  <r>
    <x v="49"/>
    <x v="51"/>
    <n v="75.3"/>
    <n v="680.91"/>
    <n v="361.22"/>
  </r>
  <r>
    <x v="50"/>
    <x v="51"/>
    <n v="75.3"/>
    <n v="705.79"/>
    <n v="372.34"/>
  </r>
  <r>
    <x v="51"/>
    <x v="51"/>
    <n v="75.3"/>
    <n v="683.41"/>
    <n v="356.35"/>
  </r>
  <r>
    <x v="52"/>
    <x v="51"/>
    <n v="75.3"/>
    <n v="657.07"/>
    <n v="347.94"/>
  </r>
  <r>
    <x v="53"/>
    <x v="51"/>
    <n v="75.3"/>
    <n v="701.1"/>
    <n v="0"/>
  </r>
  <r>
    <x v="54"/>
    <x v="51"/>
    <n v="75.3"/>
    <n v="557.16999999999996"/>
    <n v="0"/>
  </r>
  <r>
    <x v="55"/>
    <x v="51"/>
    <n v="75.3"/>
    <n v="724.96"/>
    <n v="0"/>
  </r>
  <r>
    <x v="56"/>
    <x v="51"/>
    <n v="75.3"/>
    <n v="651.98"/>
    <n v="0"/>
  </r>
  <r>
    <x v="57"/>
    <x v="51"/>
    <n v="75.3"/>
    <n v="702.83"/>
    <n v="0"/>
  </r>
  <r>
    <x v="58"/>
    <x v="51"/>
    <n v="75.3"/>
    <n v="708.02"/>
    <n v="0"/>
  </r>
  <r>
    <x v="59"/>
    <x v="51"/>
    <n v="75.3"/>
    <n v="672.26"/>
    <n v="353.5"/>
  </r>
  <r>
    <x v="60"/>
    <x v="51"/>
    <n v="75.3"/>
    <n v="1082.3599999999999"/>
    <n v="565.41"/>
  </r>
  <r>
    <x v="61"/>
    <x v="51"/>
    <n v="75.3"/>
    <n v="682.78"/>
    <n v="395.81"/>
  </r>
  <r>
    <x v="62"/>
    <x v="51"/>
    <n v="75.3"/>
    <n v="732.82"/>
    <n v="361.31"/>
  </r>
  <r>
    <x v="63"/>
    <x v="51"/>
    <n v="75.3"/>
    <n v="659.64"/>
    <n v="356.21"/>
  </r>
  <r>
    <x v="64"/>
    <x v="51"/>
    <n v="75.3"/>
    <n v="771.86"/>
    <n v="0"/>
  </r>
  <r>
    <x v="65"/>
    <x v="51"/>
    <n v="75.3"/>
    <n v="775.23"/>
    <n v="0"/>
  </r>
  <r>
    <x v="66"/>
    <x v="51"/>
    <n v="75.3"/>
    <n v="656.44"/>
    <n v="0"/>
  </r>
  <r>
    <x v="67"/>
    <x v="51"/>
    <n v="75.3"/>
    <n v="817.68"/>
    <n v="0"/>
  </r>
  <r>
    <x v="68"/>
    <x v="51"/>
    <n v="75.3"/>
    <n v="530.39"/>
    <n v="0"/>
  </r>
  <r>
    <x v="69"/>
    <x v="51"/>
    <n v="75.3"/>
    <n v="752.61"/>
    <n v="358.15"/>
  </r>
  <r>
    <x v="70"/>
    <x v="51"/>
    <n v="75.3"/>
    <n v="836.38"/>
    <n v="439.99"/>
  </r>
  <r>
    <x v="71"/>
    <x v="51"/>
    <n v="75.3"/>
    <n v="800.76"/>
    <n v="404.75"/>
  </r>
  <r>
    <x v="72"/>
    <x v="51"/>
    <n v="75.3"/>
    <n v="0"/>
    <n v="0"/>
  </r>
  <r>
    <x v="73"/>
    <x v="51"/>
    <n v="75.3"/>
    <n v="0"/>
    <n v="0"/>
  </r>
  <r>
    <x v="74"/>
    <x v="51"/>
    <n v="75.3"/>
    <n v="0"/>
    <n v="0"/>
  </r>
  <r>
    <x v="75"/>
    <x v="51"/>
    <n v="75.3"/>
    <n v="0"/>
    <n v="0"/>
  </r>
  <r>
    <x v="76"/>
    <x v="51"/>
    <n v="75.3"/>
    <n v="0"/>
    <n v="0"/>
  </r>
  <r>
    <x v="77"/>
    <x v="51"/>
    <n v="75.3"/>
    <n v="0"/>
    <n v="0"/>
  </r>
  <r>
    <x v="78"/>
    <x v="51"/>
    <n v="75.3"/>
    <n v="0"/>
    <n v="0"/>
  </r>
  <r>
    <x v="79"/>
    <x v="51"/>
    <n v="75.3"/>
    <n v="0"/>
    <n v="0"/>
  </r>
  <r>
    <x v="80"/>
    <x v="51"/>
    <n v="75.3"/>
    <n v="0"/>
    <n v="0"/>
  </r>
  <r>
    <x v="81"/>
    <x v="51"/>
    <n v="75.3"/>
    <n v="0"/>
    <n v="0"/>
  </r>
  <r>
    <x v="82"/>
    <x v="51"/>
    <n v="75.3"/>
    <n v="0"/>
    <n v="0"/>
  </r>
  <r>
    <x v="83"/>
    <x v="51"/>
    <n v="75.3"/>
    <n v="0"/>
    <n v="0"/>
  </r>
  <r>
    <x v="84"/>
    <x v="51"/>
    <n v="75.3"/>
    <n v="0"/>
    <n v="0"/>
  </r>
  <r>
    <x v="85"/>
    <x v="51"/>
    <n v="75.3"/>
    <n v="0"/>
    <n v="0"/>
  </r>
  <r>
    <x v="86"/>
    <x v="51"/>
    <n v="75.3"/>
    <n v="0"/>
    <n v="0"/>
  </r>
  <r>
    <x v="87"/>
    <x v="51"/>
    <n v="75.3"/>
    <n v="0"/>
    <n v="0"/>
  </r>
  <r>
    <x v="88"/>
    <x v="51"/>
    <n v="75.3"/>
    <n v="0"/>
    <n v="0"/>
  </r>
  <r>
    <x v="89"/>
    <x v="51"/>
    <n v="75.3"/>
    <n v="0"/>
    <n v="0"/>
  </r>
  <r>
    <x v="90"/>
    <x v="51"/>
    <n v="75.3"/>
    <n v="0"/>
    <n v="0"/>
  </r>
  <r>
    <x v="91"/>
    <x v="51"/>
    <n v="75.3"/>
    <n v="0"/>
    <n v="0"/>
  </r>
  <r>
    <x v="92"/>
    <x v="51"/>
    <n v="75.3"/>
    <n v="0"/>
    <n v="0"/>
  </r>
  <r>
    <x v="93"/>
    <x v="51"/>
    <n v="75.3"/>
    <n v="0"/>
    <n v="0"/>
  </r>
  <r>
    <x v="94"/>
    <x v="51"/>
    <n v="75.3"/>
    <n v="0"/>
    <n v="0"/>
  </r>
  <r>
    <x v="95"/>
    <x v="51"/>
    <n v="75.3"/>
    <n v="0"/>
    <n v="0"/>
  </r>
  <r>
    <x v="0"/>
    <x v="52"/>
    <n v="75.599999999999994"/>
    <n v="859.22"/>
    <n v="862.36"/>
  </r>
  <r>
    <x v="1"/>
    <x v="52"/>
    <n v="75.599999999999994"/>
    <n v="603.92999999999995"/>
    <n v="550.38"/>
  </r>
  <r>
    <x v="2"/>
    <x v="52"/>
    <n v="75.599999999999994"/>
    <n v="598.21"/>
    <n v="536.87"/>
  </r>
  <r>
    <x v="3"/>
    <x v="52"/>
    <n v="75.599999999999994"/>
    <n v="583.25"/>
    <n v="544.27"/>
  </r>
  <r>
    <x v="4"/>
    <x v="52"/>
    <n v="75.599999999999994"/>
    <n v="578.29999999999995"/>
    <n v="558.65"/>
  </r>
  <r>
    <x v="5"/>
    <x v="52"/>
    <n v="75.599999999999994"/>
    <n v="607.55999999999995"/>
    <n v="583.23"/>
  </r>
  <r>
    <x v="6"/>
    <x v="52"/>
    <n v="75.599999999999994"/>
    <n v="568.63"/>
    <n v="533.24"/>
  </r>
  <r>
    <x v="7"/>
    <x v="52"/>
    <n v="75.599999999999994"/>
    <n v="608.19000000000005"/>
    <n v="608.65"/>
  </r>
  <r>
    <x v="8"/>
    <x v="52"/>
    <n v="75.599999999999994"/>
    <n v="587.42999999999995"/>
    <n v="642.27"/>
  </r>
  <r>
    <x v="9"/>
    <x v="52"/>
    <n v="75.599999999999994"/>
    <n v="565.88"/>
    <n v="633.25"/>
  </r>
  <r>
    <x v="10"/>
    <x v="52"/>
    <n v="75.599999999999994"/>
    <n v="591.59"/>
    <n v="623.37"/>
  </r>
  <r>
    <x v="11"/>
    <x v="52"/>
    <n v="75.599999999999994"/>
    <n v="514.54999999999995"/>
    <n v="-1487.83"/>
  </r>
  <r>
    <x v="12"/>
    <x v="52"/>
    <n v="75.599999999999994"/>
    <n v="2171.0700000000002"/>
    <n v="117.2"/>
  </r>
  <r>
    <x v="13"/>
    <x v="52"/>
    <n v="75.599999999999994"/>
    <n v="1160.24"/>
    <n v="78.239999999999995"/>
  </r>
  <r>
    <x v="14"/>
    <x v="52"/>
    <n v="75.599999999999994"/>
    <n v="1251.24"/>
    <n v="96.91"/>
  </r>
  <r>
    <x v="15"/>
    <x v="52"/>
    <n v="75.599999999999994"/>
    <n v="1296.75"/>
    <n v="60.37"/>
  </r>
  <r>
    <x v="16"/>
    <x v="52"/>
    <n v="75.599999999999994"/>
    <n v="1308.72"/>
    <n v="61.94"/>
  </r>
  <r>
    <x v="17"/>
    <x v="52"/>
    <n v="75.599999999999994"/>
    <n v="1331.38"/>
    <n v="60.31"/>
  </r>
  <r>
    <x v="18"/>
    <x v="52"/>
    <n v="75.599999999999994"/>
    <n v="1237.8499999999999"/>
    <n v="59.39"/>
  </r>
  <r>
    <x v="19"/>
    <x v="52"/>
    <n v="75.599999999999994"/>
    <n v="1320.99"/>
    <n v="68.62"/>
  </r>
  <r>
    <x v="20"/>
    <x v="52"/>
    <n v="75.599999999999994"/>
    <n v="1468.46"/>
    <n v="71.28"/>
  </r>
  <r>
    <x v="21"/>
    <x v="52"/>
    <n v="75.599999999999994"/>
    <n v="1469.43"/>
    <n v="54.92"/>
  </r>
  <r>
    <x v="22"/>
    <x v="52"/>
    <n v="75.599999999999994"/>
    <n v="1418.53"/>
    <n v="53.86"/>
  </r>
  <r>
    <x v="23"/>
    <x v="52"/>
    <n v="75.599999999999994"/>
    <n v="1594.85"/>
    <n v="55.29"/>
  </r>
  <r>
    <x v="24"/>
    <x v="52"/>
    <n v="75.599999999999994"/>
    <n v="1133.8699999999999"/>
    <n v="571.96"/>
  </r>
  <r>
    <x v="25"/>
    <x v="52"/>
    <n v="75.599999999999994"/>
    <n v="689"/>
    <n v="324.83999999999997"/>
  </r>
  <r>
    <x v="26"/>
    <x v="52"/>
    <n v="75.599999999999994"/>
    <n v="663.88"/>
    <n v="332.49"/>
  </r>
  <r>
    <x v="27"/>
    <x v="52"/>
    <n v="75.599999999999994"/>
    <n v="679.87"/>
    <n v="289.45"/>
  </r>
  <r>
    <x v="28"/>
    <x v="52"/>
    <n v="75.599999999999994"/>
    <n v="626.54999999999995"/>
    <n v="311.33"/>
  </r>
  <r>
    <x v="29"/>
    <x v="52"/>
    <n v="75.599999999999994"/>
    <n v="720.56"/>
    <n v="346.84"/>
  </r>
  <r>
    <x v="30"/>
    <x v="52"/>
    <n v="75.599999999999994"/>
    <n v="690.38"/>
    <n v="343.7"/>
  </r>
  <r>
    <x v="31"/>
    <x v="52"/>
    <n v="75.599999999999994"/>
    <n v="712.73"/>
    <n v="354.39"/>
  </r>
  <r>
    <x v="32"/>
    <x v="52"/>
    <n v="75.599999999999994"/>
    <n v="581.32000000000005"/>
    <n v="321.56"/>
  </r>
  <r>
    <x v="33"/>
    <x v="52"/>
    <n v="75.599999999999994"/>
    <n v="659.99"/>
    <n v="346.64"/>
  </r>
  <r>
    <x v="34"/>
    <x v="52"/>
    <n v="75.599999999999994"/>
    <n v="740.2"/>
    <n v="362.98"/>
  </r>
  <r>
    <x v="35"/>
    <x v="52"/>
    <n v="75.599999999999994"/>
    <n v="644.55999999999995"/>
    <n v="357.99"/>
  </r>
  <r>
    <x v="36"/>
    <x v="52"/>
    <n v="75.599999999999994"/>
    <n v="1210.1199999999999"/>
    <n v="569.97"/>
  </r>
  <r>
    <x v="37"/>
    <x v="52"/>
    <n v="75.599999999999994"/>
    <n v="643.54"/>
    <n v="306.29000000000002"/>
  </r>
  <r>
    <x v="38"/>
    <x v="52"/>
    <n v="75.599999999999994"/>
    <n v="773.38"/>
    <n v="360.3"/>
  </r>
  <r>
    <x v="39"/>
    <x v="52"/>
    <n v="75.599999999999994"/>
    <n v="572.83000000000004"/>
    <n v="0"/>
  </r>
  <r>
    <x v="40"/>
    <x v="52"/>
    <n v="75.599999999999994"/>
    <n v="676.7"/>
    <n v="0"/>
  </r>
  <r>
    <x v="41"/>
    <x v="52"/>
    <n v="75.599999999999994"/>
    <n v="745.05"/>
    <n v="310.19"/>
  </r>
  <r>
    <x v="42"/>
    <x v="52"/>
    <n v="75.599999999999994"/>
    <n v="695.83"/>
    <n v="0"/>
  </r>
  <r>
    <x v="43"/>
    <x v="52"/>
    <n v="75.599999999999994"/>
    <n v="698.31"/>
    <n v="0"/>
  </r>
  <r>
    <x v="44"/>
    <x v="52"/>
    <n v="75.599999999999994"/>
    <n v="680.83"/>
    <n v="0"/>
  </r>
  <r>
    <x v="45"/>
    <x v="52"/>
    <n v="75.599999999999994"/>
    <n v="699.49"/>
    <n v="0"/>
  </r>
  <r>
    <x v="46"/>
    <x v="52"/>
    <n v="75.599999999999994"/>
    <n v="636.99"/>
    <n v="0"/>
  </r>
  <r>
    <x v="47"/>
    <x v="52"/>
    <n v="75.599999999999994"/>
    <n v="641.4"/>
    <n v="291.67"/>
  </r>
  <r>
    <x v="48"/>
    <x v="52"/>
    <n v="75.599999999999994"/>
    <n v="1286"/>
    <n v="626.91"/>
  </r>
  <r>
    <x v="49"/>
    <x v="52"/>
    <n v="75.599999999999994"/>
    <n v="681.27"/>
    <n v="330.62"/>
  </r>
  <r>
    <x v="50"/>
    <x v="52"/>
    <n v="75.599999999999994"/>
    <n v="712.13"/>
    <n v="357.46"/>
  </r>
  <r>
    <x v="51"/>
    <x v="52"/>
    <n v="75.599999999999994"/>
    <n v="691.45"/>
    <n v="343.57"/>
  </r>
  <r>
    <x v="52"/>
    <x v="52"/>
    <n v="75.599999999999994"/>
    <n v="664.5"/>
    <n v="336.23"/>
  </r>
  <r>
    <x v="53"/>
    <x v="52"/>
    <n v="75.599999999999994"/>
    <n v="705.92"/>
    <n v="0"/>
  </r>
  <r>
    <x v="54"/>
    <x v="52"/>
    <n v="75.599999999999994"/>
    <n v="559.72"/>
    <n v="0"/>
  </r>
  <r>
    <x v="55"/>
    <x v="52"/>
    <n v="75.599999999999994"/>
    <n v="730.99"/>
    <n v="0"/>
  </r>
  <r>
    <x v="56"/>
    <x v="52"/>
    <n v="75.599999999999994"/>
    <n v="658.85"/>
    <n v="0"/>
  </r>
  <r>
    <x v="57"/>
    <x v="52"/>
    <n v="75.599999999999994"/>
    <n v="713.68"/>
    <n v="0"/>
  </r>
  <r>
    <x v="58"/>
    <x v="52"/>
    <n v="75.599999999999994"/>
    <n v="710.29"/>
    <n v="0"/>
  </r>
  <r>
    <x v="59"/>
    <x v="52"/>
    <n v="75.599999999999994"/>
    <n v="684.79"/>
    <n v="355.36"/>
  </r>
  <r>
    <x v="60"/>
    <x v="52"/>
    <n v="75.599999999999994"/>
    <n v="1089.2"/>
    <n v="538.16"/>
  </r>
  <r>
    <x v="61"/>
    <x v="52"/>
    <n v="75.599999999999994"/>
    <n v="682.79"/>
    <n v="366.82"/>
  </r>
  <r>
    <x v="62"/>
    <x v="52"/>
    <n v="75.599999999999994"/>
    <n v="742.22"/>
    <n v="347.43"/>
  </r>
  <r>
    <x v="63"/>
    <x v="52"/>
    <n v="75.599999999999994"/>
    <n v="663.05"/>
    <n v="339.26"/>
  </r>
  <r>
    <x v="64"/>
    <x v="52"/>
    <n v="75.599999999999994"/>
    <n v="775.69"/>
    <n v="0"/>
  </r>
  <r>
    <x v="65"/>
    <x v="52"/>
    <n v="75.599999999999994"/>
    <n v="780.91"/>
    <n v="0"/>
  </r>
  <r>
    <x v="66"/>
    <x v="52"/>
    <n v="75.599999999999994"/>
    <n v="657"/>
    <n v="0"/>
  </r>
  <r>
    <x v="67"/>
    <x v="52"/>
    <n v="75.599999999999994"/>
    <n v="823.73"/>
    <n v="0"/>
  </r>
  <r>
    <x v="68"/>
    <x v="52"/>
    <n v="75.599999999999994"/>
    <n v="536.41"/>
    <n v="0"/>
  </r>
  <r>
    <x v="69"/>
    <x v="52"/>
    <n v="75.599999999999994"/>
    <n v="756.29"/>
    <n v="338.32"/>
  </r>
  <r>
    <x v="70"/>
    <x v="52"/>
    <n v="75.599999999999994"/>
    <n v="836.79"/>
    <n v="420.5"/>
  </r>
  <r>
    <x v="71"/>
    <x v="52"/>
    <n v="75.599999999999994"/>
    <n v="804.33"/>
    <n v="393.45"/>
  </r>
  <r>
    <x v="72"/>
    <x v="52"/>
    <n v="75.599999999999994"/>
    <n v="0"/>
    <n v="0"/>
  </r>
  <r>
    <x v="73"/>
    <x v="52"/>
    <n v="75.599999999999994"/>
    <n v="0"/>
    <n v="0"/>
  </r>
  <r>
    <x v="74"/>
    <x v="52"/>
    <n v="75.599999999999994"/>
    <n v="0"/>
    <n v="0"/>
  </r>
  <r>
    <x v="75"/>
    <x v="52"/>
    <n v="75.599999999999994"/>
    <n v="0"/>
    <n v="0"/>
  </r>
  <r>
    <x v="76"/>
    <x v="52"/>
    <n v="75.599999999999994"/>
    <n v="0"/>
    <n v="0"/>
  </r>
  <r>
    <x v="77"/>
    <x v="52"/>
    <n v="75.599999999999994"/>
    <n v="0"/>
    <n v="0"/>
  </r>
  <r>
    <x v="78"/>
    <x v="52"/>
    <n v="75.599999999999994"/>
    <n v="0"/>
    <n v="0"/>
  </r>
  <r>
    <x v="79"/>
    <x v="52"/>
    <n v="75.599999999999994"/>
    <n v="0"/>
    <n v="0"/>
  </r>
  <r>
    <x v="80"/>
    <x v="52"/>
    <n v="75.599999999999994"/>
    <n v="0"/>
    <n v="0"/>
  </r>
  <r>
    <x v="81"/>
    <x v="52"/>
    <n v="75.599999999999994"/>
    <n v="0"/>
    <n v="0"/>
  </r>
  <r>
    <x v="82"/>
    <x v="52"/>
    <n v="75.599999999999994"/>
    <n v="0"/>
    <n v="0"/>
  </r>
  <r>
    <x v="83"/>
    <x v="52"/>
    <n v="75.599999999999994"/>
    <n v="0"/>
    <n v="0"/>
  </r>
  <r>
    <x v="84"/>
    <x v="52"/>
    <n v="75.599999999999994"/>
    <n v="0"/>
    <n v="0"/>
  </r>
  <r>
    <x v="85"/>
    <x v="52"/>
    <n v="75.599999999999994"/>
    <n v="0"/>
    <n v="0"/>
  </r>
  <r>
    <x v="86"/>
    <x v="52"/>
    <n v="75.599999999999994"/>
    <n v="0"/>
    <n v="0"/>
  </r>
  <r>
    <x v="87"/>
    <x v="52"/>
    <n v="75.599999999999994"/>
    <n v="0"/>
    <n v="0"/>
  </r>
  <r>
    <x v="88"/>
    <x v="52"/>
    <n v="75.599999999999994"/>
    <n v="0"/>
    <n v="0"/>
  </r>
  <r>
    <x v="89"/>
    <x v="52"/>
    <n v="75.599999999999994"/>
    <n v="0"/>
    <n v="0"/>
  </r>
  <r>
    <x v="90"/>
    <x v="52"/>
    <n v="75.599999999999994"/>
    <n v="0"/>
    <n v="0"/>
  </r>
  <r>
    <x v="91"/>
    <x v="52"/>
    <n v="75.599999999999994"/>
    <n v="0"/>
    <n v="0"/>
  </r>
  <r>
    <x v="92"/>
    <x v="52"/>
    <n v="75.599999999999994"/>
    <n v="0"/>
    <n v="0"/>
  </r>
  <r>
    <x v="93"/>
    <x v="52"/>
    <n v="75.599999999999994"/>
    <n v="0"/>
    <n v="0"/>
  </r>
  <r>
    <x v="94"/>
    <x v="52"/>
    <n v="75.599999999999994"/>
    <n v="0"/>
    <n v="0"/>
  </r>
  <r>
    <x v="95"/>
    <x v="52"/>
    <n v="75.599999999999994"/>
    <n v="0"/>
    <n v="0"/>
  </r>
  <r>
    <x v="0"/>
    <x v="53"/>
    <n v="75.900000000000006"/>
    <n v="869.54"/>
    <n v="772.72"/>
  </r>
  <r>
    <x v="1"/>
    <x v="53"/>
    <n v="75.900000000000006"/>
    <n v="617.01"/>
    <n v="494.06"/>
  </r>
  <r>
    <x v="2"/>
    <x v="53"/>
    <n v="75.900000000000006"/>
    <n v="612.25"/>
    <n v="484.91"/>
  </r>
  <r>
    <x v="3"/>
    <x v="53"/>
    <n v="75.900000000000006"/>
    <n v="598.61"/>
    <n v="491.79"/>
  </r>
  <r>
    <x v="4"/>
    <x v="53"/>
    <n v="75.900000000000006"/>
    <n v="592.33000000000004"/>
    <n v="500.98"/>
  </r>
  <r>
    <x v="5"/>
    <x v="53"/>
    <n v="75.900000000000006"/>
    <n v="623.62"/>
    <n v="525.46"/>
  </r>
  <r>
    <x v="6"/>
    <x v="53"/>
    <n v="75.900000000000006"/>
    <n v="583.99"/>
    <n v="481.16"/>
  </r>
  <r>
    <x v="7"/>
    <x v="53"/>
    <n v="75.900000000000006"/>
    <n v="620.95000000000005"/>
    <n v="549.54999999999995"/>
  </r>
  <r>
    <x v="8"/>
    <x v="53"/>
    <n v="75.900000000000006"/>
    <n v="604.47"/>
    <n v="580.53"/>
  </r>
  <r>
    <x v="9"/>
    <x v="53"/>
    <n v="75.900000000000006"/>
    <n v="581.54"/>
    <n v="570.70000000000005"/>
  </r>
  <r>
    <x v="10"/>
    <x v="53"/>
    <n v="75.900000000000006"/>
    <n v="608.37"/>
    <n v="560.33000000000004"/>
  </r>
  <r>
    <x v="11"/>
    <x v="53"/>
    <n v="75.900000000000006"/>
    <n v="515.71"/>
    <n v="-1535.85"/>
  </r>
  <r>
    <x v="12"/>
    <x v="53"/>
    <n v="75.900000000000006"/>
    <n v="1882.21"/>
    <n v="113"/>
  </r>
  <r>
    <x v="13"/>
    <x v="53"/>
    <n v="75.900000000000006"/>
    <n v="993.61"/>
    <n v="76.92"/>
  </r>
  <r>
    <x v="14"/>
    <x v="53"/>
    <n v="75.900000000000006"/>
    <n v="1073.1500000000001"/>
    <n v="94.48"/>
  </r>
  <r>
    <x v="15"/>
    <x v="53"/>
    <n v="75.900000000000006"/>
    <n v="1109.82"/>
    <n v="59.46"/>
  </r>
  <r>
    <x v="16"/>
    <x v="53"/>
    <n v="75.900000000000006"/>
    <n v="1126.02"/>
    <n v="60.02"/>
  </r>
  <r>
    <x v="17"/>
    <x v="53"/>
    <n v="75.900000000000006"/>
    <n v="1145.48"/>
    <n v="57.98"/>
  </r>
  <r>
    <x v="18"/>
    <x v="53"/>
    <n v="75.900000000000006"/>
    <n v="1066.3900000000001"/>
    <n v="56.3"/>
  </r>
  <r>
    <x v="19"/>
    <x v="53"/>
    <n v="75.900000000000006"/>
    <n v="1135.0899999999999"/>
    <n v="65.180000000000007"/>
  </r>
  <r>
    <x v="20"/>
    <x v="53"/>
    <n v="75.900000000000006"/>
    <n v="1270.53"/>
    <n v="70.7"/>
  </r>
  <r>
    <x v="21"/>
    <x v="53"/>
    <n v="75.900000000000006"/>
    <n v="1273.26"/>
    <n v="54.69"/>
  </r>
  <r>
    <x v="22"/>
    <x v="53"/>
    <n v="75.900000000000006"/>
    <n v="1225"/>
    <n v="49.83"/>
  </r>
  <r>
    <x v="23"/>
    <x v="53"/>
    <n v="75.900000000000006"/>
    <n v="1387.27"/>
    <n v="57.68"/>
  </r>
  <r>
    <x v="24"/>
    <x v="53"/>
    <n v="75.900000000000006"/>
    <n v="1157.9100000000001"/>
    <n v="533.47"/>
  </r>
  <r>
    <x v="25"/>
    <x v="53"/>
    <n v="75.900000000000006"/>
    <n v="704.6"/>
    <n v="296.2"/>
  </r>
  <r>
    <x v="26"/>
    <x v="53"/>
    <n v="75.900000000000006"/>
    <n v="681.71"/>
    <n v="305.97000000000003"/>
  </r>
  <r>
    <x v="27"/>
    <x v="53"/>
    <n v="75.900000000000006"/>
    <n v="704.55"/>
    <n v="264.2"/>
  </r>
  <r>
    <x v="28"/>
    <x v="53"/>
    <n v="75.900000000000006"/>
    <n v="643.28"/>
    <n v="272.81"/>
  </r>
  <r>
    <x v="29"/>
    <x v="53"/>
    <n v="75.900000000000006"/>
    <n v="739.66"/>
    <n v="320.37"/>
  </r>
  <r>
    <x v="30"/>
    <x v="53"/>
    <n v="75.900000000000006"/>
    <n v="707.2"/>
    <n v="319.06"/>
  </r>
  <r>
    <x v="31"/>
    <x v="53"/>
    <n v="75.900000000000006"/>
    <n v="729.46"/>
    <n v="326"/>
  </r>
  <r>
    <x v="32"/>
    <x v="53"/>
    <n v="75.900000000000006"/>
    <n v="595.79"/>
    <n v="292.36"/>
  </r>
  <r>
    <x v="33"/>
    <x v="53"/>
    <n v="75.900000000000006"/>
    <n v="677.33"/>
    <n v="318.12"/>
  </r>
  <r>
    <x v="34"/>
    <x v="53"/>
    <n v="75.900000000000006"/>
    <n v="758.38"/>
    <n v="335.81"/>
  </r>
  <r>
    <x v="35"/>
    <x v="53"/>
    <n v="75.900000000000006"/>
    <n v="667.98"/>
    <n v="342.46"/>
  </r>
  <r>
    <x v="36"/>
    <x v="53"/>
    <n v="75.900000000000006"/>
    <n v="1218.6199999999999"/>
    <n v="546.73"/>
  </r>
  <r>
    <x v="37"/>
    <x v="53"/>
    <n v="75.900000000000006"/>
    <n v="646.29999999999995"/>
    <n v="284.47000000000003"/>
  </r>
  <r>
    <x v="38"/>
    <x v="53"/>
    <n v="75.900000000000006"/>
    <n v="778.86"/>
    <n v="338.95"/>
  </r>
  <r>
    <x v="39"/>
    <x v="53"/>
    <n v="75.900000000000006"/>
    <n v="576.45000000000005"/>
    <n v="0"/>
  </r>
  <r>
    <x v="40"/>
    <x v="53"/>
    <n v="75.900000000000006"/>
    <n v="680.89"/>
    <n v="0"/>
  </r>
  <r>
    <x v="41"/>
    <x v="53"/>
    <n v="75.900000000000006"/>
    <n v="753.08"/>
    <n v="295.83"/>
  </r>
  <r>
    <x v="42"/>
    <x v="53"/>
    <n v="75.900000000000006"/>
    <n v="705.08"/>
    <n v="0"/>
  </r>
  <r>
    <x v="43"/>
    <x v="53"/>
    <n v="75.900000000000006"/>
    <n v="701.81"/>
    <n v="0"/>
  </r>
  <r>
    <x v="44"/>
    <x v="53"/>
    <n v="75.900000000000006"/>
    <n v="684.34"/>
    <n v="0"/>
  </r>
  <r>
    <x v="45"/>
    <x v="53"/>
    <n v="75.900000000000006"/>
    <n v="702.79"/>
    <n v="0"/>
  </r>
  <r>
    <x v="46"/>
    <x v="53"/>
    <n v="75.900000000000006"/>
    <n v="639.04"/>
    <n v="0"/>
  </r>
  <r>
    <x v="47"/>
    <x v="53"/>
    <n v="75.900000000000006"/>
    <n v="650.84"/>
    <n v="293.41000000000003"/>
  </r>
  <r>
    <x v="48"/>
    <x v="53"/>
    <n v="75.900000000000006"/>
    <n v="1294.8"/>
    <n v="603.20000000000005"/>
  </r>
  <r>
    <x v="49"/>
    <x v="53"/>
    <n v="75.900000000000006"/>
    <n v="681.37"/>
    <n v="297.43"/>
  </r>
  <r>
    <x v="50"/>
    <x v="53"/>
    <n v="75.900000000000006"/>
    <n v="718.15"/>
    <n v="343.46"/>
  </r>
  <r>
    <x v="51"/>
    <x v="53"/>
    <n v="75.900000000000006"/>
    <n v="699.8"/>
    <n v="332.89"/>
  </r>
  <r>
    <x v="52"/>
    <x v="53"/>
    <n v="75.900000000000006"/>
    <n v="672.36"/>
    <n v="326.62"/>
  </r>
  <r>
    <x v="53"/>
    <x v="53"/>
    <n v="75.900000000000006"/>
    <n v="711.17"/>
    <n v="0"/>
  </r>
  <r>
    <x v="54"/>
    <x v="53"/>
    <n v="75.900000000000006"/>
    <n v="562.46"/>
    <n v="0"/>
  </r>
  <r>
    <x v="55"/>
    <x v="53"/>
    <n v="75.900000000000006"/>
    <n v="737.57"/>
    <n v="0"/>
  </r>
  <r>
    <x v="56"/>
    <x v="53"/>
    <n v="75.900000000000006"/>
    <n v="667.32"/>
    <n v="0"/>
  </r>
  <r>
    <x v="57"/>
    <x v="53"/>
    <n v="75.900000000000006"/>
    <n v="726.3"/>
    <n v="0"/>
  </r>
  <r>
    <x v="58"/>
    <x v="53"/>
    <n v="75.900000000000006"/>
    <n v="712.71"/>
    <n v="0"/>
  </r>
  <r>
    <x v="59"/>
    <x v="53"/>
    <n v="75.900000000000006"/>
    <n v="698.97"/>
    <n v="357.48"/>
  </r>
  <r>
    <x v="60"/>
    <x v="53"/>
    <n v="75.900000000000006"/>
    <n v="1096.7"/>
    <n v="514.53"/>
  </r>
  <r>
    <x v="61"/>
    <x v="53"/>
    <n v="75.900000000000006"/>
    <n v="682.59"/>
    <n v="324.52999999999997"/>
  </r>
  <r>
    <x v="62"/>
    <x v="53"/>
    <n v="75.900000000000006"/>
    <n v="751.73"/>
    <n v="338.05"/>
  </r>
  <r>
    <x v="63"/>
    <x v="53"/>
    <n v="75.900000000000006"/>
    <n v="666.02"/>
    <n v="322.82"/>
  </r>
  <r>
    <x v="64"/>
    <x v="53"/>
    <n v="75.900000000000006"/>
    <n v="779.17"/>
    <n v="0"/>
  </r>
  <r>
    <x v="65"/>
    <x v="53"/>
    <n v="75.900000000000006"/>
    <n v="787.12"/>
    <n v="0"/>
  </r>
  <r>
    <x v="66"/>
    <x v="53"/>
    <n v="75.900000000000006"/>
    <n v="657.57"/>
    <n v="0"/>
  </r>
  <r>
    <x v="67"/>
    <x v="53"/>
    <n v="75.900000000000006"/>
    <n v="829.92"/>
    <n v="0"/>
  </r>
  <r>
    <x v="68"/>
    <x v="53"/>
    <n v="75.900000000000006"/>
    <n v="544.29"/>
    <n v="0"/>
  </r>
  <r>
    <x v="69"/>
    <x v="53"/>
    <n v="75.900000000000006"/>
    <n v="761.1"/>
    <n v="325.19"/>
  </r>
  <r>
    <x v="70"/>
    <x v="53"/>
    <n v="75.900000000000006"/>
    <n v="837.14"/>
    <n v="400.84"/>
  </r>
  <r>
    <x v="71"/>
    <x v="53"/>
    <n v="75.900000000000006"/>
    <n v="808.92"/>
    <n v="384.07"/>
  </r>
  <r>
    <x v="72"/>
    <x v="53"/>
    <n v="75.900000000000006"/>
    <n v="0"/>
    <n v="0"/>
  </r>
  <r>
    <x v="73"/>
    <x v="53"/>
    <n v="75.900000000000006"/>
    <n v="0"/>
    <n v="0"/>
  </r>
  <r>
    <x v="74"/>
    <x v="53"/>
    <n v="75.900000000000006"/>
    <n v="0"/>
    <n v="0"/>
  </r>
  <r>
    <x v="75"/>
    <x v="53"/>
    <n v="75.900000000000006"/>
    <n v="0"/>
    <n v="0"/>
  </r>
  <r>
    <x v="76"/>
    <x v="53"/>
    <n v="75.900000000000006"/>
    <n v="0"/>
    <n v="0"/>
  </r>
  <r>
    <x v="77"/>
    <x v="53"/>
    <n v="75.900000000000006"/>
    <n v="0"/>
    <n v="0"/>
  </r>
  <r>
    <x v="78"/>
    <x v="53"/>
    <n v="75.900000000000006"/>
    <n v="0"/>
    <n v="0"/>
  </r>
  <r>
    <x v="79"/>
    <x v="53"/>
    <n v="75.900000000000006"/>
    <n v="0"/>
    <n v="0"/>
  </r>
  <r>
    <x v="80"/>
    <x v="53"/>
    <n v="75.900000000000006"/>
    <n v="0"/>
    <n v="0"/>
  </r>
  <r>
    <x v="81"/>
    <x v="53"/>
    <n v="75.900000000000006"/>
    <n v="0"/>
    <n v="0"/>
  </r>
  <r>
    <x v="82"/>
    <x v="53"/>
    <n v="75.900000000000006"/>
    <n v="0"/>
    <n v="0"/>
  </r>
  <r>
    <x v="83"/>
    <x v="53"/>
    <n v="75.900000000000006"/>
    <n v="0"/>
    <n v="0"/>
  </r>
  <r>
    <x v="84"/>
    <x v="53"/>
    <n v="75.900000000000006"/>
    <n v="0"/>
    <n v="0"/>
  </r>
  <r>
    <x v="85"/>
    <x v="53"/>
    <n v="75.900000000000006"/>
    <n v="0"/>
    <n v="0"/>
  </r>
  <r>
    <x v="86"/>
    <x v="53"/>
    <n v="75.900000000000006"/>
    <n v="0"/>
    <n v="0"/>
  </r>
  <r>
    <x v="87"/>
    <x v="53"/>
    <n v="75.900000000000006"/>
    <n v="0"/>
    <n v="0"/>
  </r>
  <r>
    <x v="88"/>
    <x v="53"/>
    <n v="75.900000000000006"/>
    <n v="0"/>
    <n v="0"/>
  </r>
  <r>
    <x v="89"/>
    <x v="53"/>
    <n v="75.900000000000006"/>
    <n v="0"/>
    <n v="0"/>
  </r>
  <r>
    <x v="90"/>
    <x v="53"/>
    <n v="75.900000000000006"/>
    <n v="0"/>
    <n v="0"/>
  </r>
  <r>
    <x v="91"/>
    <x v="53"/>
    <n v="75.900000000000006"/>
    <n v="0"/>
    <n v="0"/>
  </r>
  <r>
    <x v="92"/>
    <x v="53"/>
    <n v="75.900000000000006"/>
    <n v="0"/>
    <n v="0"/>
  </r>
  <r>
    <x v="93"/>
    <x v="53"/>
    <n v="75.900000000000006"/>
    <n v="0"/>
    <n v="0"/>
  </r>
  <r>
    <x v="94"/>
    <x v="53"/>
    <n v="75.900000000000006"/>
    <n v="0"/>
    <n v="0"/>
  </r>
  <r>
    <x v="95"/>
    <x v="53"/>
    <n v="75.900000000000006"/>
    <n v="0"/>
    <n v="0"/>
  </r>
  <r>
    <x v="0"/>
    <x v="54"/>
    <n v="76.2"/>
    <n v="882.34"/>
    <n v="690.7"/>
  </r>
  <r>
    <x v="1"/>
    <x v="54"/>
    <n v="76.2"/>
    <n v="632.20000000000005"/>
    <n v="443.76"/>
  </r>
  <r>
    <x v="2"/>
    <x v="54"/>
    <n v="76.2"/>
    <n v="628.54"/>
    <n v="438.35"/>
  </r>
  <r>
    <x v="3"/>
    <x v="54"/>
    <n v="76.2"/>
    <n v="616.42999999999995"/>
    <n v="444.33"/>
  </r>
  <r>
    <x v="4"/>
    <x v="54"/>
    <n v="76.2"/>
    <n v="608.57000000000005"/>
    <n v="449.43"/>
  </r>
  <r>
    <x v="5"/>
    <x v="54"/>
    <n v="76.2"/>
    <n v="642"/>
    <n v="472.78"/>
  </r>
  <r>
    <x v="6"/>
    <x v="54"/>
    <n v="76.2"/>
    <n v="601.32000000000005"/>
    <n v="435.57"/>
  </r>
  <r>
    <x v="7"/>
    <x v="54"/>
    <n v="76.2"/>
    <n v="635.77"/>
    <n v="496.01"/>
  </r>
  <r>
    <x v="8"/>
    <x v="54"/>
    <n v="76.2"/>
    <n v="623.54"/>
    <n v="522.79"/>
  </r>
  <r>
    <x v="9"/>
    <x v="54"/>
    <n v="76.2"/>
    <n v="599.16"/>
    <n v="513.17999999999995"/>
  </r>
  <r>
    <x v="10"/>
    <x v="54"/>
    <n v="76.2"/>
    <n v="627.23"/>
    <n v="501.17"/>
  </r>
  <r>
    <x v="11"/>
    <x v="54"/>
    <n v="76.2"/>
    <n v="525.80999999999995"/>
    <n v="-1581.27"/>
  </r>
  <r>
    <x v="12"/>
    <x v="54"/>
    <n v="76.2"/>
    <n v="1609.5"/>
    <n v="108.71"/>
  </r>
  <r>
    <x v="13"/>
    <x v="54"/>
    <n v="76.2"/>
    <n v="844.84"/>
    <n v="75.87"/>
  </r>
  <r>
    <x v="14"/>
    <x v="54"/>
    <n v="76.2"/>
    <n v="913.87"/>
    <n v="92.26"/>
  </r>
  <r>
    <x v="15"/>
    <x v="54"/>
    <n v="76.2"/>
    <n v="942.38"/>
    <n v="60.05"/>
  </r>
  <r>
    <x v="16"/>
    <x v="54"/>
    <n v="76.2"/>
    <n v="959.53"/>
    <n v="58.58"/>
  </r>
  <r>
    <x v="17"/>
    <x v="54"/>
    <n v="76.2"/>
    <n v="976.7"/>
    <n v="57.43"/>
  </r>
  <r>
    <x v="18"/>
    <x v="54"/>
    <n v="76.2"/>
    <n v="910.46"/>
    <n v="54.6"/>
  </r>
  <r>
    <x v="19"/>
    <x v="54"/>
    <n v="76.2"/>
    <n v="966.04"/>
    <n v="61.81"/>
  </r>
  <r>
    <x v="20"/>
    <x v="54"/>
    <n v="76.2"/>
    <n v="1086.17"/>
    <n v="69.599999999999994"/>
  </r>
  <r>
    <x v="21"/>
    <x v="54"/>
    <n v="76.2"/>
    <n v="1090.08"/>
    <n v="54.54"/>
  </r>
  <r>
    <x v="22"/>
    <x v="54"/>
    <n v="76.2"/>
    <n v="1046.01"/>
    <n v="45.58"/>
  </r>
  <r>
    <x v="23"/>
    <x v="54"/>
    <n v="76.2"/>
    <n v="1191.07"/>
    <n v="59.97"/>
  </r>
  <r>
    <x v="24"/>
    <x v="54"/>
    <n v="76.2"/>
    <n v="1185.43"/>
    <n v="501.05"/>
  </r>
  <r>
    <x v="25"/>
    <x v="54"/>
    <n v="76.2"/>
    <n v="722.86"/>
    <n v="273.47000000000003"/>
  </r>
  <r>
    <x v="26"/>
    <x v="54"/>
    <n v="76.2"/>
    <n v="701.87"/>
    <n v="283.52999999999997"/>
  </r>
  <r>
    <x v="27"/>
    <x v="54"/>
    <n v="76.2"/>
    <n v="731.8"/>
    <n v="251.57"/>
  </r>
  <r>
    <x v="28"/>
    <x v="54"/>
    <n v="76.2"/>
    <n v="662.67"/>
    <n v="243.67"/>
  </r>
  <r>
    <x v="29"/>
    <x v="54"/>
    <n v="76.2"/>
    <n v="761.76"/>
    <n v="300.60000000000002"/>
  </r>
  <r>
    <x v="30"/>
    <x v="54"/>
    <n v="76.2"/>
    <n v="726.33"/>
    <n v="297.24"/>
  </r>
  <r>
    <x v="31"/>
    <x v="54"/>
    <n v="76.2"/>
    <n v="748.77"/>
    <n v="301.63"/>
  </r>
  <r>
    <x v="32"/>
    <x v="54"/>
    <n v="76.2"/>
    <n v="612.69000000000005"/>
    <n v="267.39999999999998"/>
  </r>
  <r>
    <x v="33"/>
    <x v="54"/>
    <n v="76.2"/>
    <n v="697.31"/>
    <n v="294.12"/>
  </r>
  <r>
    <x v="34"/>
    <x v="54"/>
    <n v="76.2"/>
    <n v="779.27"/>
    <n v="311.95999999999998"/>
  </r>
  <r>
    <x v="35"/>
    <x v="54"/>
    <n v="76.2"/>
    <n v="694.7"/>
    <n v="326.95"/>
  </r>
  <r>
    <x v="36"/>
    <x v="54"/>
    <n v="76.2"/>
    <n v="1228.19"/>
    <n v="526.82000000000005"/>
  </r>
  <r>
    <x v="37"/>
    <x v="54"/>
    <n v="76.2"/>
    <n v="649.49"/>
    <n v="265.74"/>
  </r>
  <r>
    <x v="38"/>
    <x v="54"/>
    <n v="76.2"/>
    <n v="784.92"/>
    <n v="326.95999999999998"/>
  </r>
  <r>
    <x v="39"/>
    <x v="54"/>
    <n v="76.2"/>
    <n v="581.12"/>
    <n v="0"/>
  </r>
  <r>
    <x v="40"/>
    <x v="54"/>
    <n v="76.2"/>
    <n v="686.76"/>
    <n v="0"/>
  </r>
  <r>
    <x v="41"/>
    <x v="54"/>
    <n v="76.2"/>
    <n v="762.16"/>
    <n v="291.87"/>
  </r>
  <r>
    <x v="42"/>
    <x v="54"/>
    <n v="76.2"/>
    <n v="715.59"/>
    <n v="0"/>
  </r>
  <r>
    <x v="43"/>
    <x v="54"/>
    <n v="76.2"/>
    <n v="705.89"/>
    <n v="0"/>
  </r>
  <r>
    <x v="44"/>
    <x v="54"/>
    <n v="76.2"/>
    <n v="688.77"/>
    <n v="0"/>
  </r>
  <r>
    <x v="45"/>
    <x v="54"/>
    <n v="76.2"/>
    <n v="706.75"/>
    <n v="0"/>
  </r>
  <r>
    <x v="46"/>
    <x v="54"/>
    <n v="76.2"/>
    <n v="641.27"/>
    <n v="0"/>
  </r>
  <r>
    <x v="47"/>
    <x v="54"/>
    <n v="76.2"/>
    <n v="661.96"/>
    <n v="297.19"/>
  </r>
  <r>
    <x v="48"/>
    <x v="54"/>
    <n v="76.2"/>
    <n v="1304.69"/>
    <n v="584.9"/>
  </r>
  <r>
    <x v="49"/>
    <x v="54"/>
    <n v="76.2"/>
    <n v="681.6"/>
    <n v="263.14"/>
  </r>
  <r>
    <x v="50"/>
    <x v="54"/>
    <n v="76.2"/>
    <n v="724.14"/>
    <n v="331.08"/>
  </r>
  <r>
    <x v="51"/>
    <x v="54"/>
    <n v="76.2"/>
    <n v="708.8"/>
    <n v="324.83999999999997"/>
  </r>
  <r>
    <x v="52"/>
    <x v="54"/>
    <n v="76.2"/>
    <n v="680.99"/>
    <n v="319.60000000000002"/>
  </r>
  <r>
    <x v="53"/>
    <x v="54"/>
    <n v="76.2"/>
    <n v="717.2"/>
    <n v="0"/>
  </r>
  <r>
    <x v="54"/>
    <x v="54"/>
    <n v="76.2"/>
    <n v="565.65"/>
    <n v="0"/>
  </r>
  <r>
    <x v="55"/>
    <x v="54"/>
    <n v="76.2"/>
    <n v="744.94"/>
    <n v="0"/>
  </r>
  <r>
    <x v="56"/>
    <x v="54"/>
    <n v="76.2"/>
    <n v="677.9"/>
    <n v="0"/>
  </r>
  <r>
    <x v="57"/>
    <x v="54"/>
    <n v="76.2"/>
    <n v="740.94"/>
    <n v="0"/>
  </r>
  <r>
    <x v="58"/>
    <x v="54"/>
    <n v="76.2"/>
    <n v="715.51"/>
    <n v="0"/>
  </r>
  <r>
    <x v="59"/>
    <x v="54"/>
    <n v="76.2"/>
    <n v="715.02"/>
    <n v="359.69"/>
  </r>
  <r>
    <x v="60"/>
    <x v="54"/>
    <n v="76.2"/>
    <n v="1105.01"/>
    <n v="496.04"/>
  </r>
  <r>
    <x v="61"/>
    <x v="54"/>
    <n v="76.2"/>
    <n v="682.55"/>
    <n v="278.3"/>
  </r>
  <r>
    <x v="62"/>
    <x v="54"/>
    <n v="76.2"/>
    <n v="761.63"/>
    <n v="332.29"/>
  </r>
  <r>
    <x v="63"/>
    <x v="54"/>
    <n v="76.2"/>
    <n v="668.81"/>
    <n v="307.75"/>
  </r>
  <r>
    <x v="64"/>
    <x v="54"/>
    <n v="76.2"/>
    <n v="782.44"/>
    <n v="0"/>
  </r>
  <r>
    <x v="65"/>
    <x v="54"/>
    <n v="76.2"/>
    <n v="794.26"/>
    <n v="0"/>
  </r>
  <r>
    <x v="66"/>
    <x v="54"/>
    <n v="76.2"/>
    <n v="658.5"/>
    <n v="0"/>
  </r>
  <r>
    <x v="67"/>
    <x v="54"/>
    <n v="76.2"/>
    <n v="836.52"/>
    <n v="0"/>
  </r>
  <r>
    <x v="68"/>
    <x v="54"/>
    <n v="76.2"/>
    <n v="554.34"/>
    <n v="0"/>
  </r>
  <r>
    <x v="69"/>
    <x v="54"/>
    <n v="76.2"/>
    <n v="767.45"/>
    <n v="318.88"/>
  </r>
  <r>
    <x v="70"/>
    <x v="54"/>
    <n v="76.2"/>
    <n v="837.69"/>
    <n v="381.56"/>
  </r>
  <r>
    <x v="71"/>
    <x v="54"/>
    <n v="76.2"/>
    <n v="814.99"/>
    <n v="376.84"/>
  </r>
  <r>
    <x v="72"/>
    <x v="54"/>
    <n v="76.2"/>
    <n v="0"/>
    <n v="0"/>
  </r>
  <r>
    <x v="73"/>
    <x v="54"/>
    <n v="76.2"/>
    <n v="0"/>
    <n v="0"/>
  </r>
  <r>
    <x v="74"/>
    <x v="54"/>
    <n v="76.2"/>
    <n v="0"/>
    <n v="0"/>
  </r>
  <r>
    <x v="75"/>
    <x v="54"/>
    <n v="76.2"/>
    <n v="0"/>
    <n v="0"/>
  </r>
  <r>
    <x v="76"/>
    <x v="54"/>
    <n v="76.2"/>
    <n v="0"/>
    <n v="0"/>
  </r>
  <r>
    <x v="77"/>
    <x v="54"/>
    <n v="76.2"/>
    <n v="0"/>
    <n v="0"/>
  </r>
  <r>
    <x v="78"/>
    <x v="54"/>
    <n v="76.2"/>
    <n v="0"/>
    <n v="0"/>
  </r>
  <r>
    <x v="79"/>
    <x v="54"/>
    <n v="76.2"/>
    <n v="0"/>
    <n v="0"/>
  </r>
  <r>
    <x v="80"/>
    <x v="54"/>
    <n v="76.2"/>
    <n v="0"/>
    <n v="0"/>
  </r>
  <r>
    <x v="81"/>
    <x v="54"/>
    <n v="76.2"/>
    <n v="0"/>
    <n v="0"/>
  </r>
  <r>
    <x v="82"/>
    <x v="54"/>
    <n v="76.2"/>
    <n v="0"/>
    <n v="0"/>
  </r>
  <r>
    <x v="83"/>
    <x v="54"/>
    <n v="76.2"/>
    <n v="0"/>
    <n v="0"/>
  </r>
  <r>
    <x v="84"/>
    <x v="54"/>
    <n v="76.2"/>
    <n v="0"/>
    <n v="0"/>
  </r>
  <r>
    <x v="85"/>
    <x v="54"/>
    <n v="76.2"/>
    <n v="0"/>
    <n v="0"/>
  </r>
  <r>
    <x v="86"/>
    <x v="54"/>
    <n v="76.2"/>
    <n v="0"/>
    <n v="0"/>
  </r>
  <r>
    <x v="87"/>
    <x v="54"/>
    <n v="76.2"/>
    <n v="0"/>
    <n v="0"/>
  </r>
  <r>
    <x v="88"/>
    <x v="54"/>
    <n v="76.2"/>
    <n v="0"/>
    <n v="0"/>
  </r>
  <r>
    <x v="89"/>
    <x v="54"/>
    <n v="76.2"/>
    <n v="0"/>
    <n v="0"/>
  </r>
  <r>
    <x v="90"/>
    <x v="54"/>
    <n v="76.2"/>
    <n v="0"/>
    <n v="0"/>
  </r>
  <r>
    <x v="91"/>
    <x v="54"/>
    <n v="76.2"/>
    <n v="0"/>
    <n v="0"/>
  </r>
  <r>
    <x v="92"/>
    <x v="54"/>
    <n v="76.2"/>
    <n v="0"/>
    <n v="0"/>
  </r>
  <r>
    <x v="93"/>
    <x v="54"/>
    <n v="76.2"/>
    <n v="0"/>
    <n v="0"/>
  </r>
  <r>
    <x v="94"/>
    <x v="54"/>
    <n v="76.2"/>
    <n v="0"/>
    <n v="0"/>
  </r>
  <r>
    <x v="95"/>
    <x v="54"/>
    <n v="76.2"/>
    <n v="0"/>
    <n v="0"/>
  </r>
  <r>
    <x v="0"/>
    <x v="55"/>
    <n v="76.5"/>
    <n v="898.17"/>
    <n v="617.71"/>
  </r>
  <r>
    <x v="1"/>
    <x v="55"/>
    <n v="76.5"/>
    <n v="649.84"/>
    <n v="400.12"/>
  </r>
  <r>
    <x v="2"/>
    <x v="55"/>
    <n v="76.5"/>
    <n v="647.39"/>
    <n v="396.49"/>
  </r>
  <r>
    <x v="3"/>
    <x v="55"/>
    <n v="76.5"/>
    <n v="637"/>
    <n v="402.31"/>
  </r>
  <r>
    <x v="4"/>
    <x v="55"/>
    <n v="76.5"/>
    <n v="627.32000000000005"/>
    <n v="404.94"/>
  </r>
  <r>
    <x v="5"/>
    <x v="55"/>
    <n v="76.5"/>
    <n v="662.99"/>
    <n v="426.4"/>
  </r>
  <r>
    <x v="6"/>
    <x v="55"/>
    <n v="76.5"/>
    <n v="620.86"/>
    <n v="394.52"/>
  </r>
  <r>
    <x v="7"/>
    <x v="55"/>
    <n v="76.5"/>
    <n v="652.99"/>
    <n v="448.27"/>
  </r>
  <r>
    <x v="8"/>
    <x v="55"/>
    <n v="76.5"/>
    <n v="644.85"/>
    <n v="470.59"/>
  </r>
  <r>
    <x v="9"/>
    <x v="55"/>
    <n v="76.5"/>
    <n v="618.92999999999995"/>
    <n v="461.56"/>
  </r>
  <r>
    <x v="10"/>
    <x v="55"/>
    <n v="76.5"/>
    <n v="648.42999999999995"/>
    <n v="447.99"/>
  </r>
  <r>
    <x v="11"/>
    <x v="55"/>
    <n v="76.5"/>
    <n v="548.15"/>
    <n v="-1623.6"/>
  </r>
  <r>
    <x v="12"/>
    <x v="55"/>
    <n v="76.5"/>
    <n v="1362.77"/>
    <n v="104.6"/>
  </r>
  <r>
    <x v="13"/>
    <x v="55"/>
    <n v="76.5"/>
    <n v="715.52"/>
    <n v="75.209999999999994"/>
  </r>
  <r>
    <x v="14"/>
    <x v="55"/>
    <n v="76.5"/>
    <n v="774.72"/>
    <n v="89.57"/>
  </r>
  <r>
    <x v="15"/>
    <x v="55"/>
    <n v="76.5"/>
    <n v="796.21"/>
    <n v="61.4"/>
  </r>
  <r>
    <x v="16"/>
    <x v="55"/>
    <n v="76.5"/>
    <n v="812.27"/>
    <n v="57.77"/>
  </r>
  <r>
    <x v="17"/>
    <x v="55"/>
    <n v="76.5"/>
    <n v="827.98"/>
    <n v="58.69"/>
  </r>
  <r>
    <x v="18"/>
    <x v="55"/>
    <n v="76.5"/>
    <n v="772.19"/>
    <n v="53.58"/>
  </r>
  <r>
    <x v="19"/>
    <x v="55"/>
    <n v="76.5"/>
    <n v="816.93"/>
    <n v="58.86"/>
  </r>
  <r>
    <x v="20"/>
    <x v="55"/>
    <n v="76.5"/>
    <n v="920.99"/>
    <n v="68.069999999999993"/>
  </r>
  <r>
    <x v="21"/>
    <x v="55"/>
    <n v="76.5"/>
    <n v="925.21"/>
    <n v="54.58"/>
  </r>
  <r>
    <x v="22"/>
    <x v="55"/>
    <n v="76.5"/>
    <n v="886.02"/>
    <n v="41.95"/>
  </r>
  <r>
    <x v="23"/>
    <x v="55"/>
    <n v="76.5"/>
    <n v="1012.74"/>
    <n v="62.15"/>
  </r>
  <r>
    <x v="24"/>
    <x v="55"/>
    <n v="76.5"/>
    <n v="1216.95"/>
    <n v="474.17"/>
  </r>
  <r>
    <x v="25"/>
    <x v="55"/>
    <n v="76.5"/>
    <n v="744.4"/>
    <n v="256.61"/>
  </r>
  <r>
    <x v="26"/>
    <x v="55"/>
    <n v="76.5"/>
    <n v="724.83"/>
    <n v="264.19"/>
  </r>
  <r>
    <x v="27"/>
    <x v="55"/>
    <n v="76.5"/>
    <n v="762.26"/>
    <n v="247.95"/>
  </r>
  <r>
    <x v="28"/>
    <x v="55"/>
    <n v="76.5"/>
    <n v="685.26"/>
    <n v="224.59"/>
  </r>
  <r>
    <x v="29"/>
    <x v="55"/>
    <n v="76.5"/>
    <n v="787.38"/>
    <n v="286.67"/>
  </r>
  <r>
    <x v="30"/>
    <x v="55"/>
    <n v="76.5"/>
    <n v="748.2"/>
    <n v="277.45"/>
  </r>
  <r>
    <x v="31"/>
    <x v="55"/>
    <n v="76.5"/>
    <n v="771.16"/>
    <n v="281.47000000000003"/>
  </r>
  <r>
    <x v="32"/>
    <x v="55"/>
    <n v="76.5"/>
    <n v="632.52"/>
    <n v="246.71"/>
  </r>
  <r>
    <x v="33"/>
    <x v="55"/>
    <n v="76.5"/>
    <n v="720.4"/>
    <n v="275.10000000000002"/>
  </r>
  <r>
    <x v="34"/>
    <x v="55"/>
    <n v="76.5"/>
    <n v="803.38"/>
    <n v="291.05"/>
  </r>
  <r>
    <x v="35"/>
    <x v="55"/>
    <n v="76.5"/>
    <n v="724.98"/>
    <n v="312.69"/>
  </r>
  <r>
    <x v="36"/>
    <x v="55"/>
    <n v="76.5"/>
    <n v="1238.98"/>
    <n v="510.52"/>
  </r>
  <r>
    <x v="37"/>
    <x v="55"/>
    <n v="76.5"/>
    <n v="653.46"/>
    <n v="250.54"/>
  </r>
  <r>
    <x v="38"/>
    <x v="55"/>
    <n v="76.5"/>
    <n v="791.98"/>
    <n v="322.37"/>
  </r>
  <r>
    <x v="39"/>
    <x v="55"/>
    <n v="76.5"/>
    <n v="587.33000000000004"/>
    <n v="0"/>
  </r>
  <r>
    <x v="40"/>
    <x v="55"/>
    <n v="76.5"/>
    <n v="694.91"/>
    <n v="0"/>
  </r>
  <r>
    <x v="41"/>
    <x v="55"/>
    <n v="76.5"/>
    <n v="772.79"/>
    <n v="295.76"/>
  </r>
  <r>
    <x v="42"/>
    <x v="55"/>
    <n v="76.5"/>
    <n v="727.78"/>
    <n v="0"/>
  </r>
  <r>
    <x v="43"/>
    <x v="55"/>
    <n v="76.5"/>
    <n v="710.76"/>
    <n v="0"/>
  </r>
  <r>
    <x v="44"/>
    <x v="55"/>
    <n v="76.5"/>
    <n v="694.43"/>
    <n v="0"/>
  </r>
  <r>
    <x v="45"/>
    <x v="55"/>
    <n v="76.5"/>
    <n v="711.64"/>
    <n v="0"/>
  </r>
  <r>
    <x v="46"/>
    <x v="55"/>
    <n v="76.5"/>
    <n v="643.86"/>
    <n v="0"/>
  </r>
  <r>
    <x v="47"/>
    <x v="55"/>
    <n v="76.5"/>
    <n v="675"/>
    <n v="301.86"/>
  </r>
  <r>
    <x v="48"/>
    <x v="55"/>
    <n v="76.5"/>
    <n v="1315.87"/>
    <n v="568.52"/>
  </r>
  <r>
    <x v="49"/>
    <x v="55"/>
    <n v="76.5"/>
    <n v="682.47"/>
    <n v="229.92"/>
  </r>
  <r>
    <x v="50"/>
    <x v="55"/>
    <n v="76.5"/>
    <n v="730.42"/>
    <n v="320.83999999999997"/>
  </r>
  <r>
    <x v="51"/>
    <x v="55"/>
    <n v="76.5"/>
    <n v="718.89"/>
    <n v="319.58999999999997"/>
  </r>
  <r>
    <x v="52"/>
    <x v="55"/>
    <n v="76.5"/>
    <n v="690.73"/>
    <n v="315.35000000000002"/>
  </r>
  <r>
    <x v="53"/>
    <x v="55"/>
    <n v="76.5"/>
    <n v="724.41"/>
    <n v="0"/>
  </r>
  <r>
    <x v="54"/>
    <x v="55"/>
    <n v="76.5"/>
    <n v="569.62"/>
    <n v="0"/>
  </r>
  <r>
    <x v="55"/>
    <x v="55"/>
    <n v="76.5"/>
    <n v="753.32"/>
    <n v="0"/>
  </r>
  <r>
    <x v="56"/>
    <x v="55"/>
    <n v="76.5"/>
    <n v="691.12"/>
    <n v="0"/>
  </r>
  <r>
    <x v="57"/>
    <x v="55"/>
    <n v="76.5"/>
    <n v="757.79"/>
    <n v="0"/>
  </r>
  <r>
    <x v="58"/>
    <x v="55"/>
    <n v="76.5"/>
    <n v="718.95"/>
    <n v="0"/>
  </r>
  <r>
    <x v="59"/>
    <x v="55"/>
    <n v="76.5"/>
    <n v="733.03"/>
    <n v="361.71"/>
  </r>
  <r>
    <x v="60"/>
    <x v="55"/>
    <n v="76.5"/>
    <n v="1114.26"/>
    <n v="481.96"/>
  </r>
  <r>
    <x v="61"/>
    <x v="55"/>
    <n v="76.5"/>
    <n v="683.1"/>
    <n v="242.21"/>
  </r>
  <r>
    <x v="62"/>
    <x v="55"/>
    <n v="76.5"/>
    <n v="772.22"/>
    <n v="328.81"/>
  </r>
  <r>
    <x v="63"/>
    <x v="55"/>
    <n v="76.5"/>
    <n v="671.7"/>
    <n v="294.70999999999998"/>
  </r>
  <r>
    <x v="64"/>
    <x v="55"/>
    <n v="76.5"/>
    <n v="785.71"/>
    <n v="0"/>
  </r>
  <r>
    <x v="65"/>
    <x v="55"/>
    <n v="76.5"/>
    <n v="802.78"/>
    <n v="0"/>
  </r>
  <r>
    <x v="66"/>
    <x v="55"/>
    <n v="76.5"/>
    <n v="660.14"/>
    <n v="0"/>
  </r>
  <r>
    <x v="67"/>
    <x v="55"/>
    <n v="76.5"/>
    <n v="843.87"/>
    <n v="0"/>
  </r>
  <r>
    <x v="68"/>
    <x v="55"/>
    <n v="76.5"/>
    <n v="566.88"/>
    <n v="0"/>
  </r>
  <r>
    <x v="69"/>
    <x v="55"/>
    <n v="76.5"/>
    <n v="775.72"/>
    <n v="318.23"/>
  </r>
  <r>
    <x v="70"/>
    <x v="55"/>
    <n v="76.5"/>
    <n v="838.73"/>
    <n v="363.09"/>
  </r>
  <r>
    <x v="71"/>
    <x v="55"/>
    <n v="76.5"/>
    <n v="822.93"/>
    <n v="371.77"/>
  </r>
  <r>
    <x v="72"/>
    <x v="55"/>
    <n v="76.5"/>
    <n v="0"/>
    <n v="0"/>
  </r>
  <r>
    <x v="73"/>
    <x v="55"/>
    <n v="76.5"/>
    <n v="0"/>
    <n v="0"/>
  </r>
  <r>
    <x v="74"/>
    <x v="55"/>
    <n v="76.5"/>
    <n v="0"/>
    <n v="0"/>
  </r>
  <r>
    <x v="75"/>
    <x v="55"/>
    <n v="76.5"/>
    <n v="0"/>
    <n v="0"/>
  </r>
  <r>
    <x v="76"/>
    <x v="55"/>
    <n v="76.5"/>
    <n v="0"/>
    <n v="0"/>
  </r>
  <r>
    <x v="77"/>
    <x v="55"/>
    <n v="76.5"/>
    <n v="0"/>
    <n v="0"/>
  </r>
  <r>
    <x v="78"/>
    <x v="55"/>
    <n v="76.5"/>
    <n v="0"/>
    <n v="0"/>
  </r>
  <r>
    <x v="79"/>
    <x v="55"/>
    <n v="76.5"/>
    <n v="0"/>
    <n v="0"/>
  </r>
  <r>
    <x v="80"/>
    <x v="55"/>
    <n v="76.5"/>
    <n v="0"/>
    <n v="0"/>
  </r>
  <r>
    <x v="81"/>
    <x v="55"/>
    <n v="76.5"/>
    <n v="0"/>
    <n v="0"/>
  </r>
  <r>
    <x v="82"/>
    <x v="55"/>
    <n v="76.5"/>
    <n v="0"/>
    <n v="0"/>
  </r>
  <r>
    <x v="83"/>
    <x v="55"/>
    <n v="76.5"/>
    <n v="0"/>
    <n v="0"/>
  </r>
  <r>
    <x v="84"/>
    <x v="55"/>
    <n v="76.5"/>
    <n v="0"/>
    <n v="0"/>
  </r>
  <r>
    <x v="85"/>
    <x v="55"/>
    <n v="76.5"/>
    <n v="0"/>
    <n v="0"/>
  </r>
  <r>
    <x v="86"/>
    <x v="55"/>
    <n v="76.5"/>
    <n v="0"/>
    <n v="0"/>
  </r>
  <r>
    <x v="87"/>
    <x v="55"/>
    <n v="76.5"/>
    <n v="0"/>
    <n v="0"/>
  </r>
  <r>
    <x v="88"/>
    <x v="55"/>
    <n v="76.5"/>
    <n v="0"/>
    <n v="0"/>
  </r>
  <r>
    <x v="89"/>
    <x v="55"/>
    <n v="76.5"/>
    <n v="0"/>
    <n v="0"/>
  </r>
  <r>
    <x v="90"/>
    <x v="55"/>
    <n v="76.5"/>
    <n v="0"/>
    <n v="0"/>
  </r>
  <r>
    <x v="91"/>
    <x v="55"/>
    <n v="76.5"/>
    <n v="0"/>
    <n v="0"/>
  </r>
  <r>
    <x v="92"/>
    <x v="55"/>
    <n v="76.5"/>
    <n v="0"/>
    <n v="0"/>
  </r>
  <r>
    <x v="93"/>
    <x v="55"/>
    <n v="76.5"/>
    <n v="0"/>
    <n v="0"/>
  </r>
  <r>
    <x v="94"/>
    <x v="55"/>
    <n v="76.5"/>
    <n v="0"/>
    <n v="0"/>
  </r>
  <r>
    <x v="95"/>
    <x v="55"/>
    <n v="76.5"/>
    <n v="0"/>
    <n v="0"/>
  </r>
  <r>
    <x v="0"/>
    <x v="56"/>
    <n v="76.8"/>
    <n v="917.66"/>
    <n v="554.4"/>
  </r>
  <r>
    <x v="1"/>
    <x v="56"/>
    <n v="76.8"/>
    <n v="670.31"/>
    <n v="363.03"/>
  </r>
  <r>
    <x v="2"/>
    <x v="56"/>
    <n v="76.8"/>
    <n v="669.1"/>
    <n v="359.28"/>
  </r>
  <r>
    <x v="3"/>
    <x v="56"/>
    <n v="76.8"/>
    <n v="660.62"/>
    <n v="365.82"/>
  </r>
  <r>
    <x v="4"/>
    <x v="56"/>
    <n v="76.8"/>
    <n v="648.87"/>
    <n v="367.44"/>
  </r>
  <r>
    <x v="5"/>
    <x v="56"/>
    <n v="76.8"/>
    <n v="686.83"/>
    <n v="386.66"/>
  </r>
  <r>
    <x v="6"/>
    <x v="56"/>
    <n v="76.8"/>
    <n v="642.91"/>
    <n v="357.59"/>
  </r>
  <r>
    <x v="7"/>
    <x v="56"/>
    <n v="76.8"/>
    <n v="672.97"/>
    <n v="406.56"/>
  </r>
  <r>
    <x v="8"/>
    <x v="56"/>
    <n v="76.8"/>
    <n v="668.58"/>
    <n v="424.92"/>
  </r>
  <r>
    <x v="9"/>
    <x v="56"/>
    <n v="76.8"/>
    <n v="641.09"/>
    <n v="416.29"/>
  </r>
  <r>
    <x v="10"/>
    <x v="56"/>
    <n v="76.8"/>
    <n v="672.22"/>
    <n v="401.76"/>
  </r>
  <r>
    <x v="11"/>
    <x v="56"/>
    <n v="76.8"/>
    <n v="586.39"/>
    <n v="-1662.42"/>
  </r>
  <r>
    <x v="12"/>
    <x v="56"/>
    <n v="76.8"/>
    <n v="1146.3399999999999"/>
    <n v="100.84"/>
  </r>
  <r>
    <x v="13"/>
    <x v="56"/>
    <n v="76.8"/>
    <n v="605.44000000000005"/>
    <n v="75.02"/>
  </r>
  <r>
    <x v="14"/>
    <x v="56"/>
    <n v="76.8"/>
    <n v="655.49"/>
    <n v="86.69"/>
  </r>
  <r>
    <x v="15"/>
    <x v="56"/>
    <n v="76.8"/>
    <n v="671.19"/>
    <n v="63.13"/>
  </r>
  <r>
    <x v="16"/>
    <x v="56"/>
    <n v="76.8"/>
    <n v="685.18"/>
    <n v="57.71"/>
  </r>
  <r>
    <x v="17"/>
    <x v="56"/>
    <n v="76.8"/>
    <n v="699.87"/>
    <n v="61.29"/>
  </r>
  <r>
    <x v="18"/>
    <x v="56"/>
    <n v="76.8"/>
    <n v="652.22"/>
    <n v="53.11"/>
  </r>
  <r>
    <x v="19"/>
    <x v="56"/>
    <n v="76.8"/>
    <n v="688.52"/>
    <n v="56.63"/>
  </r>
  <r>
    <x v="20"/>
    <x v="56"/>
    <n v="76.8"/>
    <n v="777.27"/>
    <n v="66.23"/>
  </r>
  <r>
    <x v="21"/>
    <x v="56"/>
    <n v="76.8"/>
    <n v="780.93"/>
    <n v="54.98"/>
  </r>
  <r>
    <x v="22"/>
    <x v="56"/>
    <n v="76.8"/>
    <n v="746.78"/>
    <n v="39.659999999999997"/>
  </r>
  <r>
    <x v="23"/>
    <x v="56"/>
    <n v="76.8"/>
    <n v="855.58"/>
    <n v="64.22"/>
  </r>
  <r>
    <x v="24"/>
    <x v="56"/>
    <n v="76.8"/>
    <n v="1253.04"/>
    <n v="452.13"/>
  </r>
  <r>
    <x v="25"/>
    <x v="56"/>
    <n v="76.8"/>
    <n v="769.89"/>
    <n v="245.26"/>
  </r>
  <r>
    <x v="26"/>
    <x v="56"/>
    <n v="76.8"/>
    <n v="751.09"/>
    <n v="246.66"/>
  </r>
  <r>
    <x v="27"/>
    <x v="56"/>
    <n v="76.8"/>
    <n v="796.66"/>
    <n v="248.8"/>
  </r>
  <r>
    <x v="28"/>
    <x v="56"/>
    <n v="76.8"/>
    <n v="711.69"/>
    <n v="214.66"/>
  </r>
  <r>
    <x v="29"/>
    <x v="56"/>
    <n v="76.8"/>
    <n v="817.09"/>
    <n v="277.35000000000002"/>
  </r>
  <r>
    <x v="30"/>
    <x v="56"/>
    <n v="76.8"/>
    <n v="773.32"/>
    <n v="259.97000000000003"/>
  </r>
  <r>
    <x v="31"/>
    <x v="56"/>
    <n v="76.8"/>
    <n v="797.17"/>
    <n v="265.77999999999997"/>
  </r>
  <r>
    <x v="32"/>
    <x v="56"/>
    <n v="76.8"/>
    <n v="655.83"/>
    <n v="230.41"/>
  </r>
  <r>
    <x v="33"/>
    <x v="56"/>
    <n v="76.8"/>
    <n v="747.1"/>
    <n v="261.07"/>
  </r>
  <r>
    <x v="34"/>
    <x v="56"/>
    <n v="76.8"/>
    <n v="831.25"/>
    <n v="273.20999999999998"/>
  </r>
  <r>
    <x v="35"/>
    <x v="56"/>
    <n v="76.8"/>
    <n v="759"/>
    <n v="300.32"/>
  </r>
  <r>
    <x v="36"/>
    <x v="56"/>
    <n v="76.8"/>
    <n v="1251.19"/>
    <n v="497.35"/>
  </r>
  <r>
    <x v="37"/>
    <x v="56"/>
    <n v="76.8"/>
    <n v="658.59"/>
    <n v="238.93"/>
  </r>
  <r>
    <x v="38"/>
    <x v="56"/>
    <n v="76.8"/>
    <n v="800.45"/>
    <n v="322.02999999999997"/>
  </r>
  <r>
    <x v="39"/>
    <x v="56"/>
    <n v="76.8"/>
    <n v="595.58000000000004"/>
    <n v="0"/>
  </r>
  <r>
    <x v="40"/>
    <x v="56"/>
    <n v="76.8"/>
    <n v="705.97"/>
    <n v="0"/>
  </r>
  <r>
    <x v="41"/>
    <x v="56"/>
    <n v="76.8"/>
    <n v="785.45"/>
    <n v="303.77999999999997"/>
  </r>
  <r>
    <x v="42"/>
    <x v="56"/>
    <n v="76.8"/>
    <n v="742.08"/>
    <n v="0"/>
  </r>
  <r>
    <x v="43"/>
    <x v="56"/>
    <n v="76.8"/>
    <n v="716.68"/>
    <n v="0"/>
  </r>
  <r>
    <x v="44"/>
    <x v="56"/>
    <n v="76.8"/>
    <n v="701.68"/>
    <n v="0"/>
  </r>
  <r>
    <x v="45"/>
    <x v="56"/>
    <n v="76.8"/>
    <n v="717.8"/>
    <n v="0"/>
  </r>
  <r>
    <x v="46"/>
    <x v="56"/>
    <n v="76.8"/>
    <n v="646.99"/>
    <n v="0"/>
  </r>
  <r>
    <x v="47"/>
    <x v="56"/>
    <n v="76.8"/>
    <n v="690.14"/>
    <n v="306.52999999999997"/>
  </r>
  <r>
    <x v="48"/>
    <x v="56"/>
    <n v="76.8"/>
    <n v="1328.52"/>
    <n v="553.32000000000005"/>
  </r>
  <r>
    <x v="49"/>
    <x v="56"/>
    <n v="76.8"/>
    <n v="684.61"/>
    <n v="200.56"/>
  </r>
  <r>
    <x v="50"/>
    <x v="56"/>
    <n v="76.8"/>
    <n v="737.35"/>
    <n v="313.06"/>
  </r>
  <r>
    <x v="51"/>
    <x v="56"/>
    <n v="76.8"/>
    <n v="730.47"/>
    <n v="317.04000000000002"/>
  </r>
  <r>
    <x v="52"/>
    <x v="56"/>
    <n v="76.8"/>
    <n v="701.97"/>
    <n v="313.76"/>
  </r>
  <r>
    <x v="53"/>
    <x v="56"/>
    <n v="76.8"/>
    <n v="733.22"/>
    <n v="0"/>
  </r>
  <r>
    <x v="54"/>
    <x v="56"/>
    <n v="76.8"/>
    <n v="574.72"/>
    <n v="0"/>
  </r>
  <r>
    <x v="55"/>
    <x v="56"/>
    <n v="76.8"/>
    <n v="762.93"/>
    <n v="0"/>
  </r>
  <r>
    <x v="56"/>
    <x v="56"/>
    <n v="76.8"/>
    <n v="707.47"/>
    <n v="0"/>
  </r>
  <r>
    <x v="57"/>
    <x v="56"/>
    <n v="76.8"/>
    <n v="776.96"/>
    <n v="0"/>
  </r>
  <r>
    <x v="58"/>
    <x v="56"/>
    <n v="76.8"/>
    <n v="723.29"/>
    <n v="0"/>
  </r>
  <r>
    <x v="59"/>
    <x v="56"/>
    <n v="76.8"/>
    <n v="753.01"/>
    <n v="363.24"/>
  </r>
  <r>
    <x v="60"/>
    <x v="56"/>
    <n v="76.8"/>
    <n v="1124.5999999999999"/>
    <n v="471.1"/>
  </r>
  <r>
    <x v="61"/>
    <x v="56"/>
    <n v="76.8"/>
    <n v="684.76"/>
    <n v="221.32"/>
  </r>
  <r>
    <x v="62"/>
    <x v="56"/>
    <n v="76.8"/>
    <n v="783.85"/>
    <n v="326.25"/>
  </r>
  <r>
    <x v="63"/>
    <x v="56"/>
    <n v="76.8"/>
    <n v="675.02"/>
    <n v="284.14"/>
  </r>
  <r>
    <x v="64"/>
    <x v="56"/>
    <n v="76.8"/>
    <n v="789.2"/>
    <n v="0"/>
  </r>
  <r>
    <x v="65"/>
    <x v="56"/>
    <n v="76.8"/>
    <n v="813.15"/>
    <n v="0"/>
  </r>
  <r>
    <x v="66"/>
    <x v="56"/>
    <n v="76.8"/>
    <n v="662.95"/>
    <n v="0"/>
  </r>
  <r>
    <x v="67"/>
    <x v="56"/>
    <n v="76.8"/>
    <n v="852.32"/>
    <n v="0"/>
  </r>
  <r>
    <x v="68"/>
    <x v="56"/>
    <n v="76.8"/>
    <n v="582.13"/>
    <n v="0"/>
  </r>
  <r>
    <x v="69"/>
    <x v="56"/>
    <n v="76.8"/>
    <n v="786.29"/>
    <n v="321.51"/>
  </r>
  <r>
    <x v="70"/>
    <x v="56"/>
    <n v="76.8"/>
    <n v="840.54"/>
    <n v="345.71"/>
  </r>
  <r>
    <x v="71"/>
    <x v="56"/>
    <n v="76.8"/>
    <n v="833.11"/>
    <n v="368.65"/>
  </r>
  <r>
    <x v="72"/>
    <x v="56"/>
    <n v="76.8"/>
    <n v="0"/>
    <n v="0"/>
  </r>
  <r>
    <x v="73"/>
    <x v="56"/>
    <n v="76.8"/>
    <n v="0"/>
    <n v="0"/>
  </r>
  <r>
    <x v="74"/>
    <x v="56"/>
    <n v="76.8"/>
    <n v="0"/>
    <n v="0"/>
  </r>
  <r>
    <x v="75"/>
    <x v="56"/>
    <n v="76.8"/>
    <n v="0"/>
    <n v="0"/>
  </r>
  <r>
    <x v="76"/>
    <x v="56"/>
    <n v="76.8"/>
    <n v="0"/>
    <n v="0"/>
  </r>
  <r>
    <x v="77"/>
    <x v="56"/>
    <n v="76.8"/>
    <n v="0"/>
    <n v="0"/>
  </r>
  <r>
    <x v="78"/>
    <x v="56"/>
    <n v="76.8"/>
    <n v="0"/>
    <n v="0"/>
  </r>
  <r>
    <x v="79"/>
    <x v="56"/>
    <n v="76.8"/>
    <n v="0"/>
    <n v="0"/>
  </r>
  <r>
    <x v="80"/>
    <x v="56"/>
    <n v="76.8"/>
    <n v="0"/>
    <n v="0"/>
  </r>
  <r>
    <x v="81"/>
    <x v="56"/>
    <n v="76.8"/>
    <n v="0"/>
    <n v="0"/>
  </r>
  <r>
    <x v="82"/>
    <x v="56"/>
    <n v="76.8"/>
    <n v="0"/>
    <n v="0"/>
  </r>
  <r>
    <x v="83"/>
    <x v="56"/>
    <n v="76.8"/>
    <n v="0"/>
    <n v="0"/>
  </r>
  <r>
    <x v="84"/>
    <x v="56"/>
    <n v="76.8"/>
    <n v="0"/>
    <n v="0"/>
  </r>
  <r>
    <x v="85"/>
    <x v="56"/>
    <n v="76.8"/>
    <n v="0"/>
    <n v="0"/>
  </r>
  <r>
    <x v="86"/>
    <x v="56"/>
    <n v="76.8"/>
    <n v="0"/>
    <n v="0"/>
  </r>
  <r>
    <x v="87"/>
    <x v="56"/>
    <n v="76.8"/>
    <n v="0"/>
    <n v="0"/>
  </r>
  <r>
    <x v="88"/>
    <x v="56"/>
    <n v="76.8"/>
    <n v="0"/>
    <n v="0"/>
  </r>
  <r>
    <x v="89"/>
    <x v="56"/>
    <n v="76.8"/>
    <n v="0"/>
    <n v="0"/>
  </r>
  <r>
    <x v="90"/>
    <x v="56"/>
    <n v="76.8"/>
    <n v="0"/>
    <n v="0"/>
  </r>
  <r>
    <x v="91"/>
    <x v="56"/>
    <n v="76.8"/>
    <n v="0"/>
    <n v="0"/>
  </r>
  <r>
    <x v="92"/>
    <x v="56"/>
    <n v="76.8"/>
    <n v="0"/>
    <n v="0"/>
  </r>
  <r>
    <x v="93"/>
    <x v="56"/>
    <n v="76.8"/>
    <n v="0"/>
    <n v="0"/>
  </r>
  <r>
    <x v="94"/>
    <x v="56"/>
    <n v="76.8"/>
    <n v="0"/>
    <n v="0"/>
  </r>
  <r>
    <x v="95"/>
    <x v="56"/>
    <n v="76.8"/>
    <n v="0"/>
    <n v="0"/>
  </r>
  <r>
    <x v="0"/>
    <x v="57"/>
    <n v="77.099999999999994"/>
    <n v="941.45"/>
    <n v="500.71"/>
  </r>
  <r>
    <x v="1"/>
    <x v="57"/>
    <n v="77.099999999999994"/>
    <n v="693.95"/>
    <n v="332.09"/>
  </r>
  <r>
    <x v="2"/>
    <x v="57"/>
    <n v="77.099999999999994"/>
    <n v="693.99"/>
    <n v="327.39999999999998"/>
  </r>
  <r>
    <x v="3"/>
    <x v="57"/>
    <n v="77.099999999999994"/>
    <n v="687.55"/>
    <n v="334.89"/>
  </r>
  <r>
    <x v="4"/>
    <x v="57"/>
    <n v="77.099999999999994"/>
    <n v="673.53"/>
    <n v="336.38"/>
  </r>
  <r>
    <x v="5"/>
    <x v="57"/>
    <n v="77.099999999999994"/>
    <n v="713.79"/>
    <n v="353.39"/>
  </r>
  <r>
    <x v="6"/>
    <x v="57"/>
    <n v="77.099999999999994"/>
    <n v="667.75"/>
    <n v="325.54000000000002"/>
  </r>
  <r>
    <x v="7"/>
    <x v="57"/>
    <n v="77.099999999999994"/>
    <n v="696.1"/>
    <n v="371.01"/>
  </r>
  <r>
    <x v="8"/>
    <x v="57"/>
    <n v="77.099999999999994"/>
    <n v="694.97"/>
    <n v="386.08"/>
  </r>
  <r>
    <x v="9"/>
    <x v="57"/>
    <n v="77.099999999999994"/>
    <n v="665.87"/>
    <n v="377.56"/>
  </r>
  <r>
    <x v="10"/>
    <x v="57"/>
    <n v="77.099999999999994"/>
    <n v="698.9"/>
    <n v="362.83"/>
  </r>
  <r>
    <x v="11"/>
    <x v="57"/>
    <n v="77.099999999999994"/>
    <n v="644.52"/>
    <n v="-1697.26"/>
  </r>
  <r>
    <x v="12"/>
    <x v="57"/>
    <n v="77.099999999999994"/>
    <n v="961.1"/>
    <n v="97.36"/>
  </r>
  <r>
    <x v="13"/>
    <x v="57"/>
    <n v="77.099999999999994"/>
    <n v="513.24"/>
    <n v="75.33"/>
  </r>
  <r>
    <x v="14"/>
    <x v="57"/>
    <n v="77.099999999999994"/>
    <n v="554.99"/>
    <n v="84.36"/>
  </r>
  <r>
    <x v="15"/>
    <x v="57"/>
    <n v="77.099999999999994"/>
    <n v="565.97"/>
    <n v="65.16"/>
  </r>
  <r>
    <x v="16"/>
    <x v="57"/>
    <n v="77.099999999999994"/>
    <n v="577.61"/>
    <n v="58.47"/>
  </r>
  <r>
    <x v="17"/>
    <x v="57"/>
    <n v="77.099999999999994"/>
    <n v="591.41"/>
    <n v="64.55"/>
  </r>
  <r>
    <x v="18"/>
    <x v="57"/>
    <n v="77.099999999999994"/>
    <n v="550.14"/>
    <n v="53.45"/>
  </r>
  <r>
    <x v="19"/>
    <x v="57"/>
    <n v="77.099999999999994"/>
    <n v="580.01"/>
    <n v="55.42"/>
  </r>
  <r>
    <x v="20"/>
    <x v="57"/>
    <n v="77.099999999999994"/>
    <n v="654.9"/>
    <n v="64.3"/>
  </r>
  <r>
    <x v="21"/>
    <x v="57"/>
    <n v="77.099999999999994"/>
    <n v="657.51"/>
    <n v="55.9"/>
  </r>
  <r>
    <x v="22"/>
    <x v="57"/>
    <n v="77.099999999999994"/>
    <n v="628.11"/>
    <n v="38.549999999999997"/>
  </r>
  <r>
    <x v="23"/>
    <x v="57"/>
    <n v="77.099999999999994"/>
    <n v="720.4"/>
    <n v="66.2"/>
  </r>
  <r>
    <x v="24"/>
    <x v="57"/>
    <n v="77.099999999999994"/>
    <n v="1294.32"/>
    <n v="434.32"/>
  </r>
  <r>
    <x v="25"/>
    <x v="57"/>
    <n v="77.099999999999994"/>
    <n v="800.07"/>
    <n v="238.67"/>
  </r>
  <r>
    <x v="26"/>
    <x v="57"/>
    <n v="77.099999999999994"/>
    <n v="781.25"/>
    <n v="230.27"/>
  </r>
  <r>
    <x v="27"/>
    <x v="57"/>
    <n v="77.099999999999994"/>
    <n v="835.79"/>
    <n v="251.16"/>
  </r>
  <r>
    <x v="28"/>
    <x v="57"/>
    <n v="77.099999999999994"/>
    <n v="742.64"/>
    <n v="210.61"/>
  </r>
  <r>
    <x v="29"/>
    <x v="57"/>
    <n v="77.099999999999994"/>
    <n v="851.5"/>
    <n v="271.49"/>
  </r>
  <r>
    <x v="30"/>
    <x v="57"/>
    <n v="77.099999999999994"/>
    <n v="802.23"/>
    <n v="245.63"/>
  </r>
  <r>
    <x v="31"/>
    <x v="57"/>
    <n v="77.099999999999994"/>
    <n v="827.41"/>
    <n v="254.59"/>
  </r>
  <r>
    <x v="32"/>
    <x v="57"/>
    <n v="77.099999999999994"/>
    <n v="683.24"/>
    <n v="218.67"/>
  </r>
  <r>
    <x v="33"/>
    <x v="57"/>
    <n v="77.099999999999994"/>
    <n v="777.96"/>
    <n v="251.64"/>
  </r>
  <r>
    <x v="34"/>
    <x v="57"/>
    <n v="77.099999999999994"/>
    <n v="863.49"/>
    <n v="258.73"/>
  </r>
  <r>
    <x v="35"/>
    <x v="57"/>
    <n v="77.099999999999994"/>
    <n v="796.9"/>
    <n v="290.08999999999997"/>
  </r>
  <r>
    <x v="36"/>
    <x v="57"/>
    <n v="77.099999999999994"/>
    <n v="1265.04"/>
    <n v="486.6"/>
  </r>
  <r>
    <x v="37"/>
    <x v="57"/>
    <n v="77.099999999999994"/>
    <n v="665.32"/>
    <n v="230.99"/>
  </r>
  <r>
    <x v="38"/>
    <x v="57"/>
    <n v="77.099999999999994"/>
    <n v="810.79"/>
    <n v="323.48"/>
  </r>
  <r>
    <x v="39"/>
    <x v="57"/>
    <n v="77.099999999999994"/>
    <n v="606.42999999999995"/>
    <n v="0"/>
  </r>
  <r>
    <x v="40"/>
    <x v="57"/>
    <n v="77.099999999999994"/>
    <n v="720.54"/>
    <n v="0"/>
  </r>
  <r>
    <x v="41"/>
    <x v="57"/>
    <n v="77.099999999999994"/>
    <n v="800.66"/>
    <n v="312.17"/>
  </r>
  <r>
    <x v="42"/>
    <x v="57"/>
    <n v="77.099999999999994"/>
    <n v="758.91"/>
    <n v="0"/>
  </r>
  <r>
    <x v="43"/>
    <x v="57"/>
    <n v="77.099999999999994"/>
    <n v="723.97"/>
    <n v="0"/>
  </r>
  <r>
    <x v="44"/>
    <x v="57"/>
    <n v="77.099999999999994"/>
    <n v="710.93"/>
    <n v="0"/>
  </r>
  <r>
    <x v="45"/>
    <x v="57"/>
    <n v="77.099999999999994"/>
    <n v="725.59"/>
    <n v="0"/>
  </r>
  <r>
    <x v="46"/>
    <x v="57"/>
    <n v="77.099999999999994"/>
    <n v="650.88"/>
    <n v="0"/>
  </r>
  <r>
    <x v="47"/>
    <x v="57"/>
    <n v="77.099999999999994"/>
    <n v="707.5"/>
    <n v="310.69"/>
  </r>
  <r>
    <x v="48"/>
    <x v="57"/>
    <n v="77.099999999999994"/>
    <n v="1342.88"/>
    <n v="539.75"/>
  </r>
  <r>
    <x v="49"/>
    <x v="57"/>
    <n v="77.099999999999994"/>
    <n v="688.75"/>
    <n v="178.33"/>
  </r>
  <r>
    <x v="50"/>
    <x v="57"/>
    <n v="77.099999999999994"/>
    <n v="745.32"/>
    <n v="307.86"/>
  </r>
  <r>
    <x v="51"/>
    <x v="57"/>
    <n v="77.099999999999994"/>
    <n v="744"/>
    <n v="316.88"/>
  </r>
  <r>
    <x v="52"/>
    <x v="57"/>
    <n v="77.099999999999994"/>
    <n v="715.08"/>
    <n v="314.5"/>
  </r>
  <r>
    <x v="53"/>
    <x v="57"/>
    <n v="77.099999999999994"/>
    <n v="744.1"/>
    <n v="0"/>
  </r>
  <r>
    <x v="54"/>
    <x v="57"/>
    <n v="77.099999999999994"/>
    <n v="581.37"/>
    <n v="0"/>
  </r>
  <r>
    <x v="55"/>
    <x v="57"/>
    <n v="77.099999999999994"/>
    <n v="774"/>
    <n v="0"/>
  </r>
  <r>
    <x v="56"/>
    <x v="57"/>
    <n v="77.099999999999994"/>
    <n v="727.38"/>
    <n v="0"/>
  </r>
  <r>
    <x v="57"/>
    <x v="57"/>
    <n v="77.099999999999994"/>
    <n v="798.45"/>
    <n v="0"/>
  </r>
  <r>
    <x v="58"/>
    <x v="57"/>
    <n v="77.099999999999994"/>
    <n v="728.87"/>
    <n v="0"/>
  </r>
  <r>
    <x v="59"/>
    <x v="57"/>
    <n v="77.099999999999994"/>
    <n v="774.84"/>
    <n v="364.01"/>
  </r>
  <r>
    <x v="60"/>
    <x v="57"/>
    <n v="77.099999999999994"/>
    <n v="1136.22"/>
    <n v="461.85"/>
  </r>
  <r>
    <x v="61"/>
    <x v="57"/>
    <n v="77.099999999999994"/>
    <n v="688.11"/>
    <n v="209.79"/>
  </r>
  <r>
    <x v="62"/>
    <x v="57"/>
    <n v="77.099999999999994"/>
    <n v="796.86"/>
    <n v="323.74"/>
  </r>
  <r>
    <x v="63"/>
    <x v="57"/>
    <n v="77.099999999999994"/>
    <n v="679.15"/>
    <n v="276.2"/>
  </r>
  <r>
    <x v="64"/>
    <x v="57"/>
    <n v="77.099999999999994"/>
    <n v="793.18"/>
    <n v="0"/>
  </r>
  <r>
    <x v="65"/>
    <x v="57"/>
    <n v="77.099999999999994"/>
    <n v="825.88"/>
    <n v="0"/>
  </r>
  <r>
    <x v="66"/>
    <x v="57"/>
    <n v="77.099999999999994"/>
    <n v="667.46"/>
    <n v="0"/>
  </r>
  <r>
    <x v="67"/>
    <x v="57"/>
    <n v="77.099999999999994"/>
    <n v="862.3"/>
    <n v="0"/>
  </r>
  <r>
    <x v="68"/>
    <x v="57"/>
    <n v="77.099999999999994"/>
    <n v="600.27"/>
    <n v="0"/>
  </r>
  <r>
    <x v="69"/>
    <x v="57"/>
    <n v="77.099999999999994"/>
    <n v="799.48"/>
    <n v="327.18"/>
  </r>
  <r>
    <x v="70"/>
    <x v="57"/>
    <n v="77.099999999999994"/>
    <n v="843.45"/>
    <n v="329.66"/>
  </r>
  <r>
    <x v="71"/>
    <x v="57"/>
    <n v="77.099999999999994"/>
    <n v="845.85"/>
    <n v="367.17"/>
  </r>
  <r>
    <x v="72"/>
    <x v="57"/>
    <n v="77.099999999999994"/>
    <n v="0"/>
    <n v="0"/>
  </r>
  <r>
    <x v="73"/>
    <x v="57"/>
    <n v="77.099999999999994"/>
    <n v="0"/>
    <n v="0"/>
  </r>
  <r>
    <x v="74"/>
    <x v="57"/>
    <n v="77.099999999999994"/>
    <n v="0"/>
    <n v="0"/>
  </r>
  <r>
    <x v="75"/>
    <x v="57"/>
    <n v="77.099999999999994"/>
    <n v="0"/>
    <n v="0"/>
  </r>
  <r>
    <x v="76"/>
    <x v="57"/>
    <n v="77.099999999999994"/>
    <n v="0"/>
    <n v="0"/>
  </r>
  <r>
    <x v="77"/>
    <x v="57"/>
    <n v="77.099999999999994"/>
    <n v="0"/>
    <n v="0"/>
  </r>
  <r>
    <x v="78"/>
    <x v="57"/>
    <n v="77.099999999999994"/>
    <n v="0"/>
    <n v="0"/>
  </r>
  <r>
    <x v="79"/>
    <x v="57"/>
    <n v="77.099999999999994"/>
    <n v="0"/>
    <n v="0"/>
  </r>
  <r>
    <x v="80"/>
    <x v="57"/>
    <n v="77.099999999999994"/>
    <n v="0"/>
    <n v="0"/>
  </r>
  <r>
    <x v="81"/>
    <x v="57"/>
    <n v="77.099999999999994"/>
    <n v="0"/>
    <n v="0"/>
  </r>
  <r>
    <x v="82"/>
    <x v="57"/>
    <n v="77.099999999999994"/>
    <n v="0"/>
    <n v="0"/>
  </r>
  <r>
    <x v="83"/>
    <x v="57"/>
    <n v="77.099999999999994"/>
    <n v="0"/>
    <n v="0"/>
  </r>
  <r>
    <x v="84"/>
    <x v="57"/>
    <n v="77.099999999999994"/>
    <n v="0"/>
    <n v="0"/>
  </r>
  <r>
    <x v="85"/>
    <x v="57"/>
    <n v="77.099999999999994"/>
    <n v="0"/>
    <n v="0"/>
  </r>
  <r>
    <x v="86"/>
    <x v="57"/>
    <n v="77.099999999999994"/>
    <n v="0"/>
    <n v="0"/>
  </r>
  <r>
    <x v="87"/>
    <x v="57"/>
    <n v="77.099999999999994"/>
    <n v="0"/>
    <n v="0"/>
  </r>
  <r>
    <x v="88"/>
    <x v="57"/>
    <n v="77.099999999999994"/>
    <n v="0"/>
    <n v="0"/>
  </r>
  <r>
    <x v="89"/>
    <x v="57"/>
    <n v="77.099999999999994"/>
    <n v="0"/>
    <n v="0"/>
  </r>
  <r>
    <x v="90"/>
    <x v="57"/>
    <n v="77.099999999999994"/>
    <n v="0"/>
    <n v="0"/>
  </r>
  <r>
    <x v="91"/>
    <x v="57"/>
    <n v="77.099999999999994"/>
    <n v="0"/>
    <n v="0"/>
  </r>
  <r>
    <x v="92"/>
    <x v="57"/>
    <n v="77.099999999999994"/>
    <n v="0"/>
    <n v="0"/>
  </r>
  <r>
    <x v="93"/>
    <x v="57"/>
    <n v="77.099999999999994"/>
    <n v="0"/>
    <n v="0"/>
  </r>
  <r>
    <x v="94"/>
    <x v="57"/>
    <n v="77.099999999999994"/>
    <n v="0"/>
    <n v="0"/>
  </r>
  <r>
    <x v="95"/>
    <x v="57"/>
    <n v="77.099999999999994"/>
    <n v="0"/>
    <n v="0"/>
  </r>
  <r>
    <x v="0"/>
    <x v="58"/>
    <n v="77.400000000000006"/>
    <n v="970.21"/>
    <n v="456.14"/>
  </r>
  <r>
    <x v="1"/>
    <x v="58"/>
    <n v="77.400000000000006"/>
    <n v="721.17"/>
    <n v="306.76"/>
  </r>
  <r>
    <x v="2"/>
    <x v="58"/>
    <n v="77.400000000000006"/>
    <n v="722.41"/>
    <n v="301.45"/>
  </r>
  <r>
    <x v="3"/>
    <x v="58"/>
    <n v="77.400000000000006"/>
    <n v="718.07"/>
    <n v="309.38"/>
  </r>
  <r>
    <x v="4"/>
    <x v="58"/>
    <n v="77.400000000000006"/>
    <n v="701.61"/>
    <n v="311.11"/>
  </r>
  <r>
    <x v="5"/>
    <x v="58"/>
    <n v="77.400000000000006"/>
    <n v="744.18"/>
    <n v="326.11"/>
  </r>
  <r>
    <x v="6"/>
    <x v="58"/>
    <n v="77.400000000000006"/>
    <n v="695.71"/>
    <n v="299.11"/>
  </r>
  <r>
    <x v="7"/>
    <x v="58"/>
    <n v="77.400000000000006"/>
    <n v="722.8"/>
    <n v="341.5"/>
  </r>
  <r>
    <x v="8"/>
    <x v="58"/>
    <n v="77.400000000000006"/>
    <n v="724.33"/>
    <n v="353.85"/>
  </r>
  <r>
    <x v="9"/>
    <x v="58"/>
    <n v="77.400000000000006"/>
    <n v="693.59"/>
    <n v="345.28"/>
  </r>
  <r>
    <x v="10"/>
    <x v="58"/>
    <n v="77.400000000000006"/>
    <n v="728.78"/>
    <n v="331.07"/>
  </r>
  <r>
    <x v="11"/>
    <x v="58"/>
    <n v="77.400000000000006"/>
    <n v="726.84"/>
    <n v="-1727.73"/>
  </r>
  <r>
    <x v="12"/>
    <x v="58"/>
    <n v="77.400000000000006"/>
    <n v="805.48"/>
    <n v="94.3"/>
  </r>
  <r>
    <x v="13"/>
    <x v="58"/>
    <n v="77.400000000000006"/>
    <n v="436.89"/>
    <n v="76.17"/>
  </r>
  <r>
    <x v="14"/>
    <x v="58"/>
    <n v="77.400000000000006"/>
    <n v="471.39"/>
    <n v="83.28"/>
  </r>
  <r>
    <x v="15"/>
    <x v="58"/>
    <n v="77.400000000000006"/>
    <n v="478.51"/>
    <n v="67.599999999999994"/>
  </r>
  <r>
    <x v="16"/>
    <x v="58"/>
    <n v="77.400000000000006"/>
    <n v="487.9"/>
    <n v="60.07"/>
  </r>
  <r>
    <x v="17"/>
    <x v="58"/>
    <n v="77.400000000000006"/>
    <n v="500.78"/>
    <n v="67.92"/>
  </r>
  <r>
    <x v="18"/>
    <x v="58"/>
    <n v="77.400000000000006"/>
    <n v="464.71"/>
    <n v="54.85"/>
  </r>
  <r>
    <x v="19"/>
    <x v="58"/>
    <n v="77.400000000000006"/>
    <n v="489.6"/>
    <n v="55.41"/>
  </r>
  <r>
    <x v="20"/>
    <x v="58"/>
    <n v="77.400000000000006"/>
    <n v="552.29999999999995"/>
    <n v="62.56"/>
  </r>
  <r>
    <x v="21"/>
    <x v="58"/>
    <n v="77.400000000000006"/>
    <n v="553.75"/>
    <n v="57.49"/>
  </r>
  <r>
    <x v="22"/>
    <x v="58"/>
    <n v="77.400000000000006"/>
    <n v="528.54"/>
    <n v="38.130000000000003"/>
  </r>
  <r>
    <x v="23"/>
    <x v="58"/>
    <n v="77.400000000000006"/>
    <n v="606.22"/>
    <n v="68.06"/>
  </r>
  <r>
    <x v="24"/>
    <x v="58"/>
    <n v="77.400000000000006"/>
    <n v="1341.52"/>
    <n v="420.25"/>
  </r>
  <r>
    <x v="25"/>
    <x v="58"/>
    <n v="77.400000000000006"/>
    <n v="835.68"/>
    <n v="235.87"/>
  </r>
  <r>
    <x v="26"/>
    <x v="58"/>
    <n v="77.400000000000006"/>
    <n v="815.96"/>
    <n v="214.64"/>
  </r>
  <r>
    <x v="27"/>
    <x v="58"/>
    <n v="77.400000000000006"/>
    <n v="880.41"/>
    <n v="254.04"/>
  </r>
  <r>
    <x v="28"/>
    <x v="58"/>
    <n v="77.400000000000006"/>
    <n v="778.82"/>
    <n v="207.49"/>
  </r>
  <r>
    <x v="29"/>
    <x v="58"/>
    <n v="77.400000000000006"/>
    <n v="891.24"/>
    <n v="268.13"/>
  </r>
  <r>
    <x v="30"/>
    <x v="58"/>
    <n v="77.400000000000006"/>
    <n v="835.58"/>
    <n v="235.05"/>
  </r>
  <r>
    <x v="31"/>
    <x v="58"/>
    <n v="77.400000000000006"/>
    <n v="862.54"/>
    <n v="247.59"/>
  </r>
  <r>
    <x v="32"/>
    <x v="58"/>
    <n v="77.400000000000006"/>
    <n v="715.45"/>
    <n v="211.4"/>
  </r>
  <r>
    <x v="33"/>
    <x v="58"/>
    <n v="77.400000000000006"/>
    <n v="813.57"/>
    <n v="246.15"/>
  </r>
  <r>
    <x v="34"/>
    <x v="58"/>
    <n v="77.400000000000006"/>
    <n v="900.75"/>
    <n v="247.79"/>
  </r>
  <r>
    <x v="35"/>
    <x v="58"/>
    <n v="77.400000000000006"/>
    <n v="838.73"/>
    <n v="282.02"/>
  </r>
  <r>
    <x v="36"/>
    <x v="58"/>
    <n v="77.400000000000006"/>
    <n v="1280.81"/>
    <n v="477.76"/>
  </r>
  <r>
    <x v="37"/>
    <x v="58"/>
    <n v="77.400000000000006"/>
    <n v="674.1"/>
    <n v="227.31"/>
  </r>
  <r>
    <x v="38"/>
    <x v="58"/>
    <n v="77.400000000000006"/>
    <n v="823.45"/>
    <n v="325.67"/>
  </r>
  <r>
    <x v="39"/>
    <x v="58"/>
    <n v="77.400000000000006"/>
    <n v="620.41"/>
    <n v="0"/>
  </r>
  <r>
    <x v="40"/>
    <x v="58"/>
    <n v="77.400000000000006"/>
    <n v="739.2"/>
    <n v="0"/>
  </r>
  <r>
    <x v="41"/>
    <x v="58"/>
    <n v="77.400000000000006"/>
    <n v="818.88"/>
    <n v="321.35000000000002"/>
  </r>
  <r>
    <x v="42"/>
    <x v="58"/>
    <n v="77.400000000000006"/>
    <n v="778.67"/>
    <n v="0"/>
  </r>
  <r>
    <x v="43"/>
    <x v="58"/>
    <n v="77.400000000000006"/>
    <n v="732.97"/>
    <n v="0"/>
  </r>
  <r>
    <x v="44"/>
    <x v="58"/>
    <n v="77.400000000000006"/>
    <n v="722.62"/>
    <n v="0"/>
  </r>
  <r>
    <x v="45"/>
    <x v="58"/>
    <n v="77.400000000000006"/>
    <n v="735.43"/>
    <n v="0"/>
  </r>
  <r>
    <x v="46"/>
    <x v="58"/>
    <n v="77.400000000000006"/>
    <n v="655.74"/>
    <n v="0"/>
  </r>
  <r>
    <x v="47"/>
    <x v="58"/>
    <n v="77.400000000000006"/>
    <n v="727.09"/>
    <n v="314.16000000000003"/>
  </r>
  <r>
    <x v="48"/>
    <x v="58"/>
    <n v="77.400000000000006"/>
    <n v="1359.23"/>
    <n v="526.61"/>
  </r>
  <r>
    <x v="49"/>
    <x v="58"/>
    <n v="77.400000000000006"/>
    <n v="695.76"/>
    <n v="166.54"/>
  </r>
  <r>
    <x v="50"/>
    <x v="58"/>
    <n v="77.400000000000006"/>
    <n v="754.73"/>
    <n v="305.13"/>
  </r>
  <r>
    <x v="51"/>
    <x v="58"/>
    <n v="77.400000000000006"/>
    <n v="759.88"/>
    <n v="318.64"/>
  </r>
  <r>
    <x v="52"/>
    <x v="58"/>
    <n v="77.400000000000006"/>
    <n v="730.43"/>
    <n v="317.10000000000002"/>
  </r>
  <r>
    <x v="53"/>
    <x v="58"/>
    <n v="77.400000000000006"/>
    <n v="757.51"/>
    <n v="0"/>
  </r>
  <r>
    <x v="54"/>
    <x v="58"/>
    <n v="77.400000000000006"/>
    <n v="590.02"/>
    <n v="0"/>
  </r>
  <r>
    <x v="55"/>
    <x v="58"/>
    <n v="77.400000000000006"/>
    <n v="786.7"/>
    <n v="0"/>
  </r>
  <r>
    <x v="56"/>
    <x v="58"/>
    <n v="77.400000000000006"/>
    <n v="751.14"/>
    <n v="0"/>
  </r>
  <r>
    <x v="57"/>
    <x v="58"/>
    <n v="77.400000000000006"/>
    <n v="822.17"/>
    <n v="0"/>
  </r>
  <r>
    <x v="58"/>
    <x v="58"/>
    <n v="77.400000000000006"/>
    <n v="736.03"/>
    <n v="0"/>
  </r>
  <r>
    <x v="59"/>
    <x v="58"/>
    <n v="77.400000000000006"/>
    <n v="798.31"/>
    <n v="363.89"/>
  </r>
  <r>
    <x v="60"/>
    <x v="58"/>
    <n v="77.400000000000006"/>
    <n v="1149.32"/>
    <n v="452.94"/>
  </r>
  <r>
    <x v="61"/>
    <x v="58"/>
    <n v="77.400000000000006"/>
    <n v="693.82"/>
    <n v="199.83"/>
  </r>
  <r>
    <x v="62"/>
    <x v="58"/>
    <n v="77.400000000000006"/>
    <n v="811.61"/>
    <n v="321.07"/>
  </r>
  <r>
    <x v="63"/>
    <x v="58"/>
    <n v="77.400000000000006"/>
    <n v="684.51"/>
    <n v="270.74"/>
  </r>
  <r>
    <x v="64"/>
    <x v="58"/>
    <n v="77.400000000000006"/>
    <n v="797.95"/>
    <n v="0"/>
  </r>
  <r>
    <x v="65"/>
    <x v="58"/>
    <n v="77.400000000000006"/>
    <n v="841.42"/>
    <n v="0"/>
  </r>
  <r>
    <x v="66"/>
    <x v="58"/>
    <n v="77.400000000000006"/>
    <n v="674.25"/>
    <n v="0"/>
  </r>
  <r>
    <x v="67"/>
    <x v="58"/>
    <n v="77.400000000000006"/>
    <n v="874.21"/>
    <n v="0"/>
  </r>
  <r>
    <x v="68"/>
    <x v="58"/>
    <n v="77.400000000000006"/>
    <n v="621.41"/>
    <n v="0"/>
  </r>
  <r>
    <x v="69"/>
    <x v="58"/>
    <n v="77.400000000000006"/>
    <n v="815.56"/>
    <n v="334.12"/>
  </r>
  <r>
    <x v="70"/>
    <x v="58"/>
    <n v="77.400000000000006"/>
    <n v="847.84"/>
    <n v="315.25"/>
  </r>
  <r>
    <x v="71"/>
    <x v="58"/>
    <n v="77.400000000000006"/>
    <n v="861.41"/>
    <n v="366.93"/>
  </r>
  <r>
    <x v="72"/>
    <x v="58"/>
    <n v="77.400000000000006"/>
    <n v="0"/>
    <n v="0"/>
  </r>
  <r>
    <x v="73"/>
    <x v="58"/>
    <n v="77.400000000000006"/>
    <n v="0"/>
    <n v="0"/>
  </r>
  <r>
    <x v="74"/>
    <x v="58"/>
    <n v="77.400000000000006"/>
    <n v="0"/>
    <n v="0"/>
  </r>
  <r>
    <x v="75"/>
    <x v="58"/>
    <n v="77.400000000000006"/>
    <n v="0"/>
    <n v="0"/>
  </r>
  <r>
    <x v="76"/>
    <x v="58"/>
    <n v="77.400000000000006"/>
    <n v="0"/>
    <n v="0"/>
  </r>
  <r>
    <x v="77"/>
    <x v="58"/>
    <n v="77.400000000000006"/>
    <n v="0"/>
    <n v="0"/>
  </r>
  <r>
    <x v="78"/>
    <x v="58"/>
    <n v="77.400000000000006"/>
    <n v="0"/>
    <n v="0"/>
  </r>
  <r>
    <x v="79"/>
    <x v="58"/>
    <n v="77.400000000000006"/>
    <n v="0"/>
    <n v="0"/>
  </r>
  <r>
    <x v="80"/>
    <x v="58"/>
    <n v="77.400000000000006"/>
    <n v="0"/>
    <n v="0"/>
  </r>
  <r>
    <x v="81"/>
    <x v="58"/>
    <n v="77.400000000000006"/>
    <n v="0"/>
    <n v="0"/>
  </r>
  <r>
    <x v="82"/>
    <x v="58"/>
    <n v="77.400000000000006"/>
    <n v="0"/>
    <n v="0"/>
  </r>
  <r>
    <x v="83"/>
    <x v="58"/>
    <n v="77.400000000000006"/>
    <n v="0"/>
    <n v="0"/>
  </r>
  <r>
    <x v="84"/>
    <x v="58"/>
    <n v="77.400000000000006"/>
    <n v="0"/>
    <n v="0"/>
  </r>
  <r>
    <x v="85"/>
    <x v="58"/>
    <n v="77.400000000000006"/>
    <n v="0"/>
    <n v="0"/>
  </r>
  <r>
    <x v="86"/>
    <x v="58"/>
    <n v="77.400000000000006"/>
    <n v="0"/>
    <n v="0"/>
  </r>
  <r>
    <x v="87"/>
    <x v="58"/>
    <n v="77.400000000000006"/>
    <n v="0"/>
    <n v="0"/>
  </r>
  <r>
    <x v="88"/>
    <x v="58"/>
    <n v="77.400000000000006"/>
    <n v="0"/>
    <n v="0"/>
  </r>
  <r>
    <x v="89"/>
    <x v="58"/>
    <n v="77.400000000000006"/>
    <n v="0"/>
    <n v="0"/>
  </r>
  <r>
    <x v="90"/>
    <x v="58"/>
    <n v="77.400000000000006"/>
    <n v="0"/>
    <n v="0"/>
  </r>
  <r>
    <x v="91"/>
    <x v="58"/>
    <n v="77.400000000000006"/>
    <n v="0"/>
    <n v="0"/>
  </r>
  <r>
    <x v="92"/>
    <x v="58"/>
    <n v="77.400000000000006"/>
    <n v="0"/>
    <n v="0"/>
  </r>
  <r>
    <x v="93"/>
    <x v="58"/>
    <n v="77.400000000000006"/>
    <n v="0"/>
    <n v="0"/>
  </r>
  <r>
    <x v="94"/>
    <x v="58"/>
    <n v="77.400000000000006"/>
    <n v="0"/>
    <n v="0"/>
  </r>
  <r>
    <x v="95"/>
    <x v="58"/>
    <n v="77.400000000000006"/>
    <n v="0"/>
    <n v="0"/>
  </r>
  <r>
    <x v="0"/>
    <x v="59"/>
    <n v="77.7"/>
    <n v="1004.66"/>
    <n v="419.81"/>
  </r>
  <r>
    <x v="1"/>
    <x v="59"/>
    <n v="77.7"/>
    <n v="752.38"/>
    <n v="286.47000000000003"/>
  </r>
  <r>
    <x v="2"/>
    <x v="59"/>
    <n v="77.7"/>
    <n v="754.73"/>
    <n v="281.39999999999998"/>
  </r>
  <r>
    <x v="3"/>
    <x v="59"/>
    <n v="77.7"/>
    <n v="752.52"/>
    <n v="288.89999999999998"/>
  </r>
  <r>
    <x v="4"/>
    <x v="59"/>
    <n v="77.7"/>
    <n v="733.47"/>
    <n v="290.95999999999998"/>
  </r>
  <r>
    <x v="5"/>
    <x v="59"/>
    <n v="77.7"/>
    <n v="778.32"/>
    <n v="304.25"/>
  </r>
  <r>
    <x v="6"/>
    <x v="59"/>
    <n v="77.7"/>
    <n v="727.2"/>
    <n v="278.43"/>
  </r>
  <r>
    <x v="7"/>
    <x v="59"/>
    <n v="77.7"/>
    <n v="753.53"/>
    <n v="317.58999999999997"/>
  </r>
  <r>
    <x v="8"/>
    <x v="59"/>
    <n v="77.7"/>
    <n v="757.02"/>
    <n v="327.68"/>
  </r>
  <r>
    <x v="9"/>
    <x v="59"/>
    <n v="77.7"/>
    <n v="724.64"/>
    <n v="319.04000000000002"/>
  </r>
  <r>
    <x v="10"/>
    <x v="59"/>
    <n v="77.7"/>
    <n v="762.28"/>
    <n v="306.02"/>
  </r>
  <r>
    <x v="11"/>
    <x v="59"/>
    <n v="77.7"/>
    <n v="836.35"/>
    <n v="-1753.46"/>
  </r>
  <r>
    <x v="12"/>
    <x v="59"/>
    <n v="77.7"/>
    <n v="676.47"/>
    <n v="91.37"/>
  </r>
  <r>
    <x v="13"/>
    <x v="59"/>
    <n v="77.7"/>
    <n v="374.16"/>
    <n v="77.56"/>
  </r>
  <r>
    <x v="14"/>
    <x v="59"/>
    <n v="77.7"/>
    <n v="402.59"/>
    <n v="83.7"/>
  </r>
  <r>
    <x v="15"/>
    <x v="59"/>
    <n v="77.7"/>
    <n v="406.44"/>
    <n v="70.45"/>
  </r>
  <r>
    <x v="16"/>
    <x v="59"/>
    <n v="77.7"/>
    <n v="413.87"/>
    <n v="62.5"/>
  </r>
  <r>
    <x v="17"/>
    <x v="59"/>
    <n v="77.7"/>
    <n v="425.79"/>
    <n v="71.09"/>
  </r>
  <r>
    <x v="18"/>
    <x v="59"/>
    <n v="77.7"/>
    <n v="394.12"/>
    <n v="57.34"/>
  </r>
  <r>
    <x v="19"/>
    <x v="59"/>
    <n v="77.7"/>
    <n v="415.03"/>
    <n v="56.72"/>
  </r>
  <r>
    <x v="20"/>
    <x v="59"/>
    <n v="77.7"/>
    <n v="467.18"/>
    <n v="61.35"/>
  </r>
  <r>
    <x v="21"/>
    <x v="59"/>
    <n v="77.7"/>
    <n v="467.63"/>
    <n v="59.86"/>
  </r>
  <r>
    <x v="22"/>
    <x v="59"/>
    <n v="77.7"/>
    <n v="445.98"/>
    <n v="37.81"/>
  </r>
  <r>
    <x v="23"/>
    <x v="59"/>
    <n v="77.7"/>
    <n v="510.99"/>
    <n v="69.819999999999993"/>
  </r>
  <r>
    <x v="24"/>
    <x v="59"/>
    <n v="77.7"/>
    <n v="1395.44"/>
    <n v="409.4"/>
  </r>
  <r>
    <x v="25"/>
    <x v="59"/>
    <n v="77.7"/>
    <n v="877.51"/>
    <n v="235.83"/>
  </r>
  <r>
    <x v="26"/>
    <x v="59"/>
    <n v="77.7"/>
    <n v="855.97"/>
    <n v="199.83"/>
  </r>
  <r>
    <x v="27"/>
    <x v="59"/>
    <n v="77.7"/>
    <n v="931.25"/>
    <n v="257.31"/>
  </r>
  <r>
    <x v="28"/>
    <x v="59"/>
    <n v="77.7"/>
    <n v="820.96"/>
    <n v="207.45"/>
  </r>
  <r>
    <x v="29"/>
    <x v="59"/>
    <n v="77.7"/>
    <n v="936.94"/>
    <n v="266.5"/>
  </r>
  <r>
    <x v="30"/>
    <x v="59"/>
    <n v="77.7"/>
    <n v="874.09"/>
    <n v="228.31"/>
  </r>
  <r>
    <x v="31"/>
    <x v="59"/>
    <n v="77.7"/>
    <n v="903.31"/>
    <n v="244.1"/>
  </r>
  <r>
    <x v="32"/>
    <x v="59"/>
    <n v="77.7"/>
    <n v="753.2"/>
    <n v="208.17"/>
  </r>
  <r>
    <x v="33"/>
    <x v="59"/>
    <n v="77.7"/>
    <n v="854.55"/>
    <n v="243.77"/>
  </r>
  <r>
    <x v="34"/>
    <x v="59"/>
    <n v="77.7"/>
    <n v="943.79"/>
    <n v="240.28"/>
  </r>
  <r>
    <x v="35"/>
    <x v="59"/>
    <n v="77.7"/>
    <n v="884.6"/>
    <n v="275.95999999999998"/>
  </r>
  <r>
    <x v="36"/>
    <x v="59"/>
    <n v="77.7"/>
    <n v="1298.83"/>
    <n v="470.66"/>
  </r>
  <r>
    <x v="37"/>
    <x v="59"/>
    <n v="77.7"/>
    <n v="685.41"/>
    <n v="228.84"/>
  </r>
  <r>
    <x v="38"/>
    <x v="59"/>
    <n v="77.7"/>
    <n v="838.9"/>
    <n v="328.7"/>
  </r>
  <r>
    <x v="39"/>
    <x v="59"/>
    <n v="77.7"/>
    <n v="638.04999999999995"/>
    <n v="0"/>
  </r>
  <r>
    <x v="40"/>
    <x v="59"/>
    <n v="77.7"/>
    <n v="762.36"/>
    <n v="0"/>
  </r>
  <r>
    <x v="41"/>
    <x v="59"/>
    <n v="77.7"/>
    <n v="840.5"/>
    <n v="333.65"/>
  </r>
  <r>
    <x v="42"/>
    <x v="59"/>
    <n v="77.7"/>
    <n v="801.67"/>
    <n v="0"/>
  </r>
  <r>
    <x v="43"/>
    <x v="59"/>
    <n v="77.7"/>
    <n v="744.08"/>
    <n v="0"/>
  </r>
  <r>
    <x v="44"/>
    <x v="59"/>
    <n v="77.7"/>
    <n v="737.24"/>
    <n v="0"/>
  </r>
  <r>
    <x v="45"/>
    <x v="59"/>
    <n v="77.7"/>
    <n v="747.79"/>
    <n v="0"/>
  </r>
  <r>
    <x v="46"/>
    <x v="59"/>
    <n v="77.7"/>
    <n v="661.86"/>
    <n v="0"/>
  </r>
  <r>
    <x v="47"/>
    <x v="59"/>
    <n v="77.7"/>
    <n v="748.82"/>
    <n v="316.94"/>
  </r>
  <r>
    <x v="48"/>
    <x v="59"/>
    <n v="77.7"/>
    <n v="1377.9"/>
    <n v="514.1"/>
  </r>
  <r>
    <x v="49"/>
    <x v="59"/>
    <n v="77.7"/>
    <n v="706.62"/>
    <n v="167.66"/>
  </r>
  <r>
    <x v="50"/>
    <x v="59"/>
    <n v="77.7"/>
    <n v="765.98"/>
    <n v="304.63"/>
  </r>
  <r>
    <x v="51"/>
    <x v="59"/>
    <n v="77.7"/>
    <n v="778.47"/>
    <n v="321.85000000000002"/>
  </r>
  <r>
    <x v="52"/>
    <x v="59"/>
    <n v="77.7"/>
    <n v="748.32"/>
    <n v="321.02"/>
  </r>
  <r>
    <x v="53"/>
    <x v="59"/>
    <n v="77.7"/>
    <n v="773.89"/>
    <n v="0"/>
  </r>
  <r>
    <x v="54"/>
    <x v="59"/>
    <n v="77.7"/>
    <n v="601.19000000000005"/>
    <n v="0"/>
  </r>
  <r>
    <x v="55"/>
    <x v="59"/>
    <n v="77.7"/>
    <n v="801.17"/>
    <n v="0"/>
  </r>
  <r>
    <x v="56"/>
    <x v="59"/>
    <n v="77.7"/>
    <n v="778.85"/>
    <n v="0"/>
  </r>
  <r>
    <x v="57"/>
    <x v="59"/>
    <n v="77.7"/>
    <n v="847.93"/>
    <n v="0"/>
  </r>
  <r>
    <x v="58"/>
    <x v="59"/>
    <n v="77.7"/>
    <n v="745.19"/>
    <n v="0"/>
  </r>
  <r>
    <x v="59"/>
    <x v="59"/>
    <n v="77.7"/>
    <n v="823.12"/>
    <n v="362.98"/>
  </r>
  <r>
    <x v="60"/>
    <x v="59"/>
    <n v="77.7"/>
    <n v="1164.1300000000001"/>
    <n v="445.73"/>
  </r>
  <r>
    <x v="61"/>
    <x v="59"/>
    <n v="77.7"/>
    <n v="702.63"/>
    <n v="198.71"/>
  </r>
  <r>
    <x v="62"/>
    <x v="59"/>
    <n v="77.7"/>
    <n v="828.44"/>
    <n v="318.66000000000003"/>
  </r>
  <r>
    <x v="63"/>
    <x v="59"/>
    <n v="77.7"/>
    <n v="691.51"/>
    <n v="267.33999999999997"/>
  </r>
  <r>
    <x v="64"/>
    <x v="59"/>
    <n v="77.7"/>
    <n v="803.84"/>
    <n v="0"/>
  </r>
  <r>
    <x v="65"/>
    <x v="59"/>
    <n v="77.7"/>
    <n v="860.22"/>
    <n v="0"/>
  </r>
  <r>
    <x v="66"/>
    <x v="59"/>
    <n v="77.7"/>
    <n v="684.01"/>
    <n v="0"/>
  </r>
  <r>
    <x v="67"/>
    <x v="59"/>
    <n v="77.7"/>
    <n v="888.5"/>
    <n v="0"/>
  </r>
  <r>
    <x v="68"/>
    <x v="59"/>
    <n v="77.7"/>
    <n v="645.59"/>
    <n v="0"/>
  </r>
  <r>
    <x v="69"/>
    <x v="59"/>
    <n v="77.7"/>
    <n v="834.74"/>
    <n v="341.46"/>
  </r>
  <r>
    <x v="70"/>
    <x v="59"/>
    <n v="77.7"/>
    <n v="854.14"/>
    <n v="302.83999999999997"/>
  </r>
  <r>
    <x v="71"/>
    <x v="59"/>
    <n v="77.7"/>
    <n v="879.96"/>
    <n v="367.52"/>
  </r>
  <r>
    <x v="72"/>
    <x v="59"/>
    <n v="77.7"/>
    <n v="0"/>
    <n v="0"/>
  </r>
  <r>
    <x v="73"/>
    <x v="59"/>
    <n v="77.7"/>
    <n v="0"/>
    <n v="0"/>
  </r>
  <r>
    <x v="74"/>
    <x v="59"/>
    <n v="77.7"/>
    <n v="0"/>
    <n v="0"/>
  </r>
  <r>
    <x v="75"/>
    <x v="59"/>
    <n v="77.7"/>
    <n v="0"/>
    <n v="0"/>
  </r>
  <r>
    <x v="76"/>
    <x v="59"/>
    <n v="77.7"/>
    <n v="0"/>
    <n v="0"/>
  </r>
  <r>
    <x v="77"/>
    <x v="59"/>
    <n v="77.7"/>
    <n v="0"/>
    <n v="0"/>
  </r>
  <r>
    <x v="78"/>
    <x v="59"/>
    <n v="77.7"/>
    <n v="0"/>
    <n v="0"/>
  </r>
  <r>
    <x v="79"/>
    <x v="59"/>
    <n v="77.7"/>
    <n v="0"/>
    <n v="0"/>
  </r>
  <r>
    <x v="80"/>
    <x v="59"/>
    <n v="77.7"/>
    <n v="0"/>
    <n v="0"/>
  </r>
  <r>
    <x v="81"/>
    <x v="59"/>
    <n v="77.7"/>
    <n v="0"/>
    <n v="0"/>
  </r>
  <r>
    <x v="82"/>
    <x v="59"/>
    <n v="77.7"/>
    <n v="0"/>
    <n v="0"/>
  </r>
  <r>
    <x v="83"/>
    <x v="59"/>
    <n v="77.7"/>
    <n v="0"/>
    <n v="0"/>
  </r>
  <r>
    <x v="84"/>
    <x v="59"/>
    <n v="77.7"/>
    <n v="0"/>
    <n v="0"/>
  </r>
  <r>
    <x v="85"/>
    <x v="59"/>
    <n v="77.7"/>
    <n v="0"/>
    <n v="0"/>
  </r>
  <r>
    <x v="86"/>
    <x v="59"/>
    <n v="77.7"/>
    <n v="0"/>
    <n v="0"/>
  </r>
  <r>
    <x v="87"/>
    <x v="59"/>
    <n v="77.7"/>
    <n v="0"/>
    <n v="0"/>
  </r>
  <r>
    <x v="88"/>
    <x v="59"/>
    <n v="77.7"/>
    <n v="0"/>
    <n v="0"/>
  </r>
  <r>
    <x v="89"/>
    <x v="59"/>
    <n v="77.7"/>
    <n v="0"/>
    <n v="0"/>
  </r>
  <r>
    <x v="90"/>
    <x v="59"/>
    <n v="77.7"/>
    <n v="0"/>
    <n v="0"/>
  </r>
  <r>
    <x v="91"/>
    <x v="59"/>
    <n v="77.7"/>
    <n v="0"/>
    <n v="0"/>
  </r>
  <r>
    <x v="92"/>
    <x v="59"/>
    <n v="77.7"/>
    <n v="0"/>
    <n v="0"/>
  </r>
  <r>
    <x v="93"/>
    <x v="59"/>
    <n v="77.7"/>
    <n v="0"/>
    <n v="0"/>
  </r>
  <r>
    <x v="94"/>
    <x v="59"/>
    <n v="77.7"/>
    <n v="0"/>
    <n v="0"/>
  </r>
  <r>
    <x v="95"/>
    <x v="59"/>
    <n v="77.7"/>
    <n v="0"/>
    <n v="0"/>
  </r>
  <r>
    <x v="0"/>
    <x v="60"/>
    <n v="78"/>
    <n v="1045.5"/>
    <n v="390.6"/>
  </r>
  <r>
    <x v="1"/>
    <x v="60"/>
    <n v="78"/>
    <n v="788.09"/>
    <n v="270.49"/>
  </r>
  <r>
    <x v="2"/>
    <x v="60"/>
    <n v="78"/>
    <n v="791.43"/>
    <n v="266.52"/>
  </r>
  <r>
    <x v="3"/>
    <x v="60"/>
    <n v="78"/>
    <n v="791.28"/>
    <n v="272.83"/>
  </r>
  <r>
    <x v="4"/>
    <x v="60"/>
    <n v="78"/>
    <n v="769.53"/>
    <n v="275.16000000000003"/>
  </r>
  <r>
    <x v="5"/>
    <x v="60"/>
    <n v="78"/>
    <n v="816.66"/>
    <n v="287.08"/>
  </r>
  <r>
    <x v="6"/>
    <x v="60"/>
    <n v="78"/>
    <n v="762.7"/>
    <n v="262.91000000000003"/>
  </r>
  <r>
    <x v="7"/>
    <x v="60"/>
    <n v="78"/>
    <n v="788.84"/>
    <n v="298.56"/>
  </r>
  <r>
    <x v="8"/>
    <x v="60"/>
    <n v="78"/>
    <n v="793.56"/>
    <n v="306.77"/>
  </r>
  <r>
    <x v="9"/>
    <x v="60"/>
    <n v="78"/>
    <n v="759.49"/>
    <n v="298.10000000000002"/>
  </r>
  <r>
    <x v="10"/>
    <x v="60"/>
    <n v="78"/>
    <n v="799.89"/>
    <n v="286.8"/>
  </r>
  <r>
    <x v="11"/>
    <x v="60"/>
    <n v="78"/>
    <n v="962.58"/>
    <n v="-1774.09"/>
  </r>
  <r>
    <x v="12"/>
    <x v="60"/>
    <n v="78"/>
    <n v="570.42999999999995"/>
    <n v="88.53"/>
  </r>
  <r>
    <x v="13"/>
    <x v="60"/>
    <n v="78"/>
    <n v="322.89999999999998"/>
    <n v="79.510000000000005"/>
  </r>
  <r>
    <x v="14"/>
    <x v="60"/>
    <n v="78"/>
    <n v="346.4"/>
    <n v="85.44"/>
  </r>
  <r>
    <x v="15"/>
    <x v="60"/>
    <n v="78"/>
    <n v="347.45"/>
    <n v="73.61"/>
  </r>
  <r>
    <x v="16"/>
    <x v="60"/>
    <n v="78"/>
    <n v="353.24"/>
    <n v="65.739999999999995"/>
  </r>
  <r>
    <x v="17"/>
    <x v="60"/>
    <n v="78"/>
    <n v="364.19"/>
    <n v="73.94"/>
  </r>
  <r>
    <x v="18"/>
    <x v="60"/>
    <n v="78"/>
    <n v="336.32"/>
    <n v="60.68"/>
  </r>
  <r>
    <x v="19"/>
    <x v="60"/>
    <n v="78"/>
    <n v="353.92"/>
    <n v="59.33"/>
  </r>
  <r>
    <x v="20"/>
    <x v="60"/>
    <n v="78"/>
    <n v="397.1"/>
    <n v="61.05"/>
  </r>
  <r>
    <x v="21"/>
    <x v="60"/>
    <n v="78"/>
    <n v="396.78"/>
    <n v="63.1"/>
  </r>
  <r>
    <x v="22"/>
    <x v="60"/>
    <n v="78"/>
    <n v="378.07"/>
    <n v="37.67"/>
  </r>
  <r>
    <x v="23"/>
    <x v="60"/>
    <n v="78"/>
    <n v="432.24"/>
    <n v="71.47"/>
  </r>
  <r>
    <x v="24"/>
    <x v="60"/>
    <n v="78"/>
    <n v="1456.99"/>
    <n v="401.13"/>
  </r>
  <r>
    <x v="25"/>
    <x v="60"/>
    <n v="78"/>
    <n v="926.35"/>
    <n v="237.56"/>
  </r>
  <r>
    <x v="26"/>
    <x v="60"/>
    <n v="78"/>
    <n v="902.16"/>
    <n v="187.39"/>
  </r>
  <r>
    <x v="27"/>
    <x v="60"/>
    <n v="78"/>
    <n v="988.89"/>
    <n v="260.35000000000002"/>
  </r>
  <r>
    <x v="28"/>
    <x v="60"/>
    <n v="78"/>
    <n v="869.81"/>
    <n v="213.65"/>
  </r>
  <r>
    <x v="29"/>
    <x v="60"/>
    <n v="78"/>
    <n v="989.22"/>
    <n v="265.98"/>
  </r>
  <r>
    <x v="30"/>
    <x v="60"/>
    <n v="78"/>
    <n v="918.59"/>
    <n v="224.92"/>
  </r>
  <r>
    <x v="31"/>
    <x v="60"/>
    <n v="78"/>
    <n v="950.53"/>
    <n v="243.26"/>
  </r>
  <r>
    <x v="32"/>
    <x v="60"/>
    <n v="78"/>
    <n v="797.35"/>
    <n v="208.14"/>
  </r>
  <r>
    <x v="33"/>
    <x v="60"/>
    <n v="78"/>
    <n v="901.57"/>
    <n v="243.59"/>
  </r>
  <r>
    <x v="34"/>
    <x v="60"/>
    <n v="78"/>
    <n v="993.46"/>
    <n v="235.78"/>
  </r>
  <r>
    <x v="35"/>
    <x v="60"/>
    <n v="78"/>
    <n v="934.67"/>
    <n v="271.55"/>
  </r>
  <r>
    <x v="36"/>
    <x v="60"/>
    <n v="78"/>
    <n v="1319.52"/>
    <n v="465.38"/>
  </r>
  <r>
    <x v="37"/>
    <x v="60"/>
    <n v="78"/>
    <n v="699.73"/>
    <n v="236.09"/>
  </r>
  <r>
    <x v="38"/>
    <x v="60"/>
    <n v="78"/>
    <n v="857.57"/>
    <n v="333.14"/>
  </r>
  <r>
    <x v="39"/>
    <x v="60"/>
    <n v="78"/>
    <n v="659.84"/>
    <n v="0"/>
  </r>
  <r>
    <x v="40"/>
    <x v="60"/>
    <n v="78"/>
    <n v="790.23"/>
    <n v="0"/>
  </r>
  <r>
    <x v="41"/>
    <x v="60"/>
    <n v="78"/>
    <n v="865.83"/>
    <n v="346.89"/>
  </r>
  <r>
    <x v="42"/>
    <x v="60"/>
    <n v="78"/>
    <n v="828.08"/>
    <n v="0"/>
  </r>
  <r>
    <x v="43"/>
    <x v="60"/>
    <n v="78"/>
    <n v="757.79"/>
    <n v="0"/>
  </r>
  <r>
    <x v="44"/>
    <x v="60"/>
    <n v="78"/>
    <n v="755.31"/>
    <n v="0"/>
  </r>
  <r>
    <x v="45"/>
    <x v="60"/>
    <n v="78"/>
    <n v="763.21"/>
    <n v="0"/>
  </r>
  <r>
    <x v="46"/>
    <x v="60"/>
    <n v="78"/>
    <n v="669.56"/>
    <n v="0"/>
  </r>
  <r>
    <x v="47"/>
    <x v="60"/>
    <n v="78"/>
    <n v="772.56"/>
    <n v="319.11"/>
  </r>
  <r>
    <x v="48"/>
    <x v="60"/>
    <n v="78"/>
    <n v="1399.31"/>
    <n v="504.08"/>
  </r>
  <r>
    <x v="49"/>
    <x v="60"/>
    <n v="78"/>
    <n v="722.4"/>
    <n v="182.28"/>
  </r>
  <r>
    <x v="50"/>
    <x v="60"/>
    <n v="78"/>
    <n v="779.46"/>
    <n v="305.93"/>
  </r>
  <r>
    <x v="51"/>
    <x v="60"/>
    <n v="78"/>
    <n v="800.07"/>
    <n v="326.01"/>
  </r>
  <r>
    <x v="52"/>
    <x v="60"/>
    <n v="78"/>
    <n v="768.96"/>
    <n v="325.73"/>
  </r>
  <r>
    <x v="53"/>
    <x v="60"/>
    <n v="78"/>
    <n v="793.62"/>
    <n v="0"/>
  </r>
  <r>
    <x v="54"/>
    <x v="60"/>
    <n v="78"/>
    <n v="615.42999999999995"/>
    <n v="0"/>
  </r>
  <r>
    <x v="55"/>
    <x v="60"/>
    <n v="78"/>
    <n v="817.52"/>
    <n v="0"/>
  </r>
  <r>
    <x v="56"/>
    <x v="60"/>
    <n v="78"/>
    <n v="810.36"/>
    <n v="0"/>
  </r>
  <r>
    <x v="57"/>
    <x v="60"/>
    <n v="78"/>
    <n v="875.51"/>
    <n v="0"/>
  </r>
  <r>
    <x v="58"/>
    <x v="60"/>
    <n v="78"/>
    <n v="756.86"/>
    <n v="0"/>
  </r>
  <r>
    <x v="59"/>
    <x v="60"/>
    <n v="78"/>
    <n v="848.98"/>
    <n v="361.69"/>
  </r>
  <r>
    <x v="60"/>
    <x v="60"/>
    <n v="78"/>
    <n v="1180.97"/>
    <n v="440.46"/>
  </r>
  <r>
    <x v="61"/>
    <x v="60"/>
    <n v="78"/>
    <n v="715.34"/>
    <n v="211.54"/>
  </r>
  <r>
    <x v="62"/>
    <x v="60"/>
    <n v="78"/>
    <n v="847.68"/>
    <n v="317.3"/>
  </r>
  <r>
    <x v="63"/>
    <x v="60"/>
    <n v="78"/>
    <n v="700.62"/>
    <n v="265.39"/>
  </r>
  <r>
    <x v="64"/>
    <x v="60"/>
    <n v="78"/>
    <n v="811.22"/>
    <n v="0"/>
  </r>
  <r>
    <x v="65"/>
    <x v="60"/>
    <n v="78"/>
    <n v="882.62"/>
    <n v="0"/>
  </r>
  <r>
    <x v="66"/>
    <x v="60"/>
    <n v="78"/>
    <n v="697.52"/>
    <n v="0"/>
  </r>
  <r>
    <x v="67"/>
    <x v="60"/>
    <n v="78"/>
    <n v="905.58"/>
    <n v="0"/>
  </r>
  <r>
    <x v="68"/>
    <x v="60"/>
    <n v="78"/>
    <n v="672.79"/>
    <n v="0"/>
  </r>
  <r>
    <x v="69"/>
    <x v="60"/>
    <n v="78"/>
    <n v="857.12"/>
    <n v="348.39"/>
  </r>
  <r>
    <x v="70"/>
    <x v="60"/>
    <n v="78"/>
    <n v="862.87"/>
    <n v="292.95999999999998"/>
  </r>
  <r>
    <x v="71"/>
    <x v="60"/>
    <n v="78"/>
    <n v="901.62"/>
    <n v="368.6"/>
  </r>
  <r>
    <x v="72"/>
    <x v="60"/>
    <n v="78"/>
    <n v="0"/>
    <n v="0"/>
  </r>
  <r>
    <x v="73"/>
    <x v="60"/>
    <n v="78"/>
    <n v="0"/>
    <n v="0"/>
  </r>
  <r>
    <x v="74"/>
    <x v="60"/>
    <n v="78"/>
    <n v="0"/>
    <n v="0"/>
  </r>
  <r>
    <x v="75"/>
    <x v="60"/>
    <n v="78"/>
    <n v="0"/>
    <n v="0"/>
  </r>
  <r>
    <x v="76"/>
    <x v="60"/>
    <n v="78"/>
    <n v="0"/>
    <n v="0"/>
  </r>
  <r>
    <x v="77"/>
    <x v="60"/>
    <n v="78"/>
    <n v="0"/>
    <n v="0"/>
  </r>
  <r>
    <x v="78"/>
    <x v="60"/>
    <n v="78"/>
    <n v="0"/>
    <n v="0"/>
  </r>
  <r>
    <x v="79"/>
    <x v="60"/>
    <n v="78"/>
    <n v="0"/>
    <n v="0"/>
  </r>
  <r>
    <x v="80"/>
    <x v="60"/>
    <n v="78"/>
    <n v="0"/>
    <n v="0"/>
  </r>
  <r>
    <x v="81"/>
    <x v="60"/>
    <n v="78"/>
    <n v="0"/>
    <n v="0"/>
  </r>
  <r>
    <x v="82"/>
    <x v="60"/>
    <n v="78"/>
    <n v="0"/>
    <n v="0"/>
  </r>
  <r>
    <x v="83"/>
    <x v="60"/>
    <n v="78"/>
    <n v="0"/>
    <n v="0"/>
  </r>
  <r>
    <x v="84"/>
    <x v="60"/>
    <n v="78"/>
    <n v="0"/>
    <n v="0"/>
  </r>
  <r>
    <x v="85"/>
    <x v="60"/>
    <n v="78"/>
    <n v="0"/>
    <n v="0"/>
  </r>
  <r>
    <x v="86"/>
    <x v="60"/>
    <n v="78"/>
    <n v="0"/>
    <n v="0"/>
  </r>
  <r>
    <x v="87"/>
    <x v="60"/>
    <n v="78"/>
    <n v="0"/>
    <n v="0"/>
  </r>
  <r>
    <x v="88"/>
    <x v="60"/>
    <n v="78"/>
    <n v="0"/>
    <n v="0"/>
  </r>
  <r>
    <x v="89"/>
    <x v="60"/>
    <n v="78"/>
    <n v="0"/>
    <n v="0"/>
  </r>
  <r>
    <x v="90"/>
    <x v="60"/>
    <n v="78"/>
    <n v="0"/>
    <n v="0"/>
  </r>
  <r>
    <x v="91"/>
    <x v="60"/>
    <n v="78"/>
    <n v="0"/>
    <n v="0"/>
  </r>
  <r>
    <x v="92"/>
    <x v="60"/>
    <n v="78"/>
    <n v="0"/>
    <n v="0"/>
  </r>
  <r>
    <x v="93"/>
    <x v="60"/>
    <n v="78"/>
    <n v="0"/>
    <n v="0"/>
  </r>
  <r>
    <x v="94"/>
    <x v="60"/>
    <n v="78"/>
    <n v="0"/>
    <n v="0"/>
  </r>
  <r>
    <x v="95"/>
    <x v="60"/>
    <n v="78"/>
    <n v="0"/>
    <n v="0"/>
  </r>
  <r>
    <x v="0"/>
    <x v="61"/>
    <n v="78.3"/>
    <n v="1093.47"/>
    <n v="367.2"/>
  </r>
  <r>
    <x v="1"/>
    <x v="61"/>
    <n v="78.3"/>
    <n v="828.86"/>
    <n v="257.95999999999998"/>
  </r>
  <r>
    <x v="2"/>
    <x v="61"/>
    <n v="78.3"/>
    <n v="833.07"/>
    <n v="255.68"/>
  </r>
  <r>
    <x v="3"/>
    <x v="61"/>
    <n v="78.3"/>
    <n v="834.86"/>
    <n v="260.35000000000002"/>
  </r>
  <r>
    <x v="4"/>
    <x v="61"/>
    <n v="78.3"/>
    <n v="810.32"/>
    <n v="262.85000000000002"/>
  </r>
  <r>
    <x v="5"/>
    <x v="61"/>
    <n v="78.3"/>
    <n v="859.76"/>
    <n v="273.72000000000003"/>
  </r>
  <r>
    <x v="6"/>
    <x v="61"/>
    <n v="78.3"/>
    <n v="802.79"/>
    <n v="251.48"/>
  </r>
  <r>
    <x v="7"/>
    <x v="61"/>
    <n v="78.3"/>
    <n v="829.32"/>
    <n v="283.47000000000003"/>
  </r>
  <r>
    <x v="8"/>
    <x v="61"/>
    <n v="78.3"/>
    <n v="834.53"/>
    <n v="290.18"/>
  </r>
  <r>
    <x v="9"/>
    <x v="61"/>
    <n v="78.3"/>
    <n v="798.72"/>
    <n v="281.5"/>
  </r>
  <r>
    <x v="10"/>
    <x v="61"/>
    <n v="78.3"/>
    <n v="842.23"/>
    <n v="272.24"/>
  </r>
  <r>
    <x v="11"/>
    <x v="61"/>
    <n v="78.3"/>
    <n v="1073.44"/>
    <n v="-1789.35"/>
  </r>
  <r>
    <x v="12"/>
    <x v="61"/>
    <n v="78.3"/>
    <n v="483.73"/>
    <n v="86.34"/>
  </r>
  <r>
    <x v="13"/>
    <x v="61"/>
    <n v="78.3"/>
    <n v="281.18"/>
    <n v="82.02"/>
  </r>
  <r>
    <x v="14"/>
    <x v="61"/>
    <n v="78.3"/>
    <n v="300.77"/>
    <n v="88.04"/>
  </r>
  <r>
    <x v="15"/>
    <x v="61"/>
    <n v="78.3"/>
    <n v="299.38"/>
    <n v="76.87"/>
  </r>
  <r>
    <x v="16"/>
    <x v="61"/>
    <n v="78.3"/>
    <n v="303.85000000000002"/>
    <n v="69.680000000000007"/>
  </r>
  <r>
    <x v="17"/>
    <x v="61"/>
    <n v="78.3"/>
    <n v="313.87"/>
    <n v="76.650000000000006"/>
  </r>
  <r>
    <x v="18"/>
    <x v="61"/>
    <n v="78.3"/>
    <n v="289.27999999999997"/>
    <n v="64.459999999999994"/>
  </r>
  <r>
    <x v="19"/>
    <x v="61"/>
    <n v="78.3"/>
    <n v="304.07"/>
    <n v="63.11"/>
  </r>
  <r>
    <x v="20"/>
    <x v="61"/>
    <n v="78.3"/>
    <n v="339.68"/>
    <n v="62.06"/>
  </r>
  <r>
    <x v="21"/>
    <x v="61"/>
    <n v="78.3"/>
    <n v="338.83"/>
    <n v="67.180000000000007"/>
  </r>
  <r>
    <x v="22"/>
    <x v="61"/>
    <n v="78.3"/>
    <n v="322.51"/>
    <n v="37.950000000000003"/>
  </r>
  <r>
    <x v="23"/>
    <x v="61"/>
    <n v="78.3"/>
    <n v="367.48"/>
    <n v="73"/>
  </r>
  <r>
    <x v="24"/>
    <x v="61"/>
    <n v="78.3"/>
    <n v="1527.26"/>
    <n v="394.74"/>
  </r>
  <r>
    <x v="25"/>
    <x v="61"/>
    <n v="78.3"/>
    <n v="982.98"/>
    <n v="240.18"/>
  </r>
  <r>
    <x v="26"/>
    <x v="61"/>
    <n v="78.3"/>
    <n v="955.49"/>
    <n v="180.84"/>
  </r>
  <r>
    <x v="27"/>
    <x v="61"/>
    <n v="78.3"/>
    <n v="1053.81"/>
    <n v="262.47000000000003"/>
  </r>
  <r>
    <x v="28"/>
    <x v="61"/>
    <n v="78.3"/>
    <n v="926.05"/>
    <n v="223.84"/>
  </r>
  <r>
    <x v="29"/>
    <x v="61"/>
    <n v="78.3"/>
    <n v="1048.7"/>
    <n v="266.02"/>
  </r>
  <r>
    <x v="30"/>
    <x v="61"/>
    <n v="78.3"/>
    <n v="970.07"/>
    <n v="224.02"/>
  </r>
  <r>
    <x v="31"/>
    <x v="61"/>
    <n v="78.3"/>
    <n v="1005.12"/>
    <n v="244.14"/>
  </r>
  <r>
    <x v="32"/>
    <x v="61"/>
    <n v="78.3"/>
    <n v="848.77"/>
    <n v="210.33"/>
  </r>
  <r>
    <x v="33"/>
    <x v="61"/>
    <n v="78.3"/>
    <n v="955.38"/>
    <n v="244.72"/>
  </r>
  <r>
    <x v="34"/>
    <x v="61"/>
    <n v="78.3"/>
    <n v="1050.74"/>
    <n v="233.69"/>
  </r>
  <r>
    <x v="35"/>
    <x v="61"/>
    <n v="78.3"/>
    <n v="989.27"/>
    <n v="268.31"/>
  </r>
  <r>
    <x v="36"/>
    <x v="61"/>
    <n v="78.3"/>
    <n v="1343.4"/>
    <n v="462.08"/>
  </r>
  <r>
    <x v="37"/>
    <x v="61"/>
    <n v="78.3"/>
    <n v="717.55"/>
    <n v="248.46"/>
  </r>
  <r>
    <x v="38"/>
    <x v="61"/>
    <n v="78.3"/>
    <n v="879.9"/>
    <n v="340.31"/>
  </r>
  <r>
    <x v="39"/>
    <x v="61"/>
    <n v="78.3"/>
    <n v="686.16"/>
    <n v="0"/>
  </r>
  <r>
    <x v="40"/>
    <x v="61"/>
    <n v="78.3"/>
    <n v="822.76"/>
    <n v="0"/>
  </r>
  <r>
    <x v="41"/>
    <x v="61"/>
    <n v="78.3"/>
    <n v="895.03"/>
    <n v="357.35"/>
  </r>
  <r>
    <x v="42"/>
    <x v="61"/>
    <n v="78.3"/>
    <n v="857.94"/>
    <n v="0"/>
  </r>
  <r>
    <x v="43"/>
    <x v="61"/>
    <n v="78.3"/>
    <n v="774.61"/>
    <n v="0"/>
  </r>
  <r>
    <x v="44"/>
    <x v="61"/>
    <n v="78.3"/>
    <n v="777.37"/>
    <n v="0"/>
  </r>
  <r>
    <x v="45"/>
    <x v="61"/>
    <n v="78.3"/>
    <n v="782.29"/>
    <n v="0"/>
  </r>
  <r>
    <x v="46"/>
    <x v="61"/>
    <n v="78.3"/>
    <n v="679.26"/>
    <n v="0"/>
  </r>
  <r>
    <x v="47"/>
    <x v="61"/>
    <n v="78.3"/>
    <n v="798.11"/>
    <n v="320.74"/>
  </r>
  <r>
    <x v="48"/>
    <x v="61"/>
    <n v="78.3"/>
    <n v="1423.99"/>
    <n v="498.37"/>
  </r>
  <r>
    <x v="49"/>
    <x v="61"/>
    <n v="78.3"/>
    <n v="744.24"/>
    <n v="208.42"/>
  </r>
  <r>
    <x v="50"/>
    <x v="61"/>
    <n v="78.3"/>
    <n v="795.55"/>
    <n v="308.45"/>
  </r>
  <r>
    <x v="51"/>
    <x v="61"/>
    <n v="78.3"/>
    <n v="824.9"/>
    <n v="330.69"/>
  </r>
  <r>
    <x v="52"/>
    <x v="61"/>
    <n v="78.3"/>
    <n v="792.51"/>
    <n v="330.74"/>
  </r>
  <r>
    <x v="53"/>
    <x v="61"/>
    <n v="78.3"/>
    <n v="817.04"/>
    <n v="0"/>
  </r>
  <r>
    <x v="54"/>
    <x v="61"/>
    <n v="78.3"/>
    <n v="633.4"/>
    <n v="0"/>
  </r>
  <r>
    <x v="55"/>
    <x v="61"/>
    <n v="78.3"/>
    <n v="835.83"/>
    <n v="0"/>
  </r>
  <r>
    <x v="56"/>
    <x v="61"/>
    <n v="78.3"/>
    <n v="845.28"/>
    <n v="0"/>
  </r>
  <r>
    <x v="57"/>
    <x v="61"/>
    <n v="78.3"/>
    <n v="904.71"/>
    <n v="0"/>
  </r>
  <r>
    <x v="58"/>
    <x v="61"/>
    <n v="78.3"/>
    <n v="771.63"/>
    <n v="0"/>
  </r>
  <r>
    <x v="59"/>
    <x v="61"/>
    <n v="78.3"/>
    <n v="875.65"/>
    <n v="360.62"/>
  </r>
  <r>
    <x v="60"/>
    <x v="61"/>
    <n v="78.3"/>
    <n v="1200.19"/>
    <n v="436.33"/>
  </r>
  <r>
    <x v="61"/>
    <x v="61"/>
    <n v="78.3"/>
    <n v="732.79"/>
    <n v="233.26"/>
  </r>
  <r>
    <x v="62"/>
    <x v="61"/>
    <n v="78.3"/>
    <n v="869.63"/>
    <n v="317.94"/>
  </r>
  <r>
    <x v="63"/>
    <x v="61"/>
    <n v="78.3"/>
    <n v="712.29"/>
    <n v="264.24"/>
  </r>
  <r>
    <x v="64"/>
    <x v="61"/>
    <n v="78.3"/>
    <n v="820.52"/>
    <n v="0"/>
  </r>
  <r>
    <x v="65"/>
    <x v="61"/>
    <n v="78.3"/>
    <n v="908.9"/>
    <n v="0"/>
  </r>
  <r>
    <x v="66"/>
    <x v="61"/>
    <n v="78.3"/>
    <n v="715.64"/>
    <n v="0"/>
  </r>
  <r>
    <x v="67"/>
    <x v="61"/>
    <n v="78.3"/>
    <n v="925.88"/>
    <n v="0"/>
  </r>
  <r>
    <x v="68"/>
    <x v="61"/>
    <n v="78.3"/>
    <n v="703.01"/>
    <n v="0"/>
  </r>
  <r>
    <x v="69"/>
    <x v="61"/>
    <n v="78.3"/>
    <n v="882.73"/>
    <n v="354.33"/>
  </r>
  <r>
    <x v="70"/>
    <x v="61"/>
    <n v="78.3"/>
    <n v="874.7"/>
    <n v="286.2"/>
  </r>
  <r>
    <x v="71"/>
    <x v="61"/>
    <n v="78.3"/>
    <n v="926.44"/>
    <n v="369.85"/>
  </r>
  <r>
    <x v="72"/>
    <x v="61"/>
    <n v="78.3"/>
    <n v="0"/>
    <n v="0"/>
  </r>
  <r>
    <x v="73"/>
    <x v="61"/>
    <n v="78.3"/>
    <n v="0"/>
    <n v="0"/>
  </r>
  <r>
    <x v="74"/>
    <x v="61"/>
    <n v="78.3"/>
    <n v="0"/>
    <n v="0"/>
  </r>
  <r>
    <x v="75"/>
    <x v="61"/>
    <n v="78.3"/>
    <n v="0"/>
    <n v="0"/>
  </r>
  <r>
    <x v="76"/>
    <x v="61"/>
    <n v="78.3"/>
    <n v="0"/>
    <n v="0"/>
  </r>
  <r>
    <x v="77"/>
    <x v="61"/>
    <n v="78.3"/>
    <n v="0"/>
    <n v="0"/>
  </r>
  <r>
    <x v="78"/>
    <x v="61"/>
    <n v="78.3"/>
    <n v="0"/>
    <n v="0"/>
  </r>
  <r>
    <x v="79"/>
    <x v="61"/>
    <n v="78.3"/>
    <n v="0"/>
    <n v="0"/>
  </r>
  <r>
    <x v="80"/>
    <x v="61"/>
    <n v="78.3"/>
    <n v="0"/>
    <n v="0"/>
  </r>
  <r>
    <x v="81"/>
    <x v="61"/>
    <n v="78.3"/>
    <n v="0"/>
    <n v="0"/>
  </r>
  <r>
    <x v="82"/>
    <x v="61"/>
    <n v="78.3"/>
    <n v="0"/>
    <n v="0"/>
  </r>
  <r>
    <x v="83"/>
    <x v="61"/>
    <n v="78.3"/>
    <n v="0"/>
    <n v="0"/>
  </r>
  <r>
    <x v="84"/>
    <x v="61"/>
    <n v="78.3"/>
    <n v="0"/>
    <n v="0"/>
  </r>
  <r>
    <x v="85"/>
    <x v="61"/>
    <n v="78.3"/>
    <n v="0"/>
    <n v="0"/>
  </r>
  <r>
    <x v="86"/>
    <x v="61"/>
    <n v="78.3"/>
    <n v="0"/>
    <n v="0"/>
  </r>
  <r>
    <x v="87"/>
    <x v="61"/>
    <n v="78.3"/>
    <n v="0"/>
    <n v="0"/>
  </r>
  <r>
    <x v="88"/>
    <x v="61"/>
    <n v="78.3"/>
    <n v="0"/>
    <n v="0"/>
  </r>
  <r>
    <x v="89"/>
    <x v="61"/>
    <n v="78.3"/>
    <n v="0"/>
    <n v="0"/>
  </r>
  <r>
    <x v="90"/>
    <x v="61"/>
    <n v="78.3"/>
    <n v="0"/>
    <n v="0"/>
  </r>
  <r>
    <x v="91"/>
    <x v="61"/>
    <n v="78.3"/>
    <n v="0"/>
    <n v="0"/>
  </r>
  <r>
    <x v="92"/>
    <x v="61"/>
    <n v="78.3"/>
    <n v="0"/>
    <n v="0"/>
  </r>
  <r>
    <x v="93"/>
    <x v="61"/>
    <n v="78.3"/>
    <n v="0"/>
    <n v="0"/>
  </r>
  <r>
    <x v="94"/>
    <x v="61"/>
    <n v="78.3"/>
    <n v="0"/>
    <n v="0"/>
  </r>
  <r>
    <x v="95"/>
    <x v="61"/>
    <n v="78.3"/>
    <n v="0"/>
    <n v="0"/>
  </r>
  <r>
    <x v="0"/>
    <x v="62"/>
    <n v="78.599999999999994"/>
    <n v="1149.3599999999999"/>
    <n v="348.34"/>
  </r>
  <r>
    <x v="1"/>
    <x v="62"/>
    <n v="78.599999999999994"/>
    <n v="875.38"/>
    <n v="248.01"/>
  </r>
  <r>
    <x v="2"/>
    <x v="62"/>
    <n v="78.599999999999994"/>
    <n v="880.38"/>
    <n v="247.62"/>
  </r>
  <r>
    <x v="3"/>
    <x v="62"/>
    <n v="78.599999999999994"/>
    <n v="883.9"/>
    <n v="250.57"/>
  </r>
  <r>
    <x v="4"/>
    <x v="62"/>
    <n v="78.599999999999994"/>
    <n v="856.46"/>
    <n v="253.13"/>
  </r>
  <r>
    <x v="5"/>
    <x v="62"/>
    <n v="78.599999999999994"/>
    <n v="908.31"/>
    <n v="263.23"/>
  </r>
  <r>
    <x v="6"/>
    <x v="62"/>
    <n v="78.599999999999994"/>
    <n v="848.17"/>
    <n v="242.92"/>
  </r>
  <r>
    <x v="7"/>
    <x v="62"/>
    <n v="78.599999999999994"/>
    <n v="875.69"/>
    <n v="271.38"/>
  </r>
  <r>
    <x v="8"/>
    <x v="62"/>
    <n v="78.599999999999994"/>
    <n v="880.66"/>
    <n v="276.95"/>
  </r>
  <r>
    <x v="9"/>
    <x v="62"/>
    <n v="78.599999999999994"/>
    <n v="843.05"/>
    <n v="268.23"/>
  </r>
  <r>
    <x v="10"/>
    <x v="62"/>
    <n v="78.599999999999994"/>
    <n v="890.07"/>
    <n v="261.12"/>
  </r>
  <r>
    <x v="11"/>
    <x v="62"/>
    <n v="78.599999999999994"/>
    <n v="1131.83"/>
    <n v="-1799"/>
  </r>
  <r>
    <x v="12"/>
    <x v="62"/>
    <n v="78.599999999999994"/>
    <n v="413.04"/>
    <n v="85.96"/>
  </r>
  <r>
    <x v="13"/>
    <x v="62"/>
    <n v="78.599999999999994"/>
    <n v="247.3"/>
    <n v="85.09"/>
  </r>
  <r>
    <x v="14"/>
    <x v="62"/>
    <n v="78.599999999999994"/>
    <n v="263.86"/>
    <n v="90.93"/>
  </r>
  <r>
    <x v="15"/>
    <x v="62"/>
    <n v="78.599999999999994"/>
    <n v="260.33"/>
    <n v="80"/>
  </r>
  <r>
    <x v="16"/>
    <x v="62"/>
    <n v="78.599999999999994"/>
    <n v="263.76"/>
    <n v="74.209999999999994"/>
  </r>
  <r>
    <x v="17"/>
    <x v="62"/>
    <n v="78.599999999999994"/>
    <n v="272.89999999999998"/>
    <n v="79.69"/>
  </r>
  <r>
    <x v="18"/>
    <x v="62"/>
    <n v="78.599999999999994"/>
    <n v="251.16"/>
    <n v="68.28"/>
  </r>
  <r>
    <x v="19"/>
    <x v="62"/>
    <n v="78.599999999999994"/>
    <n v="263.49"/>
    <n v="67.849999999999994"/>
  </r>
  <r>
    <x v="20"/>
    <x v="62"/>
    <n v="78.599999999999994"/>
    <n v="292.79000000000002"/>
    <n v="64.72"/>
  </r>
  <r>
    <x v="21"/>
    <x v="62"/>
    <n v="78.599999999999994"/>
    <n v="291.57"/>
    <n v="72"/>
  </r>
  <r>
    <x v="22"/>
    <x v="62"/>
    <n v="78.599999999999994"/>
    <n v="277.18"/>
    <n v="38.869999999999997"/>
  </r>
  <r>
    <x v="23"/>
    <x v="62"/>
    <n v="78.599999999999994"/>
    <n v="314.38"/>
    <n v="74.430000000000007"/>
  </r>
  <r>
    <x v="24"/>
    <x v="62"/>
    <n v="78.599999999999994"/>
    <n v="1607.47"/>
    <n v="389.58"/>
  </r>
  <r>
    <x v="25"/>
    <x v="62"/>
    <n v="78.599999999999994"/>
    <n v="1048.1199999999999"/>
    <n v="243"/>
  </r>
  <r>
    <x v="26"/>
    <x v="62"/>
    <n v="78.599999999999994"/>
    <n v="1017.07"/>
    <n v="184.32"/>
  </r>
  <r>
    <x v="27"/>
    <x v="62"/>
    <n v="78.599999999999994"/>
    <n v="1126.3800000000001"/>
    <n v="263.83999999999997"/>
  </r>
  <r>
    <x v="28"/>
    <x v="62"/>
    <n v="78.599999999999994"/>
    <n v="990.33"/>
    <n v="233.46"/>
  </r>
  <r>
    <x v="29"/>
    <x v="62"/>
    <n v="78.599999999999994"/>
    <n v="1115.98"/>
    <n v="266.23"/>
  </r>
  <r>
    <x v="30"/>
    <x v="62"/>
    <n v="78.599999999999994"/>
    <n v="1029.6300000000001"/>
    <n v="224.72"/>
  </r>
  <r>
    <x v="31"/>
    <x v="62"/>
    <n v="78.599999999999994"/>
    <n v="1068.08"/>
    <n v="245.94"/>
  </r>
  <r>
    <x v="32"/>
    <x v="62"/>
    <n v="78.599999999999994"/>
    <n v="908.45"/>
    <n v="213.76"/>
  </r>
  <r>
    <x v="33"/>
    <x v="62"/>
    <n v="78.599999999999994"/>
    <n v="1016.73"/>
    <n v="246.37"/>
  </r>
  <r>
    <x v="34"/>
    <x v="62"/>
    <n v="78.599999999999994"/>
    <n v="1116.73"/>
    <n v="233.34"/>
  </r>
  <r>
    <x v="35"/>
    <x v="62"/>
    <n v="78.599999999999994"/>
    <n v="1048.97"/>
    <n v="265.79000000000002"/>
  </r>
  <r>
    <x v="36"/>
    <x v="62"/>
    <n v="78.599999999999994"/>
    <n v="1371.17"/>
    <n v="461.04"/>
  </r>
  <r>
    <x v="37"/>
    <x v="62"/>
    <n v="78.599999999999994"/>
    <n v="739.3"/>
    <n v="264.19"/>
  </r>
  <r>
    <x v="38"/>
    <x v="62"/>
    <n v="78.599999999999994"/>
    <n v="906.3"/>
    <n v="351.36"/>
  </r>
  <r>
    <x v="39"/>
    <x v="62"/>
    <n v="78.599999999999994"/>
    <n v="717.28"/>
    <n v="0"/>
  </r>
  <r>
    <x v="40"/>
    <x v="62"/>
    <n v="78.599999999999994"/>
    <n v="859.59"/>
    <n v="0"/>
  </r>
  <r>
    <x v="41"/>
    <x v="62"/>
    <n v="78.599999999999994"/>
    <n v="928.18"/>
    <n v="362.94"/>
  </r>
  <r>
    <x v="42"/>
    <x v="62"/>
    <n v="78.599999999999994"/>
    <n v="891.15"/>
    <n v="0"/>
  </r>
  <r>
    <x v="43"/>
    <x v="62"/>
    <n v="78.599999999999994"/>
    <n v="795.17"/>
    <n v="0"/>
  </r>
  <r>
    <x v="44"/>
    <x v="62"/>
    <n v="78.599999999999994"/>
    <n v="803.94"/>
    <n v="0"/>
  </r>
  <r>
    <x v="45"/>
    <x v="62"/>
    <n v="78.599999999999994"/>
    <n v="805.69"/>
    <n v="0"/>
  </r>
  <r>
    <x v="46"/>
    <x v="62"/>
    <n v="78.599999999999994"/>
    <n v="691.5"/>
    <n v="0"/>
  </r>
  <r>
    <x v="47"/>
    <x v="62"/>
    <n v="78.599999999999994"/>
    <n v="825.34"/>
    <n v="321.87"/>
  </r>
  <r>
    <x v="48"/>
    <x v="62"/>
    <n v="78.599999999999994"/>
    <n v="1452.63"/>
    <n v="499.18"/>
  </r>
  <r>
    <x v="49"/>
    <x v="62"/>
    <n v="78.599999999999994"/>
    <n v="773.24"/>
    <n v="241.79"/>
  </r>
  <r>
    <x v="50"/>
    <x v="62"/>
    <n v="78.599999999999994"/>
    <n v="814.67"/>
    <n v="311.52999999999997"/>
  </r>
  <r>
    <x v="51"/>
    <x v="62"/>
    <n v="78.599999999999994"/>
    <n v="853.12"/>
    <n v="335.52"/>
  </r>
  <r>
    <x v="52"/>
    <x v="62"/>
    <n v="78.599999999999994"/>
    <n v="819.04"/>
    <n v="335.66"/>
  </r>
  <r>
    <x v="53"/>
    <x v="62"/>
    <n v="78.599999999999994"/>
    <n v="844.37"/>
    <n v="0"/>
  </r>
  <r>
    <x v="54"/>
    <x v="62"/>
    <n v="78.599999999999994"/>
    <n v="655.79"/>
    <n v="0"/>
  </r>
  <r>
    <x v="55"/>
    <x v="62"/>
    <n v="78.599999999999994"/>
    <n v="856.17"/>
    <n v="0"/>
  </r>
  <r>
    <x v="56"/>
    <x v="62"/>
    <n v="78.599999999999994"/>
    <n v="883"/>
    <n v="0"/>
  </r>
  <r>
    <x v="57"/>
    <x v="62"/>
    <n v="78.599999999999994"/>
    <n v="935.41"/>
    <n v="0"/>
  </r>
  <r>
    <x v="58"/>
    <x v="62"/>
    <n v="78.599999999999994"/>
    <n v="790.25"/>
    <n v="0"/>
  </r>
  <r>
    <x v="59"/>
    <x v="62"/>
    <n v="78.599999999999994"/>
    <n v="903.11"/>
    <n v="360.42"/>
  </r>
  <r>
    <x v="60"/>
    <x v="62"/>
    <n v="78.599999999999994"/>
    <n v="1222.27"/>
    <n v="433.49"/>
  </r>
  <r>
    <x v="61"/>
    <x v="62"/>
    <n v="78.599999999999994"/>
    <n v="755.79"/>
    <n v="253.93"/>
  </r>
  <r>
    <x v="62"/>
    <x v="62"/>
    <n v="78.599999999999994"/>
    <n v="894.67"/>
    <n v="321.27"/>
  </r>
  <r>
    <x v="63"/>
    <x v="62"/>
    <n v="78.599999999999994"/>
    <n v="726.99"/>
    <n v="263.31"/>
  </r>
  <r>
    <x v="64"/>
    <x v="62"/>
    <n v="78.599999999999994"/>
    <n v="832.26"/>
    <n v="0"/>
  </r>
  <r>
    <x v="65"/>
    <x v="62"/>
    <n v="78.599999999999994"/>
    <n v="939.24"/>
    <n v="0"/>
  </r>
  <r>
    <x v="66"/>
    <x v="62"/>
    <n v="78.599999999999994"/>
    <n v="739.35"/>
    <n v="0"/>
  </r>
  <r>
    <x v="67"/>
    <x v="62"/>
    <n v="78.599999999999994"/>
    <n v="949.85"/>
    <n v="0"/>
  </r>
  <r>
    <x v="68"/>
    <x v="62"/>
    <n v="78.599999999999994"/>
    <n v="736.24"/>
    <n v="0"/>
  </r>
  <r>
    <x v="69"/>
    <x v="62"/>
    <n v="78.599999999999994"/>
    <n v="911.53"/>
    <n v="359.45"/>
  </r>
  <r>
    <x v="70"/>
    <x v="62"/>
    <n v="78.599999999999994"/>
    <n v="890.48"/>
    <n v="283.14999999999998"/>
  </r>
  <r>
    <x v="71"/>
    <x v="62"/>
    <n v="78.599999999999994"/>
    <n v="954.45"/>
    <n v="371.02"/>
  </r>
  <r>
    <x v="72"/>
    <x v="62"/>
    <n v="78.599999999999994"/>
    <n v="0"/>
    <n v="0"/>
  </r>
  <r>
    <x v="73"/>
    <x v="62"/>
    <n v="78.599999999999994"/>
    <n v="0"/>
    <n v="0"/>
  </r>
  <r>
    <x v="74"/>
    <x v="62"/>
    <n v="78.599999999999994"/>
    <n v="0"/>
    <n v="0"/>
  </r>
  <r>
    <x v="75"/>
    <x v="62"/>
    <n v="78.599999999999994"/>
    <n v="0"/>
    <n v="0"/>
  </r>
  <r>
    <x v="76"/>
    <x v="62"/>
    <n v="78.599999999999994"/>
    <n v="0"/>
    <n v="0"/>
  </r>
  <r>
    <x v="77"/>
    <x v="62"/>
    <n v="78.599999999999994"/>
    <n v="0"/>
    <n v="0"/>
  </r>
  <r>
    <x v="78"/>
    <x v="62"/>
    <n v="78.599999999999994"/>
    <n v="0"/>
    <n v="0"/>
  </r>
  <r>
    <x v="79"/>
    <x v="62"/>
    <n v="78.599999999999994"/>
    <n v="0"/>
    <n v="0"/>
  </r>
  <r>
    <x v="80"/>
    <x v="62"/>
    <n v="78.599999999999994"/>
    <n v="0"/>
    <n v="0"/>
  </r>
  <r>
    <x v="81"/>
    <x v="62"/>
    <n v="78.599999999999994"/>
    <n v="0"/>
    <n v="0"/>
  </r>
  <r>
    <x v="82"/>
    <x v="62"/>
    <n v="78.599999999999994"/>
    <n v="0"/>
    <n v="0"/>
  </r>
  <r>
    <x v="83"/>
    <x v="62"/>
    <n v="78.599999999999994"/>
    <n v="0"/>
    <n v="0"/>
  </r>
  <r>
    <x v="84"/>
    <x v="62"/>
    <n v="78.599999999999994"/>
    <n v="0"/>
    <n v="0"/>
  </r>
  <r>
    <x v="85"/>
    <x v="62"/>
    <n v="78.599999999999994"/>
    <n v="0"/>
    <n v="0"/>
  </r>
  <r>
    <x v="86"/>
    <x v="62"/>
    <n v="78.599999999999994"/>
    <n v="0"/>
    <n v="0"/>
  </r>
  <r>
    <x v="87"/>
    <x v="62"/>
    <n v="78.599999999999994"/>
    <n v="0"/>
    <n v="0"/>
  </r>
  <r>
    <x v="88"/>
    <x v="62"/>
    <n v="78.599999999999994"/>
    <n v="0"/>
    <n v="0"/>
  </r>
  <r>
    <x v="89"/>
    <x v="62"/>
    <n v="78.599999999999994"/>
    <n v="0"/>
    <n v="0"/>
  </r>
  <r>
    <x v="90"/>
    <x v="62"/>
    <n v="78.599999999999994"/>
    <n v="0"/>
    <n v="0"/>
  </r>
  <r>
    <x v="91"/>
    <x v="62"/>
    <n v="78.599999999999994"/>
    <n v="0"/>
    <n v="0"/>
  </r>
  <r>
    <x v="92"/>
    <x v="62"/>
    <n v="78.599999999999994"/>
    <n v="0"/>
    <n v="0"/>
  </r>
  <r>
    <x v="93"/>
    <x v="62"/>
    <n v="78.599999999999994"/>
    <n v="0"/>
    <n v="0"/>
  </r>
  <r>
    <x v="94"/>
    <x v="62"/>
    <n v="78.599999999999994"/>
    <n v="0"/>
    <n v="0"/>
  </r>
  <r>
    <x v="95"/>
    <x v="62"/>
    <n v="78.599999999999994"/>
    <n v="0"/>
    <n v="0"/>
  </r>
  <r>
    <x v="0"/>
    <x v="63"/>
    <n v="78.900000000000006"/>
    <n v="1214.01"/>
    <n v="332.91"/>
  </r>
  <r>
    <x v="1"/>
    <x v="63"/>
    <n v="78.900000000000006"/>
    <n v="928.44"/>
    <n v="239.89"/>
  </r>
  <r>
    <x v="2"/>
    <x v="63"/>
    <n v="78.900000000000006"/>
    <n v="934.24"/>
    <n v="241.25"/>
  </r>
  <r>
    <x v="3"/>
    <x v="63"/>
    <n v="78.900000000000006"/>
    <n v="939.24"/>
    <n v="242.73"/>
  </r>
  <r>
    <x v="4"/>
    <x v="63"/>
    <n v="78.900000000000006"/>
    <n v="908.73"/>
    <n v="245.22"/>
  </r>
  <r>
    <x v="5"/>
    <x v="63"/>
    <n v="78.900000000000006"/>
    <n v="963.16"/>
    <n v="254.76"/>
  </r>
  <r>
    <x v="6"/>
    <x v="63"/>
    <n v="78.900000000000006"/>
    <n v="899.69"/>
    <n v="236.18"/>
  </r>
  <r>
    <x v="7"/>
    <x v="63"/>
    <n v="78.900000000000006"/>
    <n v="928.76"/>
    <n v="261.47000000000003"/>
  </r>
  <r>
    <x v="8"/>
    <x v="63"/>
    <n v="78.900000000000006"/>
    <n v="932.79"/>
    <n v="266.2"/>
  </r>
  <r>
    <x v="9"/>
    <x v="63"/>
    <n v="78.900000000000006"/>
    <n v="893.28"/>
    <n v="257.39999999999998"/>
  </r>
  <r>
    <x v="10"/>
    <x v="63"/>
    <n v="78.900000000000006"/>
    <n v="944.29"/>
    <n v="252.35"/>
  </r>
  <r>
    <x v="11"/>
    <x v="63"/>
    <n v="78.900000000000006"/>
    <n v="1104.58"/>
    <n v="-1802.86"/>
  </r>
  <r>
    <x v="12"/>
    <x v="63"/>
    <n v="78.900000000000006"/>
    <n v="355.45"/>
    <n v="88.89"/>
  </r>
  <r>
    <x v="13"/>
    <x v="63"/>
    <n v="78.900000000000006"/>
    <n v="219.84"/>
    <n v="88.6"/>
  </r>
  <r>
    <x v="14"/>
    <x v="63"/>
    <n v="78.900000000000006"/>
    <n v="234.06"/>
    <n v="93.68"/>
  </r>
  <r>
    <x v="15"/>
    <x v="63"/>
    <n v="78.900000000000006"/>
    <n v="228.68"/>
    <n v="82.79"/>
  </r>
  <r>
    <x v="16"/>
    <x v="63"/>
    <n v="78.900000000000006"/>
    <n v="231.29"/>
    <n v="79.14"/>
  </r>
  <r>
    <x v="17"/>
    <x v="63"/>
    <n v="78.900000000000006"/>
    <n v="239.58"/>
    <n v="83.88"/>
  </r>
  <r>
    <x v="18"/>
    <x v="63"/>
    <n v="78.900000000000006"/>
    <n v="220.3"/>
    <n v="71.8"/>
  </r>
  <r>
    <x v="19"/>
    <x v="63"/>
    <n v="78.900000000000006"/>
    <n v="230.51"/>
    <n v="73.209999999999994"/>
  </r>
  <r>
    <x v="20"/>
    <x v="63"/>
    <n v="78.900000000000006"/>
    <n v="254.59"/>
    <n v="69.3"/>
  </r>
  <r>
    <x v="21"/>
    <x v="63"/>
    <n v="78.900000000000006"/>
    <n v="253.07"/>
    <n v="77.349999999999994"/>
  </r>
  <r>
    <x v="22"/>
    <x v="63"/>
    <n v="78.900000000000006"/>
    <n v="240.23"/>
    <n v="42.09"/>
  </r>
  <r>
    <x v="23"/>
    <x v="63"/>
    <n v="78.900000000000006"/>
    <n v="270.87"/>
    <n v="75.75"/>
  </r>
  <r>
    <x v="24"/>
    <x v="63"/>
    <n v="78.900000000000006"/>
    <n v="1699.12"/>
    <n v="385.11"/>
  </r>
  <r>
    <x v="25"/>
    <x v="63"/>
    <n v="78.900000000000006"/>
    <n v="1122.44"/>
    <n v="245.55"/>
  </r>
  <r>
    <x v="26"/>
    <x v="63"/>
    <n v="78.900000000000006"/>
    <n v="1088.1300000000001"/>
    <n v="198.78"/>
  </r>
  <r>
    <x v="27"/>
    <x v="63"/>
    <n v="78.900000000000006"/>
    <n v="1206.99"/>
    <n v="265.39999999999998"/>
  </r>
  <r>
    <x v="28"/>
    <x v="63"/>
    <n v="78.900000000000006"/>
    <n v="1063.23"/>
    <n v="239.82"/>
  </r>
  <r>
    <x v="29"/>
    <x v="63"/>
    <n v="78.900000000000006"/>
    <n v="1191.6600000000001"/>
    <n v="266.33"/>
  </r>
  <r>
    <x v="30"/>
    <x v="63"/>
    <n v="78.900000000000006"/>
    <n v="1098.58"/>
    <n v="226.26"/>
  </r>
  <r>
    <x v="31"/>
    <x v="63"/>
    <n v="78.900000000000006"/>
    <n v="1140.49"/>
    <n v="248.06"/>
  </r>
  <r>
    <x v="32"/>
    <x v="63"/>
    <n v="78.900000000000006"/>
    <n v="977.41"/>
    <n v="217.63"/>
  </r>
  <r>
    <x v="33"/>
    <x v="63"/>
    <n v="78.900000000000006"/>
    <n v="1086.47"/>
    <n v="248.01"/>
  </r>
  <r>
    <x v="34"/>
    <x v="63"/>
    <n v="78.900000000000006"/>
    <n v="1192.76"/>
    <n v="234.14"/>
  </r>
  <r>
    <x v="35"/>
    <x v="63"/>
    <n v="78.900000000000006"/>
    <n v="1114.72"/>
    <n v="263.58999999999997"/>
  </r>
  <r>
    <x v="36"/>
    <x v="63"/>
    <n v="78.900000000000006"/>
    <n v="1403.68"/>
    <n v="462.74"/>
  </r>
  <r>
    <x v="37"/>
    <x v="63"/>
    <n v="78.900000000000006"/>
    <n v="765.44"/>
    <n v="281.05"/>
  </r>
  <r>
    <x v="38"/>
    <x v="63"/>
    <n v="78.900000000000006"/>
    <n v="937.18"/>
    <n v="365.04"/>
  </r>
  <r>
    <x v="39"/>
    <x v="63"/>
    <n v="78.900000000000006"/>
    <n v="753.37"/>
    <n v="0"/>
  </r>
  <r>
    <x v="40"/>
    <x v="63"/>
    <n v="78.900000000000006"/>
    <n v="900.14"/>
    <n v="0"/>
  </r>
  <r>
    <x v="41"/>
    <x v="63"/>
    <n v="78.900000000000006"/>
    <n v="965.23"/>
    <n v="365.33"/>
  </r>
  <r>
    <x v="42"/>
    <x v="63"/>
    <n v="78.900000000000006"/>
    <n v="927.58"/>
    <n v="0"/>
  </r>
  <r>
    <x v="43"/>
    <x v="63"/>
    <n v="78.900000000000006"/>
    <n v="820.17"/>
    <n v="0"/>
  </r>
  <r>
    <x v="44"/>
    <x v="63"/>
    <n v="78.900000000000006"/>
    <n v="835.54"/>
    <n v="0"/>
  </r>
  <r>
    <x v="45"/>
    <x v="63"/>
    <n v="78.900000000000006"/>
    <n v="834.14"/>
    <n v="0"/>
  </r>
  <r>
    <x v="46"/>
    <x v="63"/>
    <n v="78.900000000000006"/>
    <n v="707.01"/>
    <n v="0"/>
  </r>
  <r>
    <x v="47"/>
    <x v="63"/>
    <n v="78.900000000000006"/>
    <n v="854.27"/>
    <n v="322.52"/>
  </r>
  <r>
    <x v="48"/>
    <x v="63"/>
    <n v="78.900000000000006"/>
    <n v="1486.11"/>
    <n v="505.86"/>
  </r>
  <r>
    <x v="49"/>
    <x v="63"/>
    <n v="78.900000000000006"/>
    <n v="810.38"/>
    <n v="277.07"/>
  </r>
  <r>
    <x v="50"/>
    <x v="63"/>
    <n v="78.900000000000006"/>
    <n v="837.24"/>
    <n v="314.5"/>
  </r>
  <r>
    <x v="51"/>
    <x v="63"/>
    <n v="78.900000000000006"/>
    <n v="884.89"/>
    <n v="340.13"/>
  </r>
  <r>
    <x v="52"/>
    <x v="63"/>
    <n v="78.900000000000006"/>
    <n v="848.58"/>
    <n v="340.16"/>
  </r>
  <r>
    <x v="53"/>
    <x v="63"/>
    <n v="78.900000000000006"/>
    <n v="875.77"/>
    <n v="0"/>
  </r>
  <r>
    <x v="54"/>
    <x v="63"/>
    <n v="78.900000000000006"/>
    <n v="683.36"/>
    <n v="0"/>
  </r>
  <r>
    <x v="55"/>
    <x v="63"/>
    <n v="78.900000000000006"/>
    <n v="878.68"/>
    <n v="0"/>
  </r>
  <r>
    <x v="56"/>
    <x v="63"/>
    <n v="78.900000000000006"/>
    <n v="922.88"/>
    <n v="0"/>
  </r>
  <r>
    <x v="57"/>
    <x v="63"/>
    <n v="78.900000000000006"/>
    <n v="967.69"/>
    <n v="0"/>
  </r>
  <r>
    <x v="58"/>
    <x v="63"/>
    <n v="78.900000000000006"/>
    <n v="813.65"/>
    <n v="0"/>
  </r>
  <r>
    <x v="59"/>
    <x v="63"/>
    <n v="78.900000000000006"/>
    <n v="931.6"/>
    <n v="361.71"/>
  </r>
  <r>
    <x v="60"/>
    <x v="63"/>
    <n v="78.900000000000006"/>
    <n v="1247.8599999999999"/>
    <n v="433.01"/>
  </r>
  <r>
    <x v="61"/>
    <x v="63"/>
    <n v="78.900000000000006"/>
    <n v="785.08"/>
    <n v="269.77999999999997"/>
  </r>
  <r>
    <x v="62"/>
    <x v="63"/>
    <n v="78.900000000000006"/>
    <n v="923.27"/>
    <n v="327.52"/>
  </r>
  <r>
    <x v="63"/>
    <x v="63"/>
    <n v="78.900000000000006"/>
    <n v="745.24"/>
    <n v="262.24"/>
  </r>
  <r>
    <x v="64"/>
    <x v="63"/>
    <n v="78.900000000000006"/>
    <n v="847.12"/>
    <n v="0"/>
  </r>
  <r>
    <x v="65"/>
    <x v="63"/>
    <n v="78.900000000000006"/>
    <n v="973.73"/>
    <n v="0"/>
  </r>
  <r>
    <x v="66"/>
    <x v="63"/>
    <n v="78.900000000000006"/>
    <n v="769.68"/>
    <n v="0"/>
  </r>
  <r>
    <x v="67"/>
    <x v="63"/>
    <n v="78.900000000000006"/>
    <n v="977.94"/>
    <n v="0"/>
  </r>
  <r>
    <x v="68"/>
    <x v="63"/>
    <n v="78.900000000000006"/>
    <n v="772.56"/>
    <n v="0"/>
  </r>
  <r>
    <x v="69"/>
    <x v="63"/>
    <n v="78.900000000000006"/>
    <n v="943.46"/>
    <n v="364.64"/>
  </r>
  <r>
    <x v="70"/>
    <x v="63"/>
    <n v="78.900000000000006"/>
    <n v="911.3"/>
    <n v="284.16000000000003"/>
  </r>
  <r>
    <x v="71"/>
    <x v="63"/>
    <n v="78.900000000000006"/>
    <n v="985.74"/>
    <n v="371.96"/>
  </r>
  <r>
    <x v="72"/>
    <x v="63"/>
    <n v="78.900000000000006"/>
    <n v="0"/>
    <n v="0"/>
  </r>
  <r>
    <x v="73"/>
    <x v="63"/>
    <n v="78.900000000000006"/>
    <n v="0"/>
    <n v="0"/>
  </r>
  <r>
    <x v="74"/>
    <x v="63"/>
    <n v="78.900000000000006"/>
    <n v="0"/>
    <n v="0"/>
  </r>
  <r>
    <x v="75"/>
    <x v="63"/>
    <n v="78.900000000000006"/>
    <n v="0"/>
    <n v="0"/>
  </r>
  <r>
    <x v="76"/>
    <x v="63"/>
    <n v="78.900000000000006"/>
    <n v="0"/>
    <n v="0"/>
  </r>
  <r>
    <x v="77"/>
    <x v="63"/>
    <n v="78.900000000000006"/>
    <n v="0"/>
    <n v="0"/>
  </r>
  <r>
    <x v="78"/>
    <x v="63"/>
    <n v="78.900000000000006"/>
    <n v="0"/>
    <n v="0"/>
  </r>
  <r>
    <x v="79"/>
    <x v="63"/>
    <n v="78.900000000000006"/>
    <n v="0"/>
    <n v="0"/>
  </r>
  <r>
    <x v="80"/>
    <x v="63"/>
    <n v="78.900000000000006"/>
    <n v="0"/>
    <n v="0"/>
  </r>
  <r>
    <x v="81"/>
    <x v="63"/>
    <n v="78.900000000000006"/>
    <n v="0"/>
    <n v="0"/>
  </r>
  <r>
    <x v="82"/>
    <x v="63"/>
    <n v="78.900000000000006"/>
    <n v="0"/>
    <n v="0"/>
  </r>
  <r>
    <x v="83"/>
    <x v="63"/>
    <n v="78.900000000000006"/>
    <n v="0"/>
    <n v="0"/>
  </r>
  <r>
    <x v="84"/>
    <x v="63"/>
    <n v="78.900000000000006"/>
    <n v="0"/>
    <n v="0"/>
  </r>
  <r>
    <x v="85"/>
    <x v="63"/>
    <n v="78.900000000000006"/>
    <n v="0"/>
    <n v="0"/>
  </r>
  <r>
    <x v="86"/>
    <x v="63"/>
    <n v="78.900000000000006"/>
    <n v="0"/>
    <n v="0"/>
  </r>
  <r>
    <x v="87"/>
    <x v="63"/>
    <n v="78.900000000000006"/>
    <n v="0"/>
    <n v="0"/>
  </r>
  <r>
    <x v="88"/>
    <x v="63"/>
    <n v="78.900000000000006"/>
    <n v="0"/>
    <n v="0"/>
  </r>
  <r>
    <x v="89"/>
    <x v="63"/>
    <n v="78.900000000000006"/>
    <n v="0"/>
    <n v="0"/>
  </r>
  <r>
    <x v="90"/>
    <x v="63"/>
    <n v="78.900000000000006"/>
    <n v="0"/>
    <n v="0"/>
  </r>
  <r>
    <x v="91"/>
    <x v="63"/>
    <n v="78.900000000000006"/>
    <n v="0"/>
    <n v="0"/>
  </r>
  <r>
    <x v="92"/>
    <x v="63"/>
    <n v="78.900000000000006"/>
    <n v="0"/>
    <n v="0"/>
  </r>
  <r>
    <x v="93"/>
    <x v="63"/>
    <n v="78.900000000000006"/>
    <n v="0"/>
    <n v="0"/>
  </r>
  <r>
    <x v="94"/>
    <x v="63"/>
    <n v="78.900000000000006"/>
    <n v="0"/>
    <n v="0"/>
  </r>
  <r>
    <x v="95"/>
    <x v="63"/>
    <n v="78.900000000000006"/>
    <n v="0"/>
    <n v="0"/>
  </r>
  <r>
    <x v="0"/>
    <x v="64"/>
    <n v="79.2"/>
    <n v="1288.43"/>
    <n v="320.04000000000002"/>
  </r>
  <r>
    <x v="1"/>
    <x v="64"/>
    <n v="79.2"/>
    <n v="988.98"/>
    <n v="233.02"/>
  </r>
  <r>
    <x v="2"/>
    <x v="64"/>
    <n v="79.2"/>
    <n v="995.74"/>
    <n v="235.81"/>
  </r>
  <r>
    <x v="3"/>
    <x v="64"/>
    <n v="79.2"/>
    <n v="1001.88"/>
    <n v="236.22"/>
  </r>
  <r>
    <x v="4"/>
    <x v="64"/>
    <n v="79.2"/>
    <n v="968.03"/>
    <n v="238.53"/>
  </r>
  <r>
    <x v="5"/>
    <x v="64"/>
    <n v="79.2"/>
    <n v="1025.3399999999999"/>
    <n v="247.65"/>
  </r>
  <r>
    <x v="6"/>
    <x v="64"/>
    <n v="79.2"/>
    <n v="958.33"/>
    <n v="230.45"/>
  </r>
  <r>
    <x v="7"/>
    <x v="64"/>
    <n v="79.2"/>
    <n v="989.48"/>
    <n v="253.11"/>
  </r>
  <r>
    <x v="8"/>
    <x v="64"/>
    <n v="79.2"/>
    <n v="991.9"/>
    <n v="257.23"/>
  </r>
  <r>
    <x v="9"/>
    <x v="64"/>
    <n v="79.2"/>
    <n v="950.36"/>
    <n v="248.34"/>
  </r>
  <r>
    <x v="10"/>
    <x v="64"/>
    <n v="79.2"/>
    <n v="1005.91"/>
    <n v="245.1"/>
  </r>
  <r>
    <x v="11"/>
    <x v="64"/>
    <n v="79.2"/>
    <n v="969.33"/>
    <n v="-1800.82"/>
  </r>
  <r>
    <x v="12"/>
    <x v="64"/>
    <n v="79.2"/>
    <n v="308.5"/>
    <n v="95.43"/>
  </r>
  <r>
    <x v="13"/>
    <x v="64"/>
    <n v="79.2"/>
    <n v="197.59"/>
    <n v="92.39"/>
  </r>
  <r>
    <x v="14"/>
    <x v="64"/>
    <n v="79.2"/>
    <n v="210"/>
    <n v="95.98"/>
  </r>
  <r>
    <x v="15"/>
    <x v="64"/>
    <n v="79.2"/>
    <n v="203.07"/>
    <n v="85.13"/>
  </r>
  <r>
    <x v="16"/>
    <x v="64"/>
    <n v="79.2"/>
    <n v="205.03"/>
    <n v="84.21"/>
  </r>
  <r>
    <x v="17"/>
    <x v="64"/>
    <n v="79.2"/>
    <n v="212.47"/>
    <n v="89.97"/>
  </r>
  <r>
    <x v="18"/>
    <x v="64"/>
    <n v="79.2"/>
    <n v="195.32"/>
    <n v="74.81"/>
  </r>
  <r>
    <x v="19"/>
    <x v="64"/>
    <n v="79.2"/>
    <n v="203.71"/>
    <n v="78.819999999999993"/>
  </r>
  <r>
    <x v="20"/>
    <x v="64"/>
    <n v="79.2"/>
    <n v="223.5"/>
    <n v="76.010000000000005"/>
  </r>
  <r>
    <x v="21"/>
    <x v="64"/>
    <n v="79.2"/>
    <n v="221.69"/>
    <n v="82.91"/>
  </r>
  <r>
    <x v="22"/>
    <x v="64"/>
    <n v="79.2"/>
    <n v="210.06"/>
    <n v="49.43"/>
  </r>
  <r>
    <x v="23"/>
    <x v="64"/>
    <n v="79.2"/>
    <n v="235.18"/>
    <n v="76.959999999999994"/>
  </r>
  <r>
    <x v="24"/>
    <x v="64"/>
    <n v="79.2"/>
    <n v="1803.94"/>
    <n v="380.99"/>
  </r>
  <r>
    <x v="25"/>
    <x v="64"/>
    <n v="79.2"/>
    <n v="1206.58"/>
    <n v="247.55"/>
  </r>
  <r>
    <x v="26"/>
    <x v="64"/>
    <n v="79.2"/>
    <n v="1169.98"/>
    <n v="219.81"/>
  </r>
  <r>
    <x v="27"/>
    <x v="64"/>
    <n v="79.2"/>
    <n v="1296.1500000000001"/>
    <n v="268.20999999999998"/>
  </r>
  <r>
    <x v="28"/>
    <x v="64"/>
    <n v="79.2"/>
    <n v="1145.25"/>
    <n v="245.13"/>
  </r>
  <r>
    <x v="29"/>
    <x v="64"/>
    <n v="79.2"/>
    <n v="1276.4000000000001"/>
    <n v="266.16000000000003"/>
  </r>
  <r>
    <x v="30"/>
    <x v="64"/>
    <n v="79.2"/>
    <n v="1178.3900000000001"/>
    <n v="228.08"/>
  </r>
  <r>
    <x v="31"/>
    <x v="64"/>
    <n v="79.2"/>
    <n v="1223.51"/>
    <n v="250.09"/>
  </r>
  <r>
    <x v="32"/>
    <x v="64"/>
    <n v="79.2"/>
    <n v="1056.67"/>
    <n v="221.39"/>
  </r>
  <r>
    <x v="33"/>
    <x v="64"/>
    <n v="79.2"/>
    <n v="1165.46"/>
    <n v="249.31"/>
  </r>
  <r>
    <x v="34"/>
    <x v="64"/>
    <n v="79.2"/>
    <n v="1280.3599999999999"/>
    <n v="235.57"/>
  </r>
  <r>
    <x v="35"/>
    <x v="64"/>
    <n v="79.2"/>
    <n v="1187.8"/>
    <n v="261.47000000000003"/>
  </r>
  <r>
    <x v="36"/>
    <x v="64"/>
    <n v="79.2"/>
    <n v="1442.13"/>
    <n v="467.62"/>
  </r>
  <r>
    <x v="37"/>
    <x v="64"/>
    <n v="79.2"/>
    <n v="796.37"/>
    <n v="297.20999999999998"/>
  </r>
  <r>
    <x v="38"/>
    <x v="64"/>
    <n v="79.2"/>
    <n v="973.01"/>
    <n v="378.29"/>
  </r>
  <r>
    <x v="39"/>
    <x v="64"/>
    <n v="79.2"/>
    <n v="794.47"/>
    <n v="0"/>
  </r>
  <r>
    <x v="40"/>
    <x v="64"/>
    <n v="79.2"/>
    <n v="943.78"/>
    <n v="0"/>
  </r>
  <r>
    <x v="41"/>
    <x v="64"/>
    <n v="79.2"/>
    <n v="1006.2"/>
    <n v="368.57"/>
  </r>
  <r>
    <x v="42"/>
    <x v="64"/>
    <n v="79.2"/>
    <n v="967.15"/>
    <n v="0"/>
  </r>
  <r>
    <x v="43"/>
    <x v="64"/>
    <n v="79.2"/>
    <n v="850.46"/>
    <n v="0"/>
  </r>
  <r>
    <x v="44"/>
    <x v="64"/>
    <n v="79.2"/>
    <n v="872.65"/>
    <n v="0"/>
  </r>
  <r>
    <x v="45"/>
    <x v="64"/>
    <n v="79.2"/>
    <n v="868.42"/>
    <n v="0"/>
  </r>
  <r>
    <x v="46"/>
    <x v="64"/>
    <n v="79.2"/>
    <n v="726.77"/>
    <n v="0"/>
  </r>
  <r>
    <x v="47"/>
    <x v="64"/>
    <n v="79.2"/>
    <n v="885.23"/>
    <n v="322.69"/>
  </r>
  <r>
    <x v="48"/>
    <x v="64"/>
    <n v="79.2"/>
    <n v="1525.62"/>
    <n v="515.52"/>
  </r>
  <r>
    <x v="49"/>
    <x v="64"/>
    <n v="79.2"/>
    <n v="856.34"/>
    <n v="309.48"/>
  </r>
  <r>
    <x v="50"/>
    <x v="64"/>
    <n v="79.2"/>
    <n v="863.86"/>
    <n v="316.72000000000003"/>
  </r>
  <r>
    <x v="51"/>
    <x v="64"/>
    <n v="79.2"/>
    <n v="920.48"/>
    <n v="344.21"/>
  </r>
  <r>
    <x v="52"/>
    <x v="64"/>
    <n v="79.2"/>
    <n v="881.28"/>
    <n v="343.94"/>
  </r>
  <r>
    <x v="53"/>
    <x v="64"/>
    <n v="79.2"/>
    <n v="911.39"/>
    <n v="0"/>
  </r>
  <r>
    <x v="54"/>
    <x v="64"/>
    <n v="79.2"/>
    <n v="716.88"/>
    <n v="0"/>
  </r>
  <r>
    <x v="55"/>
    <x v="64"/>
    <n v="79.2"/>
    <n v="903.63"/>
    <n v="0"/>
  </r>
  <r>
    <x v="56"/>
    <x v="64"/>
    <n v="79.2"/>
    <n v="964.45"/>
    <n v="0"/>
  </r>
  <r>
    <x v="57"/>
    <x v="64"/>
    <n v="79.2"/>
    <n v="1001.92"/>
    <n v="0"/>
  </r>
  <r>
    <x v="58"/>
    <x v="64"/>
    <n v="79.2"/>
    <n v="843.03"/>
    <n v="0"/>
  </r>
  <r>
    <x v="59"/>
    <x v="64"/>
    <n v="79.2"/>
    <n v="961.8"/>
    <n v="364.93"/>
  </r>
  <r>
    <x v="60"/>
    <x v="64"/>
    <n v="79.2"/>
    <n v="1277.83"/>
    <n v="436.18"/>
  </r>
  <r>
    <x v="61"/>
    <x v="64"/>
    <n v="79.2"/>
    <n v="821.25"/>
    <n v="285.10000000000002"/>
  </r>
  <r>
    <x v="62"/>
    <x v="64"/>
    <n v="79.2"/>
    <n v="956.21"/>
    <n v="336.3"/>
  </r>
  <r>
    <x v="63"/>
    <x v="64"/>
    <n v="79.2"/>
    <n v="767.63"/>
    <n v="260.97000000000003"/>
  </r>
  <r>
    <x v="64"/>
    <x v="64"/>
    <n v="79.2"/>
    <n v="866.04"/>
    <n v="0"/>
  </r>
  <r>
    <x v="65"/>
    <x v="64"/>
    <n v="79.2"/>
    <n v="1012.49"/>
    <n v="0"/>
  </r>
  <r>
    <x v="66"/>
    <x v="64"/>
    <n v="79.2"/>
    <n v="807.72"/>
    <n v="0"/>
  </r>
  <r>
    <x v="67"/>
    <x v="64"/>
    <n v="79.2"/>
    <n v="1010.7"/>
    <n v="0"/>
  </r>
  <r>
    <x v="68"/>
    <x v="64"/>
    <n v="79.2"/>
    <n v="812.14"/>
    <n v="0"/>
  </r>
  <r>
    <x v="69"/>
    <x v="64"/>
    <n v="79.2"/>
    <n v="978.54"/>
    <n v="371.04"/>
  </r>
  <r>
    <x v="70"/>
    <x v="64"/>
    <n v="79.2"/>
    <n v="938.57"/>
    <n v="289.20999999999998"/>
  </r>
  <r>
    <x v="71"/>
    <x v="64"/>
    <n v="79.2"/>
    <n v="1020.57"/>
    <n v="372.56"/>
  </r>
  <r>
    <x v="72"/>
    <x v="64"/>
    <n v="79.2"/>
    <n v="0"/>
    <n v="0"/>
  </r>
  <r>
    <x v="73"/>
    <x v="64"/>
    <n v="79.2"/>
    <n v="0"/>
    <n v="0"/>
  </r>
  <r>
    <x v="74"/>
    <x v="64"/>
    <n v="79.2"/>
    <n v="0"/>
    <n v="0"/>
  </r>
  <r>
    <x v="75"/>
    <x v="64"/>
    <n v="79.2"/>
    <n v="0"/>
    <n v="0"/>
  </r>
  <r>
    <x v="76"/>
    <x v="64"/>
    <n v="79.2"/>
    <n v="0"/>
    <n v="0"/>
  </r>
  <r>
    <x v="77"/>
    <x v="64"/>
    <n v="79.2"/>
    <n v="0"/>
    <n v="0"/>
  </r>
  <r>
    <x v="78"/>
    <x v="64"/>
    <n v="79.2"/>
    <n v="0"/>
    <n v="0"/>
  </r>
  <r>
    <x v="79"/>
    <x v="64"/>
    <n v="79.2"/>
    <n v="0"/>
    <n v="0"/>
  </r>
  <r>
    <x v="80"/>
    <x v="64"/>
    <n v="79.2"/>
    <n v="0"/>
    <n v="0"/>
  </r>
  <r>
    <x v="81"/>
    <x v="64"/>
    <n v="79.2"/>
    <n v="0"/>
    <n v="0"/>
  </r>
  <r>
    <x v="82"/>
    <x v="64"/>
    <n v="79.2"/>
    <n v="0"/>
    <n v="0"/>
  </r>
  <r>
    <x v="83"/>
    <x v="64"/>
    <n v="79.2"/>
    <n v="0"/>
    <n v="0"/>
  </r>
  <r>
    <x v="84"/>
    <x v="64"/>
    <n v="79.2"/>
    <n v="0"/>
    <n v="0"/>
  </r>
  <r>
    <x v="85"/>
    <x v="64"/>
    <n v="79.2"/>
    <n v="0"/>
    <n v="0"/>
  </r>
  <r>
    <x v="86"/>
    <x v="64"/>
    <n v="79.2"/>
    <n v="0"/>
    <n v="0"/>
  </r>
  <r>
    <x v="87"/>
    <x v="64"/>
    <n v="79.2"/>
    <n v="0"/>
    <n v="0"/>
  </r>
  <r>
    <x v="88"/>
    <x v="64"/>
    <n v="79.2"/>
    <n v="0"/>
    <n v="0"/>
  </r>
  <r>
    <x v="89"/>
    <x v="64"/>
    <n v="79.2"/>
    <n v="0"/>
    <n v="0"/>
  </r>
  <r>
    <x v="90"/>
    <x v="64"/>
    <n v="79.2"/>
    <n v="0"/>
    <n v="0"/>
  </r>
  <r>
    <x v="91"/>
    <x v="64"/>
    <n v="79.2"/>
    <n v="0"/>
    <n v="0"/>
  </r>
  <r>
    <x v="92"/>
    <x v="64"/>
    <n v="79.2"/>
    <n v="0"/>
    <n v="0"/>
  </r>
  <r>
    <x v="93"/>
    <x v="64"/>
    <n v="79.2"/>
    <n v="0"/>
    <n v="0"/>
  </r>
  <r>
    <x v="94"/>
    <x v="64"/>
    <n v="79.2"/>
    <n v="0"/>
    <n v="0"/>
  </r>
  <r>
    <x v="95"/>
    <x v="64"/>
    <n v="79.2"/>
    <n v="0"/>
    <n v="0"/>
  </r>
  <r>
    <x v="0"/>
    <x v="65"/>
    <n v="79.5"/>
    <n v="1373.82"/>
    <n v="309.10000000000002"/>
  </r>
  <r>
    <x v="1"/>
    <x v="65"/>
    <n v="79.5"/>
    <n v="1058.0899999999999"/>
    <n v="227.04"/>
  </r>
  <r>
    <x v="2"/>
    <x v="65"/>
    <n v="79.5"/>
    <n v="1066.1500000000001"/>
    <n v="230.83"/>
  </r>
  <r>
    <x v="3"/>
    <x v="65"/>
    <n v="79.5"/>
    <n v="1073.01"/>
    <n v="230.61"/>
  </r>
  <r>
    <x v="4"/>
    <x v="65"/>
    <n v="79.5"/>
    <n v="1035.44"/>
    <n v="232.66"/>
  </r>
  <r>
    <x v="5"/>
    <x v="65"/>
    <n v="79.5"/>
    <n v="1096"/>
    <n v="241.45"/>
  </r>
  <r>
    <x v="6"/>
    <x v="65"/>
    <n v="79.5"/>
    <n v="1025.21"/>
    <n v="225.26"/>
  </r>
  <r>
    <x v="7"/>
    <x v="65"/>
    <n v="79.5"/>
    <n v="1058.96"/>
    <n v="245.87"/>
  </r>
  <r>
    <x v="8"/>
    <x v="65"/>
    <n v="79.5"/>
    <n v="1059.0999999999999"/>
    <n v="249.55"/>
  </r>
  <r>
    <x v="9"/>
    <x v="65"/>
    <n v="79.5"/>
    <n v="1015.33"/>
    <n v="240.6"/>
  </r>
  <r>
    <x v="10"/>
    <x v="65"/>
    <n v="79.5"/>
    <n v="1076.1099999999999"/>
    <n v="238.79"/>
  </r>
  <r>
    <x v="11"/>
    <x v="65"/>
    <n v="79.5"/>
    <n v="721.08"/>
    <n v="-1792.83"/>
  </r>
  <r>
    <x v="12"/>
    <x v="65"/>
    <n v="79.5"/>
    <n v="270.18"/>
    <n v="105.58"/>
  </r>
  <r>
    <x v="13"/>
    <x v="65"/>
    <n v="79.5"/>
    <n v="179.55"/>
    <n v="96.17"/>
  </r>
  <r>
    <x v="14"/>
    <x v="65"/>
    <n v="79.5"/>
    <n v="190.56"/>
    <n v="97.72"/>
  </r>
  <r>
    <x v="15"/>
    <x v="65"/>
    <n v="79.5"/>
    <n v="182.33"/>
    <n v="86.99"/>
  </r>
  <r>
    <x v="16"/>
    <x v="65"/>
    <n v="79.5"/>
    <n v="183.81"/>
    <n v="89.13"/>
  </r>
  <r>
    <x v="17"/>
    <x v="65"/>
    <n v="79.5"/>
    <n v="190.36"/>
    <n v="98.05"/>
  </r>
  <r>
    <x v="18"/>
    <x v="65"/>
    <n v="79.5"/>
    <n v="175.06"/>
    <n v="77.22"/>
  </r>
  <r>
    <x v="19"/>
    <x v="65"/>
    <n v="79.5"/>
    <n v="181.92"/>
    <n v="84.25"/>
  </r>
  <r>
    <x v="20"/>
    <x v="65"/>
    <n v="79.5"/>
    <n v="198.21"/>
    <n v="85.37"/>
  </r>
  <r>
    <x v="21"/>
    <x v="65"/>
    <n v="79.5"/>
    <n v="196.09"/>
    <n v="88.31"/>
  </r>
  <r>
    <x v="22"/>
    <x v="65"/>
    <n v="79.5"/>
    <n v="185.36"/>
    <n v="61.76"/>
  </r>
  <r>
    <x v="23"/>
    <x v="65"/>
    <n v="79.5"/>
    <n v="205.85"/>
    <n v="78.06"/>
  </r>
  <r>
    <x v="24"/>
    <x v="65"/>
    <n v="79.5"/>
    <n v="1924.02"/>
    <n v="376.99"/>
  </r>
  <r>
    <x v="25"/>
    <x v="65"/>
    <n v="79.5"/>
    <n v="1301.19"/>
    <n v="248.89"/>
  </r>
  <r>
    <x v="26"/>
    <x v="65"/>
    <n v="79.5"/>
    <n v="1263.95"/>
    <n v="241.42"/>
  </r>
  <r>
    <x v="27"/>
    <x v="65"/>
    <n v="79.5"/>
    <n v="1394.75"/>
    <n v="273.14"/>
  </r>
  <r>
    <x v="28"/>
    <x v="65"/>
    <n v="79.5"/>
    <n v="1236.93"/>
    <n v="252.06"/>
  </r>
  <r>
    <x v="29"/>
    <x v="65"/>
    <n v="79.5"/>
    <n v="1371.02"/>
    <n v="265.69"/>
  </r>
  <r>
    <x v="30"/>
    <x v="65"/>
    <n v="79.5"/>
    <n v="1270.67"/>
    <n v="229.81"/>
  </r>
  <r>
    <x v="31"/>
    <x v="65"/>
    <n v="79.5"/>
    <n v="1318.36"/>
    <n v="251.78"/>
  </r>
  <r>
    <x v="32"/>
    <x v="65"/>
    <n v="79.5"/>
    <n v="1147.3"/>
    <n v="224.73"/>
  </r>
  <r>
    <x v="33"/>
    <x v="65"/>
    <n v="79.5"/>
    <n v="1254.68"/>
    <n v="250.12"/>
  </r>
  <r>
    <x v="34"/>
    <x v="65"/>
    <n v="79.5"/>
    <n v="1381.29"/>
    <n v="237.29"/>
  </r>
  <r>
    <x v="35"/>
    <x v="65"/>
    <n v="79.5"/>
    <n v="1269.8699999999999"/>
    <n v="259.32"/>
  </r>
  <r>
    <x v="36"/>
    <x v="65"/>
    <n v="79.5"/>
    <n v="1488.09"/>
    <n v="475.55"/>
  </r>
  <r>
    <x v="37"/>
    <x v="65"/>
    <n v="79.5"/>
    <n v="832.55"/>
    <n v="311.42"/>
  </r>
  <r>
    <x v="38"/>
    <x v="65"/>
    <n v="79.5"/>
    <n v="1014.45"/>
    <n v="389.35"/>
  </r>
  <r>
    <x v="39"/>
    <x v="65"/>
    <n v="79.5"/>
    <n v="840.65"/>
    <n v="0"/>
  </r>
  <r>
    <x v="40"/>
    <x v="65"/>
    <n v="79.5"/>
    <n v="990.15"/>
    <n v="0"/>
  </r>
  <r>
    <x v="41"/>
    <x v="65"/>
    <n v="79.5"/>
    <n v="1051.29"/>
    <n v="375.74"/>
  </r>
  <r>
    <x v="42"/>
    <x v="65"/>
    <n v="79.5"/>
    <n v="1010.12"/>
    <n v="0"/>
  </r>
  <r>
    <x v="43"/>
    <x v="65"/>
    <n v="79.5"/>
    <n v="887.06"/>
    <n v="0"/>
  </r>
  <r>
    <x v="44"/>
    <x v="65"/>
    <n v="79.5"/>
    <n v="915.78"/>
    <n v="0"/>
  </r>
  <r>
    <x v="45"/>
    <x v="65"/>
    <n v="79.5"/>
    <n v="909.41"/>
    <n v="0"/>
  </r>
  <r>
    <x v="46"/>
    <x v="65"/>
    <n v="79.5"/>
    <n v="752.17"/>
    <n v="0"/>
  </r>
  <r>
    <x v="47"/>
    <x v="65"/>
    <n v="79.5"/>
    <n v="919.03"/>
    <n v="322.43"/>
  </r>
  <r>
    <x v="48"/>
    <x v="65"/>
    <n v="79.5"/>
    <n v="1572.74"/>
    <n v="527.65"/>
  </r>
  <r>
    <x v="49"/>
    <x v="65"/>
    <n v="79.5"/>
    <n v="911.42"/>
    <n v="335.86"/>
  </r>
  <r>
    <x v="50"/>
    <x v="65"/>
    <n v="79.5"/>
    <n v="895.37"/>
    <n v="317.76"/>
  </r>
  <r>
    <x v="51"/>
    <x v="65"/>
    <n v="79.5"/>
    <n v="960.44"/>
    <n v="347.39"/>
  </r>
  <r>
    <x v="52"/>
    <x v="65"/>
    <n v="79.5"/>
    <n v="917.5"/>
    <n v="346.76"/>
  </r>
  <r>
    <x v="53"/>
    <x v="65"/>
    <n v="79.5"/>
    <n v="951.48"/>
    <n v="0"/>
  </r>
  <r>
    <x v="54"/>
    <x v="65"/>
    <n v="79.5"/>
    <n v="757.16"/>
    <n v="0"/>
  </r>
  <r>
    <x v="55"/>
    <x v="65"/>
    <n v="79.5"/>
    <n v="931.6"/>
    <n v="0"/>
  </r>
  <r>
    <x v="56"/>
    <x v="65"/>
    <n v="79.5"/>
    <n v="1007.75"/>
    <n v="0"/>
  </r>
  <r>
    <x v="57"/>
    <x v="65"/>
    <n v="79.5"/>
    <n v="1038.8699999999999"/>
    <n v="0"/>
  </r>
  <r>
    <x v="58"/>
    <x v="65"/>
    <n v="79.5"/>
    <n v="879.85"/>
    <n v="0"/>
  </r>
  <r>
    <x v="59"/>
    <x v="65"/>
    <n v="79.5"/>
    <n v="994.94"/>
    <n v="370.22"/>
  </r>
  <r>
    <x v="60"/>
    <x v="65"/>
    <n v="79.5"/>
    <n v="1313.39"/>
    <n v="443.8"/>
  </r>
  <r>
    <x v="61"/>
    <x v="65"/>
    <n v="79.5"/>
    <n v="864.73"/>
    <n v="303.02"/>
  </r>
  <r>
    <x v="62"/>
    <x v="65"/>
    <n v="79.5"/>
    <n v="994.63"/>
    <n v="346.61"/>
  </r>
  <r>
    <x v="63"/>
    <x v="65"/>
    <n v="79.5"/>
    <n v="794.96"/>
    <n v="259.69"/>
  </r>
  <r>
    <x v="64"/>
    <x v="65"/>
    <n v="79.5"/>
    <n v="890.37"/>
    <n v="0"/>
  </r>
  <r>
    <x v="65"/>
    <x v="65"/>
    <n v="79.5"/>
    <n v="1055.79"/>
    <n v="0"/>
  </r>
  <r>
    <x v="66"/>
    <x v="65"/>
    <n v="79.5"/>
    <n v="854.55"/>
    <n v="0"/>
  </r>
  <r>
    <x v="67"/>
    <x v="65"/>
    <n v="79.5"/>
    <n v="1048.8699999999999"/>
    <n v="0"/>
  </r>
  <r>
    <x v="68"/>
    <x v="65"/>
    <n v="79.5"/>
    <n v="855.27"/>
    <n v="0"/>
  </r>
  <r>
    <x v="69"/>
    <x v="65"/>
    <n v="79.5"/>
    <n v="1017.08"/>
    <n v="379.12"/>
  </r>
  <r>
    <x v="70"/>
    <x v="65"/>
    <n v="79.5"/>
    <n v="974.11"/>
    <n v="297.72000000000003"/>
  </r>
  <r>
    <x v="71"/>
    <x v="65"/>
    <n v="79.5"/>
    <n v="1059.56"/>
    <n v="372.75"/>
  </r>
  <r>
    <x v="72"/>
    <x v="65"/>
    <n v="79.5"/>
    <n v="0"/>
    <n v="0"/>
  </r>
  <r>
    <x v="73"/>
    <x v="65"/>
    <n v="79.5"/>
    <n v="0"/>
    <n v="0"/>
  </r>
  <r>
    <x v="74"/>
    <x v="65"/>
    <n v="79.5"/>
    <n v="0"/>
    <n v="0"/>
  </r>
  <r>
    <x v="75"/>
    <x v="65"/>
    <n v="79.5"/>
    <n v="0"/>
    <n v="0"/>
  </r>
  <r>
    <x v="76"/>
    <x v="65"/>
    <n v="79.5"/>
    <n v="0"/>
    <n v="0"/>
  </r>
  <r>
    <x v="77"/>
    <x v="65"/>
    <n v="79.5"/>
    <n v="0"/>
    <n v="0"/>
  </r>
  <r>
    <x v="78"/>
    <x v="65"/>
    <n v="79.5"/>
    <n v="0"/>
    <n v="0"/>
  </r>
  <r>
    <x v="79"/>
    <x v="65"/>
    <n v="79.5"/>
    <n v="0"/>
    <n v="0"/>
  </r>
  <r>
    <x v="80"/>
    <x v="65"/>
    <n v="79.5"/>
    <n v="0"/>
    <n v="0"/>
  </r>
  <r>
    <x v="81"/>
    <x v="65"/>
    <n v="79.5"/>
    <n v="0"/>
    <n v="0"/>
  </r>
  <r>
    <x v="82"/>
    <x v="65"/>
    <n v="79.5"/>
    <n v="0"/>
    <n v="0"/>
  </r>
  <r>
    <x v="83"/>
    <x v="65"/>
    <n v="79.5"/>
    <n v="0"/>
    <n v="0"/>
  </r>
  <r>
    <x v="84"/>
    <x v="65"/>
    <n v="79.5"/>
    <n v="0"/>
    <n v="0"/>
  </r>
  <r>
    <x v="85"/>
    <x v="65"/>
    <n v="79.5"/>
    <n v="0"/>
    <n v="0"/>
  </r>
  <r>
    <x v="86"/>
    <x v="65"/>
    <n v="79.5"/>
    <n v="0"/>
    <n v="0"/>
  </r>
  <r>
    <x v="87"/>
    <x v="65"/>
    <n v="79.5"/>
    <n v="0"/>
    <n v="0"/>
  </r>
  <r>
    <x v="88"/>
    <x v="65"/>
    <n v="79.5"/>
    <n v="0"/>
    <n v="0"/>
  </r>
  <r>
    <x v="89"/>
    <x v="65"/>
    <n v="79.5"/>
    <n v="0"/>
    <n v="0"/>
  </r>
  <r>
    <x v="90"/>
    <x v="65"/>
    <n v="79.5"/>
    <n v="0"/>
    <n v="0"/>
  </r>
  <r>
    <x v="91"/>
    <x v="65"/>
    <n v="79.5"/>
    <n v="0"/>
    <n v="0"/>
  </r>
  <r>
    <x v="92"/>
    <x v="65"/>
    <n v="79.5"/>
    <n v="0"/>
    <n v="0"/>
  </r>
  <r>
    <x v="93"/>
    <x v="65"/>
    <n v="79.5"/>
    <n v="0"/>
    <n v="0"/>
  </r>
  <r>
    <x v="94"/>
    <x v="65"/>
    <n v="79.5"/>
    <n v="0"/>
    <n v="0"/>
  </r>
  <r>
    <x v="95"/>
    <x v="65"/>
    <n v="79.5"/>
    <n v="0"/>
    <n v="0"/>
  </r>
  <r>
    <x v="0"/>
    <x v="66"/>
    <n v="79.8"/>
    <n v="1471.58"/>
    <n v="299.66000000000003"/>
  </r>
  <r>
    <x v="1"/>
    <x v="66"/>
    <n v="79.8"/>
    <n v="1136.96"/>
    <n v="221.73"/>
  </r>
  <r>
    <x v="2"/>
    <x v="66"/>
    <n v="79.8"/>
    <n v="1146.8399999999999"/>
    <n v="226.06"/>
  </r>
  <r>
    <x v="3"/>
    <x v="66"/>
    <n v="79.8"/>
    <n v="1153.94"/>
    <n v="225.64"/>
  </r>
  <r>
    <x v="4"/>
    <x v="66"/>
    <n v="79.8"/>
    <n v="1112.1400000000001"/>
    <n v="227.39"/>
  </r>
  <r>
    <x v="5"/>
    <x v="66"/>
    <n v="79.8"/>
    <n v="1176.45"/>
    <n v="235.88"/>
  </r>
  <r>
    <x v="6"/>
    <x v="66"/>
    <n v="79.8"/>
    <n v="1101.53"/>
    <n v="220.36"/>
  </r>
  <r>
    <x v="7"/>
    <x v="66"/>
    <n v="79.8"/>
    <n v="1138.4100000000001"/>
    <n v="239.5"/>
  </r>
  <r>
    <x v="8"/>
    <x v="66"/>
    <n v="79.8"/>
    <n v="1135.6500000000001"/>
    <n v="242.8"/>
  </r>
  <r>
    <x v="9"/>
    <x v="66"/>
    <n v="79.8"/>
    <n v="1089.3499999999999"/>
    <n v="233.87"/>
  </r>
  <r>
    <x v="10"/>
    <x v="66"/>
    <n v="79.8"/>
    <n v="1156.1199999999999"/>
    <n v="233.08"/>
  </r>
  <r>
    <x v="11"/>
    <x v="66"/>
    <n v="79.8"/>
    <n v="379.1"/>
    <n v="-1778.91"/>
  </r>
  <r>
    <x v="12"/>
    <x v="66"/>
    <n v="79.8"/>
    <n v="238.81"/>
    <n v="118.82"/>
  </r>
  <r>
    <x v="13"/>
    <x v="66"/>
    <n v="79.8"/>
    <n v="164.86"/>
    <n v="99.62"/>
  </r>
  <r>
    <x v="14"/>
    <x v="66"/>
    <n v="79.8"/>
    <n v="174.78"/>
    <n v="98.89"/>
  </r>
  <r>
    <x v="15"/>
    <x v="66"/>
    <n v="79.8"/>
    <n v="165.52"/>
    <n v="88.37"/>
  </r>
  <r>
    <x v="16"/>
    <x v="66"/>
    <n v="79.8"/>
    <n v="166.62"/>
    <n v="93.55"/>
  </r>
  <r>
    <x v="17"/>
    <x v="66"/>
    <n v="79.8"/>
    <n v="172.23"/>
    <n v="107.04"/>
  </r>
  <r>
    <x v="18"/>
    <x v="66"/>
    <n v="79.8"/>
    <n v="158.52000000000001"/>
    <n v="79.06"/>
  </r>
  <r>
    <x v="19"/>
    <x v="66"/>
    <n v="79.8"/>
    <n v="164.16"/>
    <n v="89.12"/>
  </r>
  <r>
    <x v="20"/>
    <x v="66"/>
    <n v="79.8"/>
    <n v="177.59"/>
    <n v="97.88"/>
  </r>
  <r>
    <x v="21"/>
    <x v="66"/>
    <n v="79.8"/>
    <n v="175.13"/>
    <n v="93.15"/>
  </r>
  <r>
    <x v="22"/>
    <x v="66"/>
    <n v="79.8"/>
    <n v="165.06"/>
    <n v="78.709999999999994"/>
  </r>
  <r>
    <x v="23"/>
    <x v="66"/>
    <n v="79.8"/>
    <n v="181.66"/>
    <n v="79.05"/>
  </r>
  <r>
    <x v="24"/>
    <x v="66"/>
    <n v="79.8"/>
    <n v="2061.8000000000002"/>
    <n v="373.02"/>
  </r>
  <r>
    <x v="25"/>
    <x v="66"/>
    <n v="79.8"/>
    <n v="1407.09"/>
    <n v="249.57"/>
  </r>
  <r>
    <x v="26"/>
    <x v="66"/>
    <n v="79.8"/>
    <n v="1371.31"/>
    <n v="260.32"/>
  </r>
  <r>
    <x v="27"/>
    <x v="66"/>
    <n v="79.8"/>
    <n v="1504.22"/>
    <n v="280.23"/>
  </r>
  <r>
    <x v="28"/>
    <x v="66"/>
    <n v="79.8"/>
    <n v="1338.89"/>
    <n v="261.25"/>
  </r>
  <r>
    <x v="29"/>
    <x v="66"/>
    <n v="79.8"/>
    <n v="1476.67"/>
    <n v="264.89999999999998"/>
  </r>
  <r>
    <x v="30"/>
    <x v="66"/>
    <n v="79.8"/>
    <n v="1377.11"/>
    <n v="231.28"/>
  </r>
  <r>
    <x v="31"/>
    <x v="66"/>
    <n v="79.8"/>
    <n v="1426.29"/>
    <n v="253.03"/>
  </r>
  <r>
    <x v="32"/>
    <x v="66"/>
    <n v="79.8"/>
    <n v="1250.27"/>
    <n v="227.5"/>
  </r>
  <r>
    <x v="33"/>
    <x v="66"/>
    <n v="79.8"/>
    <n v="1355.17"/>
    <n v="250.43"/>
  </r>
  <r>
    <x v="34"/>
    <x v="66"/>
    <n v="79.8"/>
    <n v="1497.55"/>
    <n v="239.04"/>
  </r>
  <r>
    <x v="35"/>
    <x v="66"/>
    <n v="79.8"/>
    <n v="1362.87"/>
    <n v="257.08"/>
  </r>
  <r>
    <x v="36"/>
    <x v="66"/>
    <n v="79.8"/>
    <n v="1543.8"/>
    <n v="485.11"/>
  </r>
  <r>
    <x v="37"/>
    <x v="66"/>
    <n v="79.8"/>
    <n v="874.61"/>
    <n v="322.66000000000003"/>
  </r>
  <r>
    <x v="38"/>
    <x v="66"/>
    <n v="79.8"/>
    <n v="1062.51"/>
    <n v="398.46"/>
  </r>
  <r>
    <x v="39"/>
    <x v="66"/>
    <n v="79.8"/>
    <n v="892.18"/>
    <n v="0"/>
  </r>
  <r>
    <x v="40"/>
    <x v="66"/>
    <n v="79.8"/>
    <n v="1039.69"/>
    <n v="0"/>
  </r>
  <r>
    <x v="41"/>
    <x v="66"/>
    <n v="79.8"/>
    <n v="1101.23"/>
    <n v="387.78"/>
  </r>
  <r>
    <x v="42"/>
    <x v="66"/>
    <n v="79.8"/>
    <n v="1057.4100000000001"/>
    <n v="0"/>
  </r>
  <r>
    <x v="43"/>
    <x v="66"/>
    <n v="79.8"/>
    <n v="931.26"/>
    <n v="0"/>
  </r>
  <r>
    <x v="44"/>
    <x v="66"/>
    <n v="79.8"/>
    <n v="965.56"/>
    <n v="0"/>
  </r>
  <r>
    <x v="45"/>
    <x v="66"/>
    <n v="79.8"/>
    <n v="958.11"/>
    <n v="0"/>
  </r>
  <r>
    <x v="46"/>
    <x v="66"/>
    <n v="79.8"/>
    <n v="785.12"/>
    <n v="0"/>
  </r>
  <r>
    <x v="47"/>
    <x v="66"/>
    <n v="79.8"/>
    <n v="957.12"/>
    <n v="321.81"/>
  </r>
  <r>
    <x v="48"/>
    <x v="66"/>
    <n v="79.8"/>
    <n v="1629.72"/>
    <n v="542.53"/>
  </r>
  <r>
    <x v="49"/>
    <x v="66"/>
    <n v="79.8"/>
    <n v="975.49"/>
    <n v="354.74"/>
  </r>
  <r>
    <x v="50"/>
    <x v="66"/>
    <n v="79.8"/>
    <n v="933.09"/>
    <n v="317.44"/>
  </r>
  <r>
    <x v="51"/>
    <x v="66"/>
    <n v="79.8"/>
    <n v="1005.85"/>
    <n v="349.37"/>
  </r>
  <r>
    <x v="52"/>
    <x v="66"/>
    <n v="79.8"/>
    <n v="958.15"/>
    <n v="348.36"/>
  </r>
  <r>
    <x v="53"/>
    <x v="66"/>
    <n v="79.8"/>
    <n v="996.64"/>
    <n v="0"/>
  </r>
  <r>
    <x v="54"/>
    <x v="66"/>
    <n v="79.8"/>
    <n v="804.98"/>
    <n v="0"/>
  </r>
  <r>
    <x v="55"/>
    <x v="66"/>
    <n v="79.8"/>
    <n v="963.64"/>
    <n v="0"/>
  </r>
  <r>
    <x v="56"/>
    <x v="66"/>
    <n v="79.8"/>
    <n v="1053.7"/>
    <n v="0"/>
  </r>
  <r>
    <x v="57"/>
    <x v="66"/>
    <n v="79.8"/>
    <n v="1079.8599999999999"/>
    <n v="0"/>
  </r>
  <r>
    <x v="58"/>
    <x v="66"/>
    <n v="79.8"/>
    <n v="926.01"/>
    <n v="0"/>
  </r>
  <r>
    <x v="59"/>
    <x v="66"/>
    <n v="79.8"/>
    <n v="1032.8399999999999"/>
    <n v="376.88"/>
  </r>
  <r>
    <x v="60"/>
    <x v="66"/>
    <n v="79.8"/>
    <n v="1356.26"/>
    <n v="455.14"/>
  </r>
  <r>
    <x v="61"/>
    <x v="66"/>
    <n v="79.8"/>
    <n v="915.83"/>
    <n v="323.60000000000002"/>
  </r>
  <r>
    <x v="62"/>
    <x v="66"/>
    <n v="79.8"/>
    <n v="1040.27"/>
    <n v="357.06"/>
  </r>
  <r>
    <x v="63"/>
    <x v="66"/>
    <n v="79.8"/>
    <n v="828.48"/>
    <n v="258.77"/>
  </r>
  <r>
    <x v="64"/>
    <x v="66"/>
    <n v="79.8"/>
    <n v="922.12"/>
    <n v="0"/>
  </r>
  <r>
    <x v="65"/>
    <x v="66"/>
    <n v="79.8"/>
    <n v="1104.28"/>
    <n v="0"/>
  </r>
  <r>
    <x v="66"/>
    <x v="66"/>
    <n v="79.8"/>
    <n v="911.23"/>
    <n v="0"/>
  </r>
  <r>
    <x v="67"/>
    <x v="66"/>
    <n v="79.8"/>
    <n v="1093.56"/>
    <n v="0"/>
  </r>
  <r>
    <x v="68"/>
    <x v="66"/>
    <n v="79.8"/>
    <n v="902.47"/>
    <n v="0"/>
  </r>
  <r>
    <x v="69"/>
    <x v="66"/>
    <n v="79.8"/>
    <n v="1059.8599999999999"/>
    <n v="388.01"/>
  </r>
  <r>
    <x v="70"/>
    <x v="66"/>
    <n v="79.8"/>
    <n v="1020.27"/>
    <n v="308.58999999999997"/>
  </r>
  <r>
    <x v="71"/>
    <x v="66"/>
    <n v="79.8"/>
    <n v="1103.95"/>
    <n v="372.52"/>
  </r>
  <r>
    <x v="72"/>
    <x v="66"/>
    <n v="79.8"/>
    <n v="0"/>
    <n v="0"/>
  </r>
  <r>
    <x v="73"/>
    <x v="66"/>
    <n v="79.8"/>
    <n v="0"/>
    <n v="0"/>
  </r>
  <r>
    <x v="74"/>
    <x v="66"/>
    <n v="79.8"/>
    <n v="0"/>
    <n v="0"/>
  </r>
  <r>
    <x v="75"/>
    <x v="66"/>
    <n v="79.8"/>
    <n v="0"/>
    <n v="0"/>
  </r>
  <r>
    <x v="76"/>
    <x v="66"/>
    <n v="79.8"/>
    <n v="0"/>
    <n v="0"/>
  </r>
  <r>
    <x v="77"/>
    <x v="66"/>
    <n v="79.8"/>
    <n v="0"/>
    <n v="0"/>
  </r>
  <r>
    <x v="78"/>
    <x v="66"/>
    <n v="79.8"/>
    <n v="0"/>
    <n v="0"/>
  </r>
  <r>
    <x v="79"/>
    <x v="66"/>
    <n v="79.8"/>
    <n v="0"/>
    <n v="0"/>
  </r>
  <r>
    <x v="80"/>
    <x v="66"/>
    <n v="79.8"/>
    <n v="0"/>
    <n v="0"/>
  </r>
  <r>
    <x v="81"/>
    <x v="66"/>
    <n v="79.8"/>
    <n v="0"/>
    <n v="0"/>
  </r>
  <r>
    <x v="82"/>
    <x v="66"/>
    <n v="79.8"/>
    <n v="0"/>
    <n v="0"/>
  </r>
  <r>
    <x v="83"/>
    <x v="66"/>
    <n v="79.8"/>
    <n v="0"/>
    <n v="0"/>
  </r>
  <r>
    <x v="84"/>
    <x v="66"/>
    <n v="79.8"/>
    <n v="0"/>
    <n v="0"/>
  </r>
  <r>
    <x v="85"/>
    <x v="66"/>
    <n v="79.8"/>
    <n v="0"/>
    <n v="0"/>
  </r>
  <r>
    <x v="86"/>
    <x v="66"/>
    <n v="79.8"/>
    <n v="0"/>
    <n v="0"/>
  </r>
  <r>
    <x v="87"/>
    <x v="66"/>
    <n v="79.8"/>
    <n v="0"/>
    <n v="0"/>
  </r>
  <r>
    <x v="88"/>
    <x v="66"/>
    <n v="79.8"/>
    <n v="0"/>
    <n v="0"/>
  </r>
  <r>
    <x v="89"/>
    <x v="66"/>
    <n v="79.8"/>
    <n v="0"/>
    <n v="0"/>
  </r>
  <r>
    <x v="90"/>
    <x v="66"/>
    <n v="79.8"/>
    <n v="0"/>
    <n v="0"/>
  </r>
  <r>
    <x v="91"/>
    <x v="66"/>
    <n v="79.8"/>
    <n v="0"/>
    <n v="0"/>
  </r>
  <r>
    <x v="92"/>
    <x v="66"/>
    <n v="79.8"/>
    <n v="0"/>
    <n v="0"/>
  </r>
  <r>
    <x v="93"/>
    <x v="66"/>
    <n v="79.8"/>
    <n v="0"/>
    <n v="0"/>
  </r>
  <r>
    <x v="94"/>
    <x v="66"/>
    <n v="79.8"/>
    <n v="0"/>
    <n v="0"/>
  </r>
  <r>
    <x v="95"/>
    <x v="66"/>
    <n v="79.8"/>
    <n v="0"/>
    <n v="0"/>
  </r>
  <r>
    <x v="0"/>
    <x v="67"/>
    <n v="80.099999999999994"/>
    <n v="1583.29"/>
    <n v="291.39999999999998"/>
  </r>
  <r>
    <x v="1"/>
    <x v="67"/>
    <n v="80.099999999999994"/>
    <n v="1226.8599999999999"/>
    <n v="216.96"/>
  </r>
  <r>
    <x v="2"/>
    <x v="67"/>
    <n v="80.099999999999994"/>
    <n v="1239.18"/>
    <n v="221.43"/>
  </r>
  <r>
    <x v="3"/>
    <x v="67"/>
    <n v="80.099999999999994"/>
    <n v="1246.02"/>
    <n v="221.13"/>
  </r>
  <r>
    <x v="4"/>
    <x v="67"/>
    <n v="80.099999999999994"/>
    <n v="1199.43"/>
    <n v="222.58"/>
  </r>
  <r>
    <x v="5"/>
    <x v="67"/>
    <n v="80.099999999999994"/>
    <n v="1268.06"/>
    <n v="230.77"/>
  </r>
  <r>
    <x v="6"/>
    <x v="67"/>
    <n v="80.099999999999994"/>
    <n v="1188.5"/>
    <n v="215.65"/>
  </r>
  <r>
    <x v="7"/>
    <x v="67"/>
    <n v="80.099999999999994"/>
    <n v="1229.1500000000001"/>
    <n v="233.81"/>
  </r>
  <r>
    <x v="8"/>
    <x v="67"/>
    <n v="80.099999999999994"/>
    <n v="1222.95"/>
    <n v="236.78"/>
  </r>
  <r>
    <x v="9"/>
    <x v="67"/>
    <n v="80.099999999999994"/>
    <n v="1173.6199999999999"/>
    <n v="227.96"/>
  </r>
  <r>
    <x v="10"/>
    <x v="67"/>
    <n v="80.099999999999994"/>
    <n v="1247.27"/>
    <n v="227.76"/>
  </r>
  <r>
    <x v="11"/>
    <x v="67"/>
    <n v="80.099999999999994"/>
    <n v="12.67"/>
    <n v="-1759.13"/>
  </r>
  <r>
    <x v="12"/>
    <x v="67"/>
    <n v="80.099999999999994"/>
    <n v="213.01"/>
    <n v="133"/>
  </r>
  <r>
    <x v="13"/>
    <x v="67"/>
    <n v="80.099999999999994"/>
    <n v="152.82"/>
    <n v="102.37"/>
  </r>
  <r>
    <x v="14"/>
    <x v="67"/>
    <n v="80.099999999999994"/>
    <n v="161.86000000000001"/>
    <n v="99.56"/>
  </r>
  <r>
    <x v="15"/>
    <x v="67"/>
    <n v="80.099999999999994"/>
    <n v="151.81"/>
    <n v="89.35"/>
  </r>
  <r>
    <x v="16"/>
    <x v="67"/>
    <n v="80.099999999999994"/>
    <n v="152.63999999999999"/>
    <n v="97.18"/>
  </r>
  <r>
    <x v="17"/>
    <x v="67"/>
    <n v="80.099999999999994"/>
    <n v="157.27000000000001"/>
    <n v="114.79"/>
  </r>
  <r>
    <x v="18"/>
    <x v="67"/>
    <n v="80.099999999999994"/>
    <n v="144.93"/>
    <n v="80.38"/>
  </r>
  <r>
    <x v="19"/>
    <x v="67"/>
    <n v="80.099999999999994"/>
    <n v="149.62"/>
    <n v="93.07"/>
  </r>
  <r>
    <x v="20"/>
    <x v="67"/>
    <n v="80.099999999999994"/>
    <n v="160.72"/>
    <n v="111.19"/>
  </r>
  <r>
    <x v="21"/>
    <x v="67"/>
    <n v="80.099999999999994"/>
    <n v="157.9"/>
    <n v="97.08"/>
  </r>
  <r>
    <x v="22"/>
    <x v="67"/>
    <n v="80.099999999999994"/>
    <n v="148.27000000000001"/>
    <n v="97.19"/>
  </r>
  <r>
    <x v="23"/>
    <x v="67"/>
    <n v="80.099999999999994"/>
    <n v="161.6"/>
    <n v="79.95"/>
  </r>
  <r>
    <x v="24"/>
    <x v="67"/>
    <n v="80.099999999999994"/>
    <n v="2220.1999999999998"/>
    <n v="369.03"/>
  </r>
  <r>
    <x v="25"/>
    <x v="67"/>
    <n v="80.099999999999994"/>
    <n v="1525.47"/>
    <n v="249.65"/>
  </r>
  <r>
    <x v="26"/>
    <x v="67"/>
    <n v="80.099999999999994"/>
    <n v="1493.21"/>
    <n v="275.47000000000003"/>
  </r>
  <r>
    <x v="27"/>
    <x v="67"/>
    <n v="80.099999999999994"/>
    <n v="1626.66"/>
    <n v="287.82"/>
  </r>
  <r>
    <x v="28"/>
    <x v="67"/>
    <n v="80.099999999999994"/>
    <n v="1452.12"/>
    <n v="270.83"/>
  </r>
  <r>
    <x v="29"/>
    <x v="67"/>
    <n v="80.099999999999994"/>
    <n v="1594.95"/>
    <n v="263.83999999999997"/>
  </r>
  <r>
    <x v="30"/>
    <x v="67"/>
    <n v="80.099999999999994"/>
    <n v="1499.32"/>
    <n v="232.4"/>
  </r>
  <r>
    <x v="31"/>
    <x v="67"/>
    <n v="80.099999999999994"/>
    <n v="1548.53"/>
    <n v="253.8"/>
  </r>
  <r>
    <x v="32"/>
    <x v="67"/>
    <n v="80.099999999999994"/>
    <n v="1366.52"/>
    <n v="229.65"/>
  </r>
  <r>
    <x v="33"/>
    <x v="67"/>
    <n v="80.099999999999994"/>
    <n v="1468.24"/>
    <n v="250.26"/>
  </r>
  <r>
    <x v="34"/>
    <x v="67"/>
    <n v="80.099999999999994"/>
    <n v="1631.35"/>
    <n v="240.64"/>
  </r>
  <r>
    <x v="35"/>
    <x v="67"/>
    <n v="80.099999999999994"/>
    <n v="1468.99"/>
    <n v="254.75"/>
  </r>
  <r>
    <x v="36"/>
    <x v="67"/>
    <n v="80.099999999999994"/>
    <n v="1612.45"/>
    <n v="493.37"/>
  </r>
  <r>
    <x v="37"/>
    <x v="67"/>
    <n v="80.099999999999994"/>
    <n v="923.63"/>
    <n v="329.82"/>
  </r>
  <r>
    <x v="38"/>
    <x v="67"/>
    <n v="80.099999999999994"/>
    <n v="1118.8900000000001"/>
    <n v="405.8"/>
  </r>
  <r>
    <x v="39"/>
    <x v="67"/>
    <n v="80.099999999999994"/>
    <n v="949.96"/>
    <n v="0"/>
  </r>
  <r>
    <x v="40"/>
    <x v="67"/>
    <n v="80.099999999999994"/>
    <n v="1094.04"/>
    <n v="0"/>
  </r>
  <r>
    <x v="41"/>
    <x v="67"/>
    <n v="80.099999999999994"/>
    <n v="1157.6199999999999"/>
    <n v="401.87"/>
  </r>
  <r>
    <x v="42"/>
    <x v="67"/>
    <n v="80.099999999999994"/>
    <n v="1110.9100000000001"/>
    <n v="0"/>
  </r>
  <r>
    <x v="43"/>
    <x v="67"/>
    <n v="80.099999999999994"/>
    <n v="984.78"/>
    <n v="0"/>
  </r>
  <r>
    <x v="44"/>
    <x v="67"/>
    <n v="80.099999999999994"/>
    <n v="1022.98"/>
    <n v="0"/>
  </r>
  <r>
    <x v="45"/>
    <x v="67"/>
    <n v="80.099999999999994"/>
    <n v="1015.82"/>
    <n v="0"/>
  </r>
  <r>
    <x v="46"/>
    <x v="67"/>
    <n v="80.099999999999994"/>
    <n v="828.35"/>
    <n v="0"/>
  </r>
  <r>
    <x v="47"/>
    <x v="67"/>
    <n v="80.099999999999994"/>
    <n v="1001.82"/>
    <n v="320.89"/>
  </r>
  <r>
    <x v="48"/>
    <x v="67"/>
    <n v="80.099999999999994"/>
    <n v="1699.72"/>
    <n v="557.57000000000005"/>
  </r>
  <r>
    <x v="49"/>
    <x v="67"/>
    <n v="80.099999999999994"/>
    <n v="1048.2"/>
    <n v="365.9"/>
  </r>
  <r>
    <x v="50"/>
    <x v="67"/>
    <n v="80.099999999999994"/>
    <n v="979.14"/>
    <n v="315.83999999999997"/>
  </r>
  <r>
    <x v="51"/>
    <x v="67"/>
    <n v="80.099999999999994"/>
    <n v="1058.6400000000001"/>
    <n v="349.84"/>
  </r>
  <r>
    <x v="52"/>
    <x v="67"/>
    <n v="80.099999999999994"/>
    <n v="1004.94"/>
    <n v="348.53"/>
  </r>
  <r>
    <x v="53"/>
    <x v="67"/>
    <n v="80.099999999999994"/>
    <n v="1048.1400000000001"/>
    <n v="0"/>
  </r>
  <r>
    <x v="54"/>
    <x v="67"/>
    <n v="80.099999999999994"/>
    <n v="861.18"/>
    <n v="0"/>
  </r>
  <r>
    <x v="55"/>
    <x v="67"/>
    <n v="80.099999999999994"/>
    <n v="1001.5"/>
    <n v="0"/>
  </r>
  <r>
    <x v="56"/>
    <x v="67"/>
    <n v="80.099999999999994"/>
    <n v="1104.3699999999999"/>
    <n v="0"/>
  </r>
  <r>
    <x v="57"/>
    <x v="67"/>
    <n v="80.099999999999994"/>
    <n v="1126.99"/>
    <n v="0"/>
  </r>
  <r>
    <x v="58"/>
    <x v="67"/>
    <n v="80.099999999999994"/>
    <n v="983.92"/>
    <n v="0"/>
  </r>
  <r>
    <x v="59"/>
    <x v="67"/>
    <n v="80.099999999999994"/>
    <n v="1078.1199999999999"/>
    <n v="383.05"/>
  </r>
  <r>
    <x v="60"/>
    <x v="67"/>
    <n v="80.099999999999994"/>
    <n v="1408.91"/>
    <n v="466.61"/>
  </r>
  <r>
    <x v="61"/>
    <x v="67"/>
    <n v="80.099999999999994"/>
    <n v="975.04"/>
    <n v="344.15"/>
  </r>
  <r>
    <x v="62"/>
    <x v="67"/>
    <n v="80.099999999999994"/>
    <n v="1095.55"/>
    <n v="366.13"/>
  </r>
  <r>
    <x v="63"/>
    <x v="67"/>
    <n v="80.099999999999994"/>
    <n v="870.22"/>
    <n v="258.64"/>
  </r>
  <r>
    <x v="64"/>
    <x v="67"/>
    <n v="80.099999999999994"/>
    <n v="964.3"/>
    <n v="0"/>
  </r>
  <r>
    <x v="65"/>
    <x v="67"/>
    <n v="80.099999999999994"/>
    <n v="1159.3499999999999"/>
    <n v="0"/>
  </r>
  <r>
    <x v="66"/>
    <x v="67"/>
    <n v="80.099999999999994"/>
    <n v="978.77"/>
    <n v="0"/>
  </r>
  <r>
    <x v="67"/>
    <x v="67"/>
    <n v="80.099999999999994"/>
    <n v="1146.53"/>
    <n v="0"/>
  </r>
  <r>
    <x v="68"/>
    <x v="67"/>
    <n v="80.099999999999994"/>
    <n v="954.69"/>
    <n v="0"/>
  </r>
  <r>
    <x v="69"/>
    <x v="67"/>
    <n v="80.099999999999994"/>
    <n v="1108.49"/>
    <n v="395.43"/>
  </r>
  <r>
    <x v="70"/>
    <x v="67"/>
    <n v="80.099999999999994"/>
    <n v="1080.06"/>
    <n v="320.33"/>
  </r>
  <r>
    <x v="71"/>
    <x v="67"/>
    <n v="80.099999999999994"/>
    <n v="1155.8800000000001"/>
    <n v="371.9"/>
  </r>
  <r>
    <x v="72"/>
    <x v="67"/>
    <n v="80.099999999999994"/>
    <n v="0"/>
    <n v="0"/>
  </r>
  <r>
    <x v="73"/>
    <x v="67"/>
    <n v="80.099999999999994"/>
    <n v="0"/>
    <n v="0"/>
  </r>
  <r>
    <x v="74"/>
    <x v="67"/>
    <n v="80.099999999999994"/>
    <n v="0"/>
    <n v="0"/>
  </r>
  <r>
    <x v="75"/>
    <x v="67"/>
    <n v="80.099999999999994"/>
    <n v="0"/>
    <n v="0"/>
  </r>
  <r>
    <x v="76"/>
    <x v="67"/>
    <n v="80.099999999999994"/>
    <n v="0"/>
    <n v="0"/>
  </r>
  <r>
    <x v="77"/>
    <x v="67"/>
    <n v="80.099999999999994"/>
    <n v="0"/>
    <n v="0"/>
  </r>
  <r>
    <x v="78"/>
    <x v="67"/>
    <n v="80.099999999999994"/>
    <n v="0"/>
    <n v="0"/>
  </r>
  <r>
    <x v="79"/>
    <x v="67"/>
    <n v="80.099999999999994"/>
    <n v="0"/>
    <n v="0"/>
  </r>
  <r>
    <x v="80"/>
    <x v="67"/>
    <n v="80.099999999999994"/>
    <n v="0"/>
    <n v="0"/>
  </r>
  <r>
    <x v="81"/>
    <x v="67"/>
    <n v="80.099999999999994"/>
    <n v="0"/>
    <n v="0"/>
  </r>
  <r>
    <x v="82"/>
    <x v="67"/>
    <n v="80.099999999999994"/>
    <n v="0"/>
    <n v="0"/>
  </r>
  <r>
    <x v="83"/>
    <x v="67"/>
    <n v="80.099999999999994"/>
    <n v="0"/>
    <n v="0"/>
  </r>
  <r>
    <x v="84"/>
    <x v="67"/>
    <n v="80.099999999999994"/>
    <n v="0"/>
    <n v="0"/>
  </r>
  <r>
    <x v="85"/>
    <x v="67"/>
    <n v="80.099999999999994"/>
    <n v="0"/>
    <n v="0"/>
  </r>
  <r>
    <x v="86"/>
    <x v="67"/>
    <n v="80.099999999999994"/>
    <n v="0"/>
    <n v="0"/>
  </r>
  <r>
    <x v="87"/>
    <x v="67"/>
    <n v="80.099999999999994"/>
    <n v="0"/>
    <n v="0"/>
  </r>
  <r>
    <x v="88"/>
    <x v="67"/>
    <n v="80.099999999999994"/>
    <n v="0"/>
    <n v="0"/>
  </r>
  <r>
    <x v="89"/>
    <x v="67"/>
    <n v="80.099999999999994"/>
    <n v="0"/>
    <n v="0"/>
  </r>
  <r>
    <x v="90"/>
    <x v="67"/>
    <n v="80.099999999999994"/>
    <n v="0"/>
    <n v="0"/>
  </r>
  <r>
    <x v="91"/>
    <x v="67"/>
    <n v="80.099999999999994"/>
    <n v="0"/>
    <n v="0"/>
  </r>
  <r>
    <x v="92"/>
    <x v="67"/>
    <n v="80.099999999999994"/>
    <n v="0"/>
    <n v="0"/>
  </r>
  <r>
    <x v="93"/>
    <x v="67"/>
    <n v="80.099999999999994"/>
    <n v="0"/>
    <n v="0"/>
  </r>
  <r>
    <x v="94"/>
    <x v="67"/>
    <n v="80.099999999999994"/>
    <n v="0"/>
    <n v="0"/>
  </r>
  <r>
    <x v="95"/>
    <x v="67"/>
    <n v="80.099999999999994"/>
    <n v="0"/>
    <n v="0"/>
  </r>
  <r>
    <x v="0"/>
    <x v="68"/>
    <n v="80.400000000000006"/>
    <n v="1710.6"/>
    <n v="284.10000000000002"/>
  </r>
  <r>
    <x v="1"/>
    <x v="68"/>
    <n v="80.400000000000006"/>
    <n v="1329"/>
    <n v="212.64"/>
  </r>
  <r>
    <x v="2"/>
    <x v="68"/>
    <n v="80.400000000000006"/>
    <n v="1344.36"/>
    <n v="216.92"/>
  </r>
  <r>
    <x v="3"/>
    <x v="68"/>
    <n v="80.400000000000006"/>
    <n v="1350.56"/>
    <n v="216.97"/>
  </r>
  <r>
    <x v="4"/>
    <x v="68"/>
    <n v="80.400000000000006"/>
    <n v="1298.5999999999999"/>
    <n v="218.17"/>
  </r>
  <r>
    <x v="5"/>
    <x v="68"/>
    <n v="80.400000000000006"/>
    <n v="1372.26"/>
    <n v="226.04"/>
  </r>
  <r>
    <x v="6"/>
    <x v="68"/>
    <n v="80.400000000000006"/>
    <n v="1287.25"/>
    <n v="211.11"/>
  </r>
  <r>
    <x v="7"/>
    <x v="68"/>
    <n v="80.400000000000006"/>
    <n v="1332.39"/>
    <n v="228.71"/>
  </r>
  <r>
    <x v="8"/>
    <x v="68"/>
    <n v="80.400000000000006"/>
    <n v="1322.4"/>
    <n v="231.34"/>
  </r>
  <r>
    <x v="9"/>
    <x v="68"/>
    <n v="80.400000000000006"/>
    <n v="1269.33"/>
    <n v="222.72"/>
  </r>
  <r>
    <x v="10"/>
    <x v="68"/>
    <n v="80.400000000000006"/>
    <n v="1350.77"/>
    <n v="222.75"/>
  </r>
  <r>
    <x v="11"/>
    <x v="68"/>
    <n v="80.400000000000006"/>
    <n v="-303.64"/>
    <n v="-1733.65"/>
  </r>
  <r>
    <x v="12"/>
    <x v="68"/>
    <n v="80.400000000000006"/>
    <n v="191.68"/>
    <n v="143.99"/>
  </r>
  <r>
    <x v="13"/>
    <x v="68"/>
    <n v="80.400000000000006"/>
    <n v="142.81"/>
    <n v="104.13"/>
  </r>
  <r>
    <x v="14"/>
    <x v="68"/>
    <n v="80.400000000000006"/>
    <n v="151.16"/>
    <n v="99.81"/>
  </r>
  <r>
    <x v="15"/>
    <x v="68"/>
    <n v="80.400000000000006"/>
    <n v="140.51"/>
    <n v="90.01"/>
  </r>
  <r>
    <x v="16"/>
    <x v="68"/>
    <n v="80.400000000000006"/>
    <n v="141.16999999999999"/>
    <n v="99.8"/>
  </r>
  <r>
    <x v="17"/>
    <x v="68"/>
    <n v="80.400000000000006"/>
    <n v="144.78"/>
    <n v="118.92"/>
  </r>
  <r>
    <x v="18"/>
    <x v="68"/>
    <n v="80.400000000000006"/>
    <n v="133.61000000000001"/>
    <n v="81.27"/>
  </r>
  <r>
    <x v="19"/>
    <x v="68"/>
    <n v="80.400000000000006"/>
    <n v="137.61000000000001"/>
    <n v="95.89"/>
  </r>
  <r>
    <x v="20"/>
    <x v="68"/>
    <n v="80.400000000000006"/>
    <n v="146.82"/>
    <n v="120.43"/>
  </r>
  <r>
    <x v="21"/>
    <x v="68"/>
    <n v="80.400000000000006"/>
    <n v="143.63"/>
    <n v="99.84"/>
  </r>
  <r>
    <x v="22"/>
    <x v="68"/>
    <n v="80.400000000000006"/>
    <n v="134.28"/>
    <n v="111.5"/>
  </r>
  <r>
    <x v="23"/>
    <x v="68"/>
    <n v="80.400000000000006"/>
    <n v="144.86000000000001"/>
    <n v="80.739999999999995"/>
  </r>
  <r>
    <x v="24"/>
    <x v="68"/>
    <n v="80.400000000000006"/>
    <n v="2402.63"/>
    <n v="365"/>
  </r>
  <r>
    <x v="25"/>
    <x v="68"/>
    <n v="80.400000000000006"/>
    <n v="1658.13"/>
    <n v="249.22"/>
  </r>
  <r>
    <x v="26"/>
    <x v="68"/>
    <n v="80.400000000000006"/>
    <n v="1630.68"/>
    <n v="285.7"/>
  </r>
  <r>
    <x v="27"/>
    <x v="68"/>
    <n v="80.400000000000006"/>
    <n v="1764.79"/>
    <n v="292.67"/>
  </r>
  <r>
    <x v="28"/>
    <x v="68"/>
    <n v="80.400000000000006"/>
    <n v="1578.13"/>
    <n v="277.38"/>
  </r>
  <r>
    <x v="29"/>
    <x v="68"/>
    <n v="80.400000000000006"/>
    <n v="1728.06"/>
    <n v="262.54000000000002"/>
  </r>
  <r>
    <x v="30"/>
    <x v="68"/>
    <n v="80.400000000000006"/>
    <n v="1638.76"/>
    <n v="233.14"/>
  </r>
  <r>
    <x v="31"/>
    <x v="68"/>
    <n v="80.400000000000006"/>
    <n v="1686.41"/>
    <n v="254.11"/>
  </r>
  <r>
    <x v="32"/>
    <x v="68"/>
    <n v="80.400000000000006"/>
    <n v="1496.93"/>
    <n v="231.21"/>
  </r>
  <r>
    <x v="33"/>
    <x v="68"/>
    <n v="80.400000000000006"/>
    <n v="1595.49"/>
    <n v="249.68"/>
  </r>
  <r>
    <x v="34"/>
    <x v="68"/>
    <n v="80.400000000000006"/>
    <n v="1785.04"/>
    <n v="242"/>
  </r>
  <r>
    <x v="35"/>
    <x v="68"/>
    <n v="80.400000000000006"/>
    <n v="1590.6"/>
    <n v="252.35"/>
  </r>
  <r>
    <x v="36"/>
    <x v="68"/>
    <n v="80.400000000000006"/>
    <n v="1698.69"/>
    <n v="496.81"/>
  </r>
  <r>
    <x v="37"/>
    <x v="68"/>
    <n v="80.400000000000006"/>
    <n v="981.47"/>
    <n v="331.84"/>
  </r>
  <r>
    <x v="38"/>
    <x v="68"/>
    <n v="80.400000000000006"/>
    <n v="1186.42"/>
    <n v="409.66"/>
  </r>
  <r>
    <x v="39"/>
    <x v="68"/>
    <n v="80.400000000000006"/>
    <n v="1016.04"/>
    <n v="0"/>
  </r>
  <r>
    <x v="40"/>
    <x v="68"/>
    <n v="80.400000000000006"/>
    <n v="1156.5899999999999"/>
    <n v="0"/>
  </r>
  <r>
    <x v="41"/>
    <x v="68"/>
    <n v="80.400000000000006"/>
    <n v="1223.47"/>
    <n v="411.75"/>
  </r>
  <r>
    <x v="42"/>
    <x v="68"/>
    <n v="80.400000000000006"/>
    <n v="1173.94"/>
    <n v="0"/>
  </r>
  <r>
    <x v="43"/>
    <x v="68"/>
    <n v="80.400000000000006"/>
    <n v="1050.07"/>
    <n v="0"/>
  </r>
  <r>
    <x v="44"/>
    <x v="68"/>
    <n v="80.400000000000006"/>
    <n v="1089.8"/>
    <n v="0"/>
  </r>
  <r>
    <x v="45"/>
    <x v="68"/>
    <n v="80.400000000000006"/>
    <n v="1084.4100000000001"/>
    <n v="0"/>
  </r>
  <r>
    <x v="46"/>
    <x v="68"/>
    <n v="80.400000000000006"/>
    <n v="885.72"/>
    <n v="0"/>
  </r>
  <r>
    <x v="47"/>
    <x v="68"/>
    <n v="80.400000000000006"/>
    <n v="1056.52"/>
    <n v="319.77999999999997"/>
  </r>
  <r>
    <x v="48"/>
    <x v="68"/>
    <n v="80.400000000000006"/>
    <n v="1787.31"/>
    <n v="566.04999999999995"/>
  </r>
  <r>
    <x v="49"/>
    <x v="68"/>
    <n v="80.400000000000006"/>
    <n v="1129.67"/>
    <n v="369.91"/>
  </r>
  <r>
    <x v="50"/>
    <x v="68"/>
    <n v="80.400000000000006"/>
    <n v="1036.93"/>
    <n v="313.32"/>
  </r>
  <r>
    <x v="51"/>
    <x v="68"/>
    <n v="80.400000000000006"/>
    <n v="1121.92"/>
    <n v="348.58"/>
  </r>
  <r>
    <x v="52"/>
    <x v="68"/>
    <n v="80.400000000000006"/>
    <n v="1060.78"/>
    <n v="347.08"/>
  </r>
  <r>
    <x v="53"/>
    <x v="68"/>
    <n v="80.400000000000006"/>
    <n v="1108.3900000000001"/>
    <n v="0"/>
  </r>
  <r>
    <x v="54"/>
    <x v="68"/>
    <n v="80.400000000000006"/>
    <n v="926.88"/>
    <n v="0"/>
  </r>
  <r>
    <x v="55"/>
    <x v="68"/>
    <n v="80.400000000000006"/>
    <n v="1047.95"/>
    <n v="0"/>
  </r>
  <r>
    <x v="56"/>
    <x v="68"/>
    <n v="80.400000000000006"/>
    <n v="1163.23"/>
    <n v="0"/>
  </r>
  <r>
    <x v="57"/>
    <x v="68"/>
    <n v="80.400000000000006"/>
    <n v="1183.42"/>
    <n v="0"/>
  </r>
  <r>
    <x v="58"/>
    <x v="68"/>
    <n v="80.400000000000006"/>
    <n v="1056.76"/>
    <n v="0"/>
  </r>
  <r>
    <x v="59"/>
    <x v="68"/>
    <n v="80.400000000000006"/>
    <n v="1134.33"/>
    <n v="386.1"/>
  </r>
  <r>
    <x v="60"/>
    <x v="68"/>
    <n v="80.400000000000006"/>
    <n v="1474.84"/>
    <n v="472.16"/>
  </r>
  <r>
    <x v="61"/>
    <x v="68"/>
    <n v="80.400000000000006"/>
    <n v="1043.48"/>
    <n v="359.96"/>
  </r>
  <r>
    <x v="62"/>
    <x v="68"/>
    <n v="80.400000000000006"/>
    <n v="1163.78"/>
    <n v="372.59"/>
  </r>
  <r>
    <x v="63"/>
    <x v="68"/>
    <n v="80.400000000000006"/>
    <n v="923.54"/>
    <n v="259.61"/>
  </r>
  <r>
    <x v="64"/>
    <x v="68"/>
    <n v="80.400000000000006"/>
    <n v="1021.35"/>
    <n v="0"/>
  </r>
  <r>
    <x v="65"/>
    <x v="68"/>
    <n v="80.400000000000006"/>
    <n v="1223.57"/>
    <n v="0"/>
  </r>
  <r>
    <x v="66"/>
    <x v="68"/>
    <n v="80.400000000000006"/>
    <n v="1058.44"/>
    <n v="0"/>
  </r>
  <r>
    <x v="67"/>
    <x v="68"/>
    <n v="80.400000000000006"/>
    <n v="1210.6300000000001"/>
    <n v="0"/>
  </r>
  <r>
    <x v="68"/>
    <x v="68"/>
    <n v="80.400000000000006"/>
    <n v="1013.71"/>
    <n v="0"/>
  </r>
  <r>
    <x v="69"/>
    <x v="68"/>
    <n v="80.400000000000006"/>
    <n v="1165.7"/>
    <n v="398.4"/>
  </r>
  <r>
    <x v="70"/>
    <x v="68"/>
    <n v="80.400000000000006"/>
    <n v="1157.31"/>
    <n v="331.38"/>
  </r>
  <r>
    <x v="71"/>
    <x v="68"/>
    <n v="80.400000000000006"/>
    <n v="1218.76"/>
    <n v="370.91"/>
  </r>
  <r>
    <x v="72"/>
    <x v="68"/>
    <n v="80.400000000000006"/>
    <n v="0"/>
    <n v="0"/>
  </r>
  <r>
    <x v="73"/>
    <x v="68"/>
    <n v="80.400000000000006"/>
    <n v="0"/>
    <n v="0"/>
  </r>
  <r>
    <x v="74"/>
    <x v="68"/>
    <n v="80.400000000000006"/>
    <n v="0"/>
    <n v="0"/>
  </r>
  <r>
    <x v="75"/>
    <x v="68"/>
    <n v="80.400000000000006"/>
    <n v="0"/>
    <n v="0"/>
  </r>
  <r>
    <x v="76"/>
    <x v="68"/>
    <n v="80.400000000000006"/>
    <n v="0"/>
    <n v="0"/>
  </r>
  <r>
    <x v="77"/>
    <x v="68"/>
    <n v="80.400000000000006"/>
    <n v="0"/>
    <n v="0"/>
  </r>
  <r>
    <x v="78"/>
    <x v="68"/>
    <n v="80.400000000000006"/>
    <n v="0"/>
    <n v="0"/>
  </r>
  <r>
    <x v="79"/>
    <x v="68"/>
    <n v="80.400000000000006"/>
    <n v="0"/>
    <n v="0"/>
  </r>
  <r>
    <x v="80"/>
    <x v="68"/>
    <n v="80.400000000000006"/>
    <n v="0"/>
    <n v="0"/>
  </r>
  <r>
    <x v="81"/>
    <x v="68"/>
    <n v="80.400000000000006"/>
    <n v="0"/>
    <n v="0"/>
  </r>
  <r>
    <x v="82"/>
    <x v="68"/>
    <n v="80.400000000000006"/>
    <n v="0"/>
    <n v="0"/>
  </r>
  <r>
    <x v="83"/>
    <x v="68"/>
    <n v="80.400000000000006"/>
    <n v="0"/>
    <n v="0"/>
  </r>
  <r>
    <x v="84"/>
    <x v="68"/>
    <n v="80.400000000000006"/>
    <n v="0"/>
    <n v="0"/>
  </r>
  <r>
    <x v="85"/>
    <x v="68"/>
    <n v="80.400000000000006"/>
    <n v="0"/>
    <n v="0"/>
  </r>
  <r>
    <x v="86"/>
    <x v="68"/>
    <n v="80.400000000000006"/>
    <n v="0"/>
    <n v="0"/>
  </r>
  <r>
    <x v="87"/>
    <x v="68"/>
    <n v="80.400000000000006"/>
    <n v="0"/>
    <n v="0"/>
  </r>
  <r>
    <x v="88"/>
    <x v="68"/>
    <n v="80.400000000000006"/>
    <n v="0"/>
    <n v="0"/>
  </r>
  <r>
    <x v="89"/>
    <x v="68"/>
    <n v="80.400000000000006"/>
    <n v="0"/>
    <n v="0"/>
  </r>
  <r>
    <x v="90"/>
    <x v="68"/>
    <n v="80.400000000000006"/>
    <n v="0"/>
    <n v="0"/>
  </r>
  <r>
    <x v="91"/>
    <x v="68"/>
    <n v="80.400000000000006"/>
    <n v="0"/>
    <n v="0"/>
  </r>
  <r>
    <x v="92"/>
    <x v="68"/>
    <n v="80.400000000000006"/>
    <n v="0"/>
    <n v="0"/>
  </r>
  <r>
    <x v="93"/>
    <x v="68"/>
    <n v="80.400000000000006"/>
    <n v="0"/>
    <n v="0"/>
  </r>
  <r>
    <x v="94"/>
    <x v="68"/>
    <n v="80.400000000000006"/>
    <n v="0"/>
    <n v="0"/>
  </r>
  <r>
    <x v="95"/>
    <x v="68"/>
    <n v="80.400000000000006"/>
    <n v="0"/>
    <n v="0"/>
  </r>
  <r>
    <x v="0"/>
    <x v="69"/>
    <n v="80.7"/>
    <n v="1855.04"/>
    <n v="277.58999999999997"/>
  </r>
  <r>
    <x v="1"/>
    <x v="69"/>
    <n v="80.7"/>
    <n v="1444.44"/>
    <n v="208.72"/>
  </r>
  <r>
    <x v="2"/>
    <x v="69"/>
    <n v="80.7"/>
    <n v="1463.23"/>
    <n v="212.57"/>
  </r>
  <r>
    <x v="3"/>
    <x v="69"/>
    <n v="80.7"/>
    <n v="1468.7"/>
    <n v="213.1"/>
  </r>
  <r>
    <x v="4"/>
    <x v="69"/>
    <n v="80.7"/>
    <n v="1410.77"/>
    <n v="214.09"/>
  </r>
  <r>
    <x v="5"/>
    <x v="69"/>
    <n v="80.7"/>
    <n v="1490.36"/>
    <n v="221.62"/>
  </r>
  <r>
    <x v="6"/>
    <x v="69"/>
    <n v="80.7"/>
    <n v="1398.76"/>
    <n v="206.77"/>
  </r>
  <r>
    <x v="7"/>
    <x v="69"/>
    <n v="80.7"/>
    <n v="1449.15"/>
    <n v="224.09"/>
  </r>
  <r>
    <x v="8"/>
    <x v="69"/>
    <n v="80.7"/>
    <n v="1435.24"/>
    <n v="226.37"/>
  </r>
  <r>
    <x v="9"/>
    <x v="69"/>
    <n v="80.7"/>
    <n v="1377.5"/>
    <n v="218.03"/>
  </r>
  <r>
    <x v="10"/>
    <x v="69"/>
    <n v="80.7"/>
    <n v="1467.59"/>
    <n v="217.97"/>
  </r>
  <r>
    <x v="11"/>
    <x v="69"/>
    <n v="80.7"/>
    <n v="-548.36"/>
    <n v="-1702.68"/>
  </r>
  <r>
    <x v="12"/>
    <x v="69"/>
    <n v="80.7"/>
    <n v="173.87"/>
    <n v="147.34"/>
  </r>
  <r>
    <x v="13"/>
    <x v="69"/>
    <n v="80.7"/>
    <n v="134.35"/>
    <n v="104.72"/>
  </r>
  <r>
    <x v="14"/>
    <x v="69"/>
    <n v="80.7"/>
    <n v="142.13"/>
    <n v="99.76"/>
  </r>
  <r>
    <x v="15"/>
    <x v="69"/>
    <n v="80.7"/>
    <n v="131.07"/>
    <n v="90.43"/>
  </r>
  <r>
    <x v="16"/>
    <x v="69"/>
    <n v="80.7"/>
    <n v="131.6"/>
    <n v="101.29"/>
  </r>
  <r>
    <x v="17"/>
    <x v="69"/>
    <n v="80.7"/>
    <n v="134.22999999999999"/>
    <n v="118.13"/>
  </r>
  <r>
    <x v="18"/>
    <x v="69"/>
    <n v="80.7"/>
    <n v="124.05"/>
    <n v="81.83"/>
  </r>
  <r>
    <x v="19"/>
    <x v="69"/>
    <n v="80.7"/>
    <n v="127.57"/>
    <n v="97.51"/>
  </r>
  <r>
    <x v="20"/>
    <x v="69"/>
    <n v="80.7"/>
    <n v="135.25"/>
    <n v="121.48"/>
  </r>
  <r>
    <x v="21"/>
    <x v="69"/>
    <n v="80.7"/>
    <n v="131.69999999999999"/>
    <n v="101.33"/>
  </r>
  <r>
    <x v="22"/>
    <x v="69"/>
    <n v="80.7"/>
    <n v="122.51"/>
    <n v="116.24"/>
  </r>
  <r>
    <x v="23"/>
    <x v="69"/>
    <n v="80.7"/>
    <n v="130.78"/>
    <n v="81.430000000000007"/>
  </r>
  <r>
    <x v="24"/>
    <x v="69"/>
    <n v="80.7"/>
    <n v="2613.04"/>
    <n v="360.95"/>
  </r>
  <r>
    <x v="25"/>
    <x v="69"/>
    <n v="80.7"/>
    <n v="1807.62"/>
    <n v="248.36"/>
  </r>
  <r>
    <x v="26"/>
    <x v="69"/>
    <n v="80.7"/>
    <n v="1784.9"/>
    <n v="289.02999999999997"/>
  </r>
  <r>
    <x v="27"/>
    <x v="69"/>
    <n v="80.7"/>
    <n v="1921.8"/>
    <n v="291.75"/>
  </r>
  <r>
    <x v="28"/>
    <x v="69"/>
    <n v="80.7"/>
    <n v="1719.11"/>
    <n v="277.98"/>
  </r>
  <r>
    <x v="29"/>
    <x v="69"/>
    <n v="80.7"/>
    <n v="1878.78"/>
    <n v="261.04000000000002"/>
  </r>
  <r>
    <x v="30"/>
    <x v="69"/>
    <n v="80.7"/>
    <n v="1796.69"/>
    <n v="233.51"/>
  </r>
  <r>
    <x v="31"/>
    <x v="69"/>
    <n v="80.7"/>
    <n v="1841.44"/>
    <n v="253.99"/>
  </r>
  <r>
    <x v="32"/>
    <x v="69"/>
    <n v="80.7"/>
    <n v="1642.45"/>
    <n v="232.24"/>
  </r>
  <r>
    <x v="33"/>
    <x v="69"/>
    <n v="80.7"/>
    <n v="1739.09"/>
    <n v="248.75"/>
  </r>
  <r>
    <x v="34"/>
    <x v="69"/>
    <n v="80.7"/>
    <n v="1961.08"/>
    <n v="243.06"/>
  </r>
  <r>
    <x v="35"/>
    <x v="69"/>
    <n v="80.7"/>
    <n v="1730.22"/>
    <n v="249.89"/>
  </r>
  <r>
    <x v="36"/>
    <x v="69"/>
    <n v="80.7"/>
    <n v="1809.3"/>
    <n v="492.92"/>
  </r>
  <r>
    <x v="37"/>
    <x v="69"/>
    <n v="80.7"/>
    <n v="1051.44"/>
    <n v="328.51"/>
  </r>
  <r>
    <x v="38"/>
    <x v="69"/>
    <n v="80.7"/>
    <n v="1269.7"/>
    <n v="407.4"/>
  </r>
  <r>
    <x v="39"/>
    <x v="69"/>
    <n v="80.7"/>
    <n v="1094.42"/>
    <n v="0"/>
  </r>
  <r>
    <x v="40"/>
    <x v="69"/>
    <n v="80.7"/>
    <n v="1232.79"/>
    <n v="0"/>
  </r>
  <r>
    <x v="41"/>
    <x v="69"/>
    <n v="80.7"/>
    <n v="1303.71"/>
    <n v="411.4"/>
  </r>
  <r>
    <x v="42"/>
    <x v="69"/>
    <n v="80.7"/>
    <n v="1251.7"/>
    <n v="0"/>
  </r>
  <r>
    <x v="43"/>
    <x v="69"/>
    <n v="80.7"/>
    <n v="1130.82"/>
    <n v="0"/>
  </r>
  <r>
    <x v="44"/>
    <x v="69"/>
    <n v="80.7"/>
    <n v="1169.21"/>
    <n v="0"/>
  </r>
  <r>
    <x v="45"/>
    <x v="69"/>
    <n v="80.7"/>
    <n v="1166.8699999999999"/>
    <n v="0"/>
  </r>
  <r>
    <x v="46"/>
    <x v="69"/>
    <n v="80.7"/>
    <n v="962.74"/>
    <n v="0"/>
  </r>
  <r>
    <x v="47"/>
    <x v="69"/>
    <n v="80.7"/>
    <n v="1126.02"/>
    <n v="318.51"/>
  </r>
  <r>
    <x v="48"/>
    <x v="69"/>
    <n v="80.7"/>
    <n v="1899.09"/>
    <n v="561.42999999999995"/>
  </r>
  <r>
    <x v="49"/>
    <x v="69"/>
    <n v="80.7"/>
    <n v="1221.5999999999999"/>
    <n v="367.93"/>
  </r>
  <r>
    <x v="50"/>
    <x v="69"/>
    <n v="80.7"/>
    <n v="1111.8599999999999"/>
    <n v="310.39999999999998"/>
  </r>
  <r>
    <x v="51"/>
    <x v="69"/>
    <n v="80.7"/>
    <n v="1200.46"/>
    <n v="345.48"/>
  </r>
  <r>
    <x v="52"/>
    <x v="69"/>
    <n v="80.7"/>
    <n v="1130.23"/>
    <n v="343.88"/>
  </r>
  <r>
    <x v="53"/>
    <x v="69"/>
    <n v="80.7"/>
    <n v="1181.52"/>
    <n v="0"/>
  </r>
  <r>
    <x v="54"/>
    <x v="69"/>
    <n v="80.7"/>
    <n v="1004.14"/>
    <n v="0"/>
  </r>
  <r>
    <x v="55"/>
    <x v="69"/>
    <n v="80.7"/>
    <n v="1107.22"/>
    <n v="0"/>
  </r>
  <r>
    <x v="56"/>
    <x v="69"/>
    <n v="80.7"/>
    <n v="1235.3399999999999"/>
    <n v="0"/>
  </r>
  <r>
    <x v="57"/>
    <x v="69"/>
    <n v="80.7"/>
    <n v="1253.74"/>
    <n v="0"/>
  </r>
  <r>
    <x v="58"/>
    <x v="69"/>
    <n v="80.7"/>
    <n v="1148.92"/>
    <n v="0"/>
  </r>
  <r>
    <x v="59"/>
    <x v="69"/>
    <n v="80.7"/>
    <n v="1206.32"/>
    <n v="383.92"/>
  </r>
  <r>
    <x v="60"/>
    <x v="69"/>
    <n v="80.7"/>
    <n v="1559.17"/>
    <n v="466.68"/>
  </r>
  <r>
    <x v="61"/>
    <x v="69"/>
    <n v="80.7"/>
    <n v="1123.6600000000001"/>
    <n v="366.81"/>
  </r>
  <r>
    <x v="62"/>
    <x v="69"/>
    <n v="80.7"/>
    <n v="1249.45"/>
    <n v="375.78"/>
  </r>
  <r>
    <x v="63"/>
    <x v="69"/>
    <n v="80.7"/>
    <n v="993.78"/>
    <n v="261.82"/>
  </r>
  <r>
    <x v="64"/>
    <x v="69"/>
    <n v="80.7"/>
    <n v="1099.55"/>
    <n v="0"/>
  </r>
  <r>
    <x v="65"/>
    <x v="69"/>
    <n v="80.7"/>
    <n v="1301.2"/>
    <n v="0"/>
  </r>
  <r>
    <x v="66"/>
    <x v="69"/>
    <n v="80.7"/>
    <n v="1152.26"/>
    <n v="0"/>
  </r>
  <r>
    <x v="67"/>
    <x v="69"/>
    <n v="80.7"/>
    <n v="1290.3399999999999"/>
    <n v="0"/>
  </r>
  <r>
    <x v="68"/>
    <x v="69"/>
    <n v="80.7"/>
    <n v="1082.75"/>
    <n v="0"/>
  </r>
  <r>
    <x v="69"/>
    <x v="69"/>
    <n v="80.7"/>
    <n v="1235.82"/>
    <n v="394.79"/>
  </r>
  <r>
    <x v="70"/>
    <x v="69"/>
    <n v="80.7"/>
    <n v="1256.95"/>
    <n v="340.47"/>
  </r>
  <r>
    <x v="71"/>
    <x v="69"/>
    <n v="80.7"/>
    <n v="1297.72"/>
    <n v="369.62"/>
  </r>
  <r>
    <x v="72"/>
    <x v="69"/>
    <n v="80.7"/>
    <n v="0"/>
    <n v="0"/>
  </r>
  <r>
    <x v="73"/>
    <x v="69"/>
    <n v="80.7"/>
    <n v="0"/>
    <n v="0"/>
  </r>
  <r>
    <x v="74"/>
    <x v="69"/>
    <n v="80.7"/>
    <n v="0"/>
    <n v="0"/>
  </r>
  <r>
    <x v="75"/>
    <x v="69"/>
    <n v="80.7"/>
    <n v="0"/>
    <n v="0"/>
  </r>
  <r>
    <x v="76"/>
    <x v="69"/>
    <n v="80.7"/>
    <n v="0"/>
    <n v="0"/>
  </r>
  <r>
    <x v="77"/>
    <x v="69"/>
    <n v="80.7"/>
    <n v="0"/>
    <n v="0"/>
  </r>
  <r>
    <x v="78"/>
    <x v="69"/>
    <n v="80.7"/>
    <n v="0"/>
    <n v="0"/>
  </r>
  <r>
    <x v="79"/>
    <x v="69"/>
    <n v="80.7"/>
    <n v="0"/>
    <n v="0"/>
  </r>
  <r>
    <x v="80"/>
    <x v="69"/>
    <n v="80.7"/>
    <n v="0"/>
    <n v="0"/>
  </r>
  <r>
    <x v="81"/>
    <x v="69"/>
    <n v="80.7"/>
    <n v="0"/>
    <n v="0"/>
  </r>
  <r>
    <x v="82"/>
    <x v="69"/>
    <n v="80.7"/>
    <n v="0"/>
    <n v="0"/>
  </r>
  <r>
    <x v="83"/>
    <x v="69"/>
    <n v="80.7"/>
    <n v="0"/>
    <n v="0"/>
  </r>
  <r>
    <x v="84"/>
    <x v="69"/>
    <n v="80.7"/>
    <n v="0"/>
    <n v="0"/>
  </r>
  <r>
    <x v="85"/>
    <x v="69"/>
    <n v="80.7"/>
    <n v="0"/>
    <n v="0"/>
  </r>
  <r>
    <x v="86"/>
    <x v="69"/>
    <n v="80.7"/>
    <n v="0"/>
    <n v="0"/>
  </r>
  <r>
    <x v="87"/>
    <x v="69"/>
    <n v="80.7"/>
    <n v="0"/>
    <n v="0"/>
  </r>
  <r>
    <x v="88"/>
    <x v="69"/>
    <n v="80.7"/>
    <n v="0"/>
    <n v="0"/>
  </r>
  <r>
    <x v="89"/>
    <x v="69"/>
    <n v="80.7"/>
    <n v="0"/>
    <n v="0"/>
  </r>
  <r>
    <x v="90"/>
    <x v="69"/>
    <n v="80.7"/>
    <n v="0"/>
    <n v="0"/>
  </r>
  <r>
    <x v="91"/>
    <x v="69"/>
    <n v="80.7"/>
    <n v="0"/>
    <n v="0"/>
  </r>
  <r>
    <x v="92"/>
    <x v="69"/>
    <n v="80.7"/>
    <n v="0"/>
    <n v="0"/>
  </r>
  <r>
    <x v="93"/>
    <x v="69"/>
    <n v="80.7"/>
    <n v="0"/>
    <n v="0"/>
  </r>
  <r>
    <x v="94"/>
    <x v="69"/>
    <n v="80.7"/>
    <n v="0"/>
    <n v="0"/>
  </r>
  <r>
    <x v="95"/>
    <x v="69"/>
    <n v="80.7"/>
    <n v="0"/>
    <n v="0"/>
  </r>
  <r>
    <x v="0"/>
    <x v="70"/>
    <n v="81"/>
    <n v="2017.8"/>
    <n v="271.74"/>
  </r>
  <r>
    <x v="1"/>
    <x v="70"/>
    <n v="81"/>
    <n v="1573.88"/>
    <n v="205.14"/>
  </r>
  <r>
    <x v="2"/>
    <x v="70"/>
    <n v="81"/>
    <n v="1596.23"/>
    <n v="208.41"/>
  </r>
  <r>
    <x v="3"/>
    <x v="70"/>
    <n v="81"/>
    <n v="1601.26"/>
    <n v="209.48"/>
  </r>
  <r>
    <x v="4"/>
    <x v="70"/>
    <n v="81"/>
    <n v="1536.65"/>
    <n v="210.31"/>
  </r>
  <r>
    <x v="5"/>
    <x v="70"/>
    <n v="81"/>
    <n v="1623.3"/>
    <n v="217.49"/>
  </r>
  <r>
    <x v="6"/>
    <x v="70"/>
    <n v="81"/>
    <n v="1523.83"/>
    <n v="202.65"/>
  </r>
  <r>
    <x v="7"/>
    <x v="70"/>
    <n v="81"/>
    <n v="1579.91"/>
    <n v="219.89"/>
  </r>
  <r>
    <x v="8"/>
    <x v="70"/>
    <n v="81"/>
    <n v="1562.2"/>
    <n v="221.82"/>
  </r>
  <r>
    <x v="9"/>
    <x v="70"/>
    <n v="81"/>
    <n v="1498.81"/>
    <n v="213.81"/>
  </r>
  <r>
    <x v="10"/>
    <x v="70"/>
    <n v="81"/>
    <n v="1598.23"/>
    <n v="213.42"/>
  </r>
  <r>
    <x v="11"/>
    <x v="70"/>
    <n v="81"/>
    <n v="-726.07"/>
    <n v="-1666.5"/>
  </r>
  <r>
    <x v="12"/>
    <x v="70"/>
    <n v="81"/>
    <n v="158.86000000000001"/>
    <n v="141.09"/>
  </r>
  <r>
    <x v="13"/>
    <x v="70"/>
    <n v="81"/>
    <n v="127.03"/>
    <n v="104.15"/>
  </r>
  <r>
    <x v="14"/>
    <x v="70"/>
    <n v="81"/>
    <n v="134.35"/>
    <n v="99.48"/>
  </r>
  <r>
    <x v="15"/>
    <x v="70"/>
    <n v="81"/>
    <n v="123.01"/>
    <n v="90.68"/>
  </r>
  <r>
    <x v="16"/>
    <x v="70"/>
    <n v="81"/>
    <n v="123.48"/>
    <n v="101.69"/>
  </r>
  <r>
    <x v="17"/>
    <x v="70"/>
    <n v="81"/>
    <n v="125.15"/>
    <n v="113.02"/>
  </r>
  <r>
    <x v="18"/>
    <x v="70"/>
    <n v="81"/>
    <n v="115.82"/>
    <n v="82.14"/>
  </r>
  <r>
    <x v="19"/>
    <x v="70"/>
    <n v="81"/>
    <n v="119.03"/>
    <n v="97.97"/>
  </r>
  <r>
    <x v="20"/>
    <x v="70"/>
    <n v="81"/>
    <n v="125.47"/>
    <n v="113.71"/>
  </r>
  <r>
    <x v="21"/>
    <x v="70"/>
    <n v="81"/>
    <n v="121.6"/>
    <n v="101.58"/>
  </r>
  <r>
    <x v="22"/>
    <x v="70"/>
    <n v="81"/>
    <n v="112.5"/>
    <n v="110.26"/>
  </r>
  <r>
    <x v="23"/>
    <x v="70"/>
    <n v="81"/>
    <n v="118.82"/>
    <n v="82.03"/>
  </r>
  <r>
    <x v="24"/>
    <x v="70"/>
    <n v="81"/>
    <n v="2855.97"/>
    <n v="356.89"/>
  </r>
  <r>
    <x v="25"/>
    <x v="70"/>
    <n v="81"/>
    <n v="1977.08"/>
    <n v="247.17"/>
  </r>
  <r>
    <x v="26"/>
    <x v="70"/>
    <n v="81"/>
    <n v="1957.5"/>
    <n v="284.25"/>
  </r>
  <r>
    <x v="27"/>
    <x v="70"/>
    <n v="81"/>
    <n v="2101.14"/>
    <n v="284.58"/>
  </r>
  <r>
    <x v="28"/>
    <x v="70"/>
    <n v="81"/>
    <n v="1877.83"/>
    <n v="272.23"/>
  </r>
  <r>
    <x v="29"/>
    <x v="70"/>
    <n v="81"/>
    <n v="2050.2199999999998"/>
    <n v="259.37"/>
  </r>
  <r>
    <x v="30"/>
    <x v="70"/>
    <n v="81"/>
    <n v="1974.32"/>
    <n v="233.55"/>
  </r>
  <r>
    <x v="31"/>
    <x v="70"/>
    <n v="81"/>
    <n v="2015.68"/>
    <n v="253.51"/>
  </r>
  <r>
    <x v="32"/>
    <x v="70"/>
    <n v="81"/>
    <n v="1804.31"/>
    <n v="232.81"/>
  </r>
  <r>
    <x v="33"/>
    <x v="70"/>
    <n v="81"/>
    <n v="1901.71"/>
    <n v="247.53"/>
  </r>
  <r>
    <x v="34"/>
    <x v="70"/>
    <n v="81"/>
    <n v="2161.9699999999998"/>
    <n v="243.81"/>
  </r>
  <r>
    <x v="35"/>
    <x v="70"/>
    <n v="81"/>
    <n v="1890.39"/>
    <n v="247.4"/>
  </r>
  <r>
    <x v="36"/>
    <x v="70"/>
    <n v="81"/>
    <n v="1954.24"/>
    <n v="481.81"/>
  </r>
  <r>
    <x v="37"/>
    <x v="70"/>
    <n v="81"/>
    <n v="1139.05"/>
    <n v="321.04000000000002"/>
  </r>
  <r>
    <x v="38"/>
    <x v="70"/>
    <n v="81"/>
    <n v="1375.99"/>
    <n v="398.15"/>
  </r>
  <r>
    <x v="39"/>
    <x v="70"/>
    <n v="81"/>
    <n v="1191.83"/>
    <n v="0"/>
  </r>
  <r>
    <x v="40"/>
    <x v="70"/>
    <n v="81"/>
    <n v="1330.48"/>
    <n v="0"/>
  </r>
  <r>
    <x v="41"/>
    <x v="70"/>
    <n v="81"/>
    <n v="1405.86"/>
    <n v="399.67"/>
  </r>
  <r>
    <x v="42"/>
    <x v="70"/>
    <n v="81"/>
    <n v="1351.9"/>
    <n v="0"/>
  </r>
  <r>
    <x v="43"/>
    <x v="70"/>
    <n v="81"/>
    <n v="1232.77"/>
    <n v="0"/>
  </r>
  <r>
    <x v="44"/>
    <x v="70"/>
    <n v="81"/>
    <n v="1266.74"/>
    <n v="0"/>
  </r>
  <r>
    <x v="45"/>
    <x v="70"/>
    <n v="81"/>
    <n v="1268.2"/>
    <n v="0"/>
  </r>
  <r>
    <x v="46"/>
    <x v="70"/>
    <n v="81"/>
    <n v="1067.33"/>
    <n v="0"/>
  </r>
  <r>
    <x v="47"/>
    <x v="70"/>
    <n v="81"/>
    <n v="1217.17"/>
    <n v="317.11"/>
  </r>
  <r>
    <x v="48"/>
    <x v="70"/>
    <n v="81"/>
    <n v="2044.71"/>
    <n v="543.22"/>
  </r>
  <r>
    <x v="49"/>
    <x v="70"/>
    <n v="81"/>
    <n v="1328.82"/>
    <n v="361.71"/>
  </r>
  <r>
    <x v="50"/>
    <x v="70"/>
    <n v="81"/>
    <n v="1212.3"/>
    <n v="307.64999999999998"/>
  </r>
  <r>
    <x v="51"/>
    <x v="70"/>
    <n v="81"/>
    <n v="1301.21"/>
    <n v="340.56"/>
  </r>
  <r>
    <x v="52"/>
    <x v="70"/>
    <n v="81"/>
    <n v="1219.92"/>
    <n v="338.95"/>
  </r>
  <r>
    <x v="53"/>
    <x v="70"/>
    <n v="81"/>
    <n v="1274.03"/>
    <n v="0"/>
  </r>
  <r>
    <x v="54"/>
    <x v="70"/>
    <n v="81"/>
    <n v="1097.05"/>
    <n v="0"/>
  </r>
  <r>
    <x v="55"/>
    <x v="70"/>
    <n v="81"/>
    <n v="1185.6400000000001"/>
    <n v="0"/>
  </r>
  <r>
    <x v="56"/>
    <x v="70"/>
    <n v="81"/>
    <n v="1327.71"/>
    <n v="0"/>
  </r>
  <r>
    <x v="57"/>
    <x v="70"/>
    <n v="81"/>
    <n v="1344.57"/>
    <n v="0"/>
  </r>
  <r>
    <x v="58"/>
    <x v="70"/>
    <n v="81"/>
    <n v="1266.78"/>
    <n v="0"/>
  </r>
  <r>
    <x v="59"/>
    <x v="70"/>
    <n v="81"/>
    <n v="1300.92"/>
    <n v="376.24"/>
  </r>
  <r>
    <x v="60"/>
    <x v="70"/>
    <n v="81"/>
    <n v="1669.27"/>
    <n v="450.32"/>
  </r>
  <r>
    <x v="61"/>
    <x v="70"/>
    <n v="81"/>
    <n v="1220.4000000000001"/>
    <n v="364.02"/>
  </r>
  <r>
    <x v="62"/>
    <x v="70"/>
    <n v="81"/>
    <n v="1358.91"/>
    <n v="375.71"/>
  </r>
  <r>
    <x v="63"/>
    <x v="70"/>
    <n v="81"/>
    <n v="1088.8499999999999"/>
    <n v="265.18"/>
  </r>
  <r>
    <x v="64"/>
    <x v="70"/>
    <n v="81"/>
    <n v="1207.4000000000001"/>
    <n v="0"/>
  </r>
  <r>
    <x v="65"/>
    <x v="70"/>
    <n v="81"/>
    <n v="1398.81"/>
    <n v="0"/>
  </r>
  <r>
    <x v="66"/>
    <x v="70"/>
    <n v="81"/>
    <n v="1264.3"/>
    <n v="0"/>
  </r>
  <r>
    <x v="67"/>
    <x v="70"/>
    <n v="81"/>
    <n v="1392.56"/>
    <n v="0"/>
  </r>
  <r>
    <x v="68"/>
    <x v="70"/>
    <n v="81"/>
    <n v="1167.1400000000001"/>
    <n v="0"/>
  </r>
  <r>
    <x v="69"/>
    <x v="70"/>
    <n v="81"/>
    <n v="1325.22"/>
    <n v="384.68"/>
  </r>
  <r>
    <x v="70"/>
    <x v="70"/>
    <n v="81"/>
    <n v="1385.52"/>
    <n v="346.9"/>
  </r>
  <r>
    <x v="71"/>
    <x v="70"/>
    <n v="81"/>
    <n v="1400.17"/>
    <n v="368.06"/>
  </r>
  <r>
    <x v="72"/>
    <x v="70"/>
    <n v="81"/>
    <n v="0"/>
    <n v="0"/>
  </r>
  <r>
    <x v="73"/>
    <x v="70"/>
    <n v="81"/>
    <n v="0"/>
    <n v="0"/>
  </r>
  <r>
    <x v="74"/>
    <x v="70"/>
    <n v="81"/>
    <n v="0"/>
    <n v="0"/>
  </r>
  <r>
    <x v="75"/>
    <x v="70"/>
    <n v="81"/>
    <n v="0"/>
    <n v="0"/>
  </r>
  <r>
    <x v="76"/>
    <x v="70"/>
    <n v="81"/>
    <n v="0"/>
    <n v="0"/>
  </r>
  <r>
    <x v="77"/>
    <x v="70"/>
    <n v="81"/>
    <n v="0"/>
    <n v="0"/>
  </r>
  <r>
    <x v="78"/>
    <x v="70"/>
    <n v="81"/>
    <n v="0"/>
    <n v="0"/>
  </r>
  <r>
    <x v="79"/>
    <x v="70"/>
    <n v="81"/>
    <n v="0"/>
    <n v="0"/>
  </r>
  <r>
    <x v="80"/>
    <x v="70"/>
    <n v="81"/>
    <n v="0"/>
    <n v="0"/>
  </r>
  <r>
    <x v="81"/>
    <x v="70"/>
    <n v="81"/>
    <n v="0"/>
    <n v="0"/>
  </r>
  <r>
    <x v="82"/>
    <x v="70"/>
    <n v="81"/>
    <n v="0"/>
    <n v="0"/>
  </r>
  <r>
    <x v="83"/>
    <x v="70"/>
    <n v="81"/>
    <n v="0"/>
    <n v="0"/>
  </r>
  <r>
    <x v="84"/>
    <x v="70"/>
    <n v="81"/>
    <n v="0"/>
    <n v="0"/>
  </r>
  <r>
    <x v="85"/>
    <x v="70"/>
    <n v="81"/>
    <n v="0"/>
    <n v="0"/>
  </r>
  <r>
    <x v="86"/>
    <x v="70"/>
    <n v="81"/>
    <n v="0"/>
    <n v="0"/>
  </r>
  <r>
    <x v="87"/>
    <x v="70"/>
    <n v="81"/>
    <n v="0"/>
    <n v="0"/>
  </r>
  <r>
    <x v="88"/>
    <x v="70"/>
    <n v="81"/>
    <n v="0"/>
    <n v="0"/>
  </r>
  <r>
    <x v="89"/>
    <x v="70"/>
    <n v="81"/>
    <n v="0"/>
    <n v="0"/>
  </r>
  <r>
    <x v="90"/>
    <x v="70"/>
    <n v="81"/>
    <n v="0"/>
    <n v="0"/>
  </r>
  <r>
    <x v="91"/>
    <x v="70"/>
    <n v="81"/>
    <n v="0"/>
    <n v="0"/>
  </r>
  <r>
    <x v="92"/>
    <x v="70"/>
    <n v="81"/>
    <n v="0"/>
    <n v="0"/>
  </r>
  <r>
    <x v="93"/>
    <x v="70"/>
    <n v="81"/>
    <n v="0"/>
    <n v="0"/>
  </r>
  <r>
    <x v="94"/>
    <x v="70"/>
    <n v="81"/>
    <n v="0"/>
    <n v="0"/>
  </r>
  <r>
    <x v="95"/>
    <x v="70"/>
    <n v="81"/>
    <n v="0"/>
    <n v="0"/>
  </r>
  <r>
    <x v="0"/>
    <x v="71"/>
    <n v="81.3"/>
    <n v="2199.58"/>
    <n v="266.45"/>
  </r>
  <r>
    <x v="1"/>
    <x v="71"/>
    <n v="81.3"/>
    <n v="1717.62"/>
    <n v="201.87"/>
  </r>
  <r>
    <x v="2"/>
    <x v="71"/>
    <n v="81.3"/>
    <n v="1743.33"/>
    <n v="204.47"/>
  </r>
  <r>
    <x v="3"/>
    <x v="71"/>
    <n v="81.3"/>
    <n v="1748.66"/>
    <n v="206.09"/>
  </r>
  <r>
    <x v="4"/>
    <x v="71"/>
    <n v="81.3"/>
    <n v="1676.22"/>
    <n v="206.8"/>
  </r>
  <r>
    <x v="5"/>
    <x v="71"/>
    <n v="81.3"/>
    <n v="1771.3"/>
    <n v="213.62"/>
  </r>
  <r>
    <x v="6"/>
    <x v="71"/>
    <n v="81.3"/>
    <n v="1662.88"/>
    <n v="198.75"/>
  </r>
  <r>
    <x v="7"/>
    <x v="71"/>
    <n v="81.3"/>
    <n v="1724.36"/>
    <n v="216.05"/>
  </r>
  <r>
    <x v="8"/>
    <x v="71"/>
    <n v="81.3"/>
    <n v="1703.11"/>
    <n v="217.64"/>
  </r>
  <r>
    <x v="9"/>
    <x v="71"/>
    <n v="81.3"/>
    <n v="1633.35"/>
    <n v="209.96"/>
  </r>
  <r>
    <x v="10"/>
    <x v="71"/>
    <n v="81.3"/>
    <n v="1742.46"/>
    <n v="209.08"/>
  </r>
  <r>
    <x v="11"/>
    <x v="71"/>
    <n v="81.3"/>
    <n v="-847.94"/>
    <n v="-1625.43"/>
  </r>
  <r>
    <x v="12"/>
    <x v="71"/>
    <n v="81.3"/>
    <n v="146.03"/>
    <n v="127.48"/>
  </r>
  <r>
    <x v="13"/>
    <x v="71"/>
    <n v="81.3"/>
    <n v="120.56"/>
    <n v="102.58"/>
  </r>
  <r>
    <x v="14"/>
    <x v="71"/>
    <n v="81.3"/>
    <n v="127.47"/>
    <n v="99.06"/>
  </r>
  <r>
    <x v="15"/>
    <x v="71"/>
    <n v="81.3"/>
    <n v="115.97"/>
    <n v="90.81"/>
  </r>
  <r>
    <x v="16"/>
    <x v="71"/>
    <n v="81.3"/>
    <n v="116.41"/>
    <n v="101.14"/>
  </r>
  <r>
    <x v="17"/>
    <x v="71"/>
    <n v="81.3"/>
    <n v="117.2"/>
    <n v="105.82"/>
  </r>
  <r>
    <x v="18"/>
    <x v="71"/>
    <n v="81.3"/>
    <n v="108.61"/>
    <n v="82.28"/>
  </r>
  <r>
    <x v="19"/>
    <x v="71"/>
    <n v="81.3"/>
    <n v="111.63"/>
    <n v="97.49"/>
  </r>
  <r>
    <x v="20"/>
    <x v="71"/>
    <n v="81.3"/>
    <n v="117.07"/>
    <n v="100.95"/>
  </r>
  <r>
    <x v="21"/>
    <x v="71"/>
    <n v="81.3"/>
    <n v="112.91"/>
    <n v="100.8"/>
  </r>
  <r>
    <x v="22"/>
    <x v="71"/>
    <n v="81.3"/>
    <n v="103.87"/>
    <n v="97.69"/>
  </r>
  <r>
    <x v="23"/>
    <x v="71"/>
    <n v="81.3"/>
    <n v="108.55"/>
    <n v="82.54"/>
  </r>
  <r>
    <x v="24"/>
    <x v="71"/>
    <n v="81.3"/>
    <n v="3136.65"/>
    <n v="352.85"/>
  </r>
  <r>
    <x v="25"/>
    <x v="71"/>
    <n v="81.3"/>
    <n v="2170.0500000000002"/>
    <n v="245.73"/>
  </r>
  <r>
    <x v="26"/>
    <x v="71"/>
    <n v="81.3"/>
    <n v="2150.84"/>
    <n v="272.63"/>
  </r>
  <r>
    <x v="27"/>
    <x v="71"/>
    <n v="81.3"/>
    <n v="2306.36"/>
    <n v="274.07"/>
  </r>
  <r>
    <x v="28"/>
    <x v="71"/>
    <n v="81.3"/>
    <n v="2057.34"/>
    <n v="262.3"/>
  </r>
  <r>
    <x v="29"/>
    <x v="71"/>
    <n v="81.3"/>
    <n v="2245.48"/>
    <n v="257.57"/>
  </r>
  <r>
    <x v="30"/>
    <x v="71"/>
    <n v="81.3"/>
    <n v="2173.0100000000002"/>
    <n v="233.28"/>
  </r>
  <r>
    <x v="31"/>
    <x v="71"/>
    <n v="81.3"/>
    <n v="2211.89"/>
    <n v="252.72"/>
  </r>
  <r>
    <x v="32"/>
    <x v="71"/>
    <n v="81.3"/>
    <n v="1984.25"/>
    <n v="233"/>
  </r>
  <r>
    <x v="33"/>
    <x v="71"/>
    <n v="81.3"/>
    <n v="2086.48"/>
    <n v="246.08"/>
  </r>
  <r>
    <x v="34"/>
    <x v="71"/>
    <n v="81.3"/>
    <n v="2390.3000000000002"/>
    <n v="244.25"/>
  </r>
  <r>
    <x v="35"/>
    <x v="71"/>
    <n v="81.3"/>
    <n v="2073.54"/>
    <n v="244.89"/>
  </r>
  <r>
    <x v="36"/>
    <x v="71"/>
    <n v="81.3"/>
    <n v="2147.96"/>
    <n v="466.35"/>
  </r>
  <r>
    <x v="37"/>
    <x v="71"/>
    <n v="81.3"/>
    <n v="1252.97"/>
    <n v="311.88"/>
  </r>
  <r>
    <x v="38"/>
    <x v="71"/>
    <n v="81.3"/>
    <n v="1516.3"/>
    <n v="384.37"/>
  </r>
  <r>
    <x v="39"/>
    <x v="71"/>
    <n v="81.3"/>
    <n v="1318.53"/>
    <n v="0"/>
  </r>
  <r>
    <x v="40"/>
    <x v="71"/>
    <n v="81.3"/>
    <n v="1460.47"/>
    <n v="0"/>
  </r>
  <r>
    <x v="41"/>
    <x v="71"/>
    <n v="81.3"/>
    <n v="1540.76"/>
    <n v="381.21"/>
  </r>
  <r>
    <x v="42"/>
    <x v="71"/>
    <n v="81.3"/>
    <n v="1485.8"/>
    <n v="0"/>
  </r>
  <r>
    <x v="43"/>
    <x v="71"/>
    <n v="81.3"/>
    <n v="1364.94"/>
    <n v="0"/>
  </r>
  <r>
    <x v="44"/>
    <x v="71"/>
    <n v="81.3"/>
    <n v="1391.37"/>
    <n v="0"/>
  </r>
  <r>
    <x v="45"/>
    <x v="71"/>
    <n v="81.3"/>
    <n v="1396.64"/>
    <n v="0"/>
  </r>
  <r>
    <x v="46"/>
    <x v="71"/>
    <n v="81.3"/>
    <n v="1210.74"/>
    <n v="0"/>
  </r>
  <r>
    <x v="47"/>
    <x v="71"/>
    <n v="81.3"/>
    <n v="1339.78"/>
    <n v="315.54000000000002"/>
  </r>
  <r>
    <x v="48"/>
    <x v="71"/>
    <n v="81.3"/>
    <n v="2238.1799999999998"/>
    <n v="518.13"/>
  </r>
  <r>
    <x v="49"/>
    <x v="71"/>
    <n v="81.3"/>
    <n v="1460.8"/>
    <n v="353.38"/>
  </r>
  <r>
    <x v="50"/>
    <x v="71"/>
    <n v="81.3"/>
    <n v="1350.59"/>
    <n v="305.51"/>
  </r>
  <r>
    <x v="51"/>
    <x v="71"/>
    <n v="81.3"/>
    <n v="1434.06"/>
    <n v="334.02"/>
  </r>
  <r>
    <x v="52"/>
    <x v="71"/>
    <n v="81.3"/>
    <n v="1339.28"/>
    <n v="332.41"/>
  </r>
  <r>
    <x v="53"/>
    <x v="71"/>
    <n v="81.3"/>
    <n v="1395.7"/>
    <n v="0"/>
  </r>
  <r>
    <x v="54"/>
    <x v="71"/>
    <n v="81.3"/>
    <n v="1213.1600000000001"/>
    <n v="0"/>
  </r>
  <r>
    <x v="55"/>
    <x v="71"/>
    <n v="81.3"/>
    <n v="1292.77"/>
    <n v="0"/>
  </r>
  <r>
    <x v="56"/>
    <x v="71"/>
    <n v="81.3"/>
    <n v="1449.97"/>
    <n v="0"/>
  </r>
  <r>
    <x v="57"/>
    <x v="71"/>
    <n v="81.3"/>
    <n v="1465.27"/>
    <n v="0"/>
  </r>
  <r>
    <x v="58"/>
    <x v="71"/>
    <n v="81.3"/>
    <n v="1420.04"/>
    <n v="0"/>
  </r>
  <r>
    <x v="59"/>
    <x v="71"/>
    <n v="81.3"/>
    <n v="1427.78"/>
    <n v="364.9"/>
  </r>
  <r>
    <x v="60"/>
    <x v="71"/>
    <n v="81.3"/>
    <n v="1815.89"/>
    <n v="429.57"/>
  </r>
  <r>
    <x v="61"/>
    <x v="71"/>
    <n v="81.3"/>
    <n v="1341.78"/>
    <n v="354.71"/>
  </r>
  <r>
    <x v="62"/>
    <x v="71"/>
    <n v="81.3"/>
    <n v="1501.52"/>
    <n v="373"/>
  </r>
  <r>
    <x v="63"/>
    <x v="71"/>
    <n v="81.3"/>
    <n v="1219.6500000000001"/>
    <n v="269.39"/>
  </r>
  <r>
    <x v="64"/>
    <x v="71"/>
    <n v="81.3"/>
    <n v="1355.61"/>
    <n v="0"/>
  </r>
  <r>
    <x v="65"/>
    <x v="71"/>
    <n v="81.3"/>
    <n v="1526.1"/>
    <n v="0"/>
  </r>
  <r>
    <x v="66"/>
    <x v="71"/>
    <n v="81.3"/>
    <n v="1402.32"/>
    <n v="0"/>
  </r>
  <r>
    <x v="67"/>
    <x v="71"/>
    <n v="81.3"/>
    <n v="1527.55"/>
    <n v="0"/>
  </r>
  <r>
    <x v="68"/>
    <x v="71"/>
    <n v="81.3"/>
    <n v="1275.07"/>
    <n v="0"/>
  </r>
  <r>
    <x v="69"/>
    <x v="71"/>
    <n v="81.3"/>
    <n v="1443.13"/>
    <n v="370.69"/>
  </r>
  <r>
    <x v="70"/>
    <x v="71"/>
    <n v="81.3"/>
    <n v="1552.12"/>
    <n v="350.64"/>
  </r>
  <r>
    <x v="71"/>
    <x v="71"/>
    <n v="81.3"/>
    <n v="1536.74"/>
    <n v="366.29"/>
  </r>
  <r>
    <x v="72"/>
    <x v="71"/>
    <n v="81.3"/>
    <n v="0"/>
    <n v="0"/>
  </r>
  <r>
    <x v="73"/>
    <x v="71"/>
    <n v="81.3"/>
    <n v="0"/>
    <n v="0"/>
  </r>
  <r>
    <x v="74"/>
    <x v="71"/>
    <n v="81.3"/>
    <n v="0"/>
    <n v="0"/>
  </r>
  <r>
    <x v="75"/>
    <x v="71"/>
    <n v="81.3"/>
    <n v="0"/>
    <n v="0"/>
  </r>
  <r>
    <x v="76"/>
    <x v="71"/>
    <n v="81.3"/>
    <n v="0"/>
    <n v="0"/>
  </r>
  <r>
    <x v="77"/>
    <x v="71"/>
    <n v="81.3"/>
    <n v="0"/>
    <n v="0"/>
  </r>
  <r>
    <x v="78"/>
    <x v="71"/>
    <n v="81.3"/>
    <n v="0"/>
    <n v="0"/>
  </r>
  <r>
    <x v="79"/>
    <x v="71"/>
    <n v="81.3"/>
    <n v="0"/>
    <n v="0"/>
  </r>
  <r>
    <x v="80"/>
    <x v="71"/>
    <n v="81.3"/>
    <n v="0"/>
    <n v="0"/>
  </r>
  <r>
    <x v="81"/>
    <x v="71"/>
    <n v="81.3"/>
    <n v="0"/>
    <n v="0"/>
  </r>
  <r>
    <x v="82"/>
    <x v="71"/>
    <n v="81.3"/>
    <n v="0"/>
    <n v="0"/>
  </r>
  <r>
    <x v="83"/>
    <x v="71"/>
    <n v="81.3"/>
    <n v="0"/>
    <n v="0"/>
  </r>
  <r>
    <x v="84"/>
    <x v="71"/>
    <n v="81.3"/>
    <n v="0"/>
    <n v="0"/>
  </r>
  <r>
    <x v="85"/>
    <x v="71"/>
    <n v="81.3"/>
    <n v="0"/>
    <n v="0"/>
  </r>
  <r>
    <x v="86"/>
    <x v="71"/>
    <n v="81.3"/>
    <n v="0"/>
    <n v="0"/>
  </r>
  <r>
    <x v="87"/>
    <x v="71"/>
    <n v="81.3"/>
    <n v="0"/>
    <n v="0"/>
  </r>
  <r>
    <x v="88"/>
    <x v="71"/>
    <n v="81.3"/>
    <n v="0"/>
    <n v="0"/>
  </r>
  <r>
    <x v="89"/>
    <x v="71"/>
    <n v="81.3"/>
    <n v="0"/>
    <n v="0"/>
  </r>
  <r>
    <x v="90"/>
    <x v="71"/>
    <n v="81.3"/>
    <n v="0"/>
    <n v="0"/>
  </r>
  <r>
    <x v="91"/>
    <x v="71"/>
    <n v="81.3"/>
    <n v="0"/>
    <n v="0"/>
  </r>
  <r>
    <x v="92"/>
    <x v="71"/>
    <n v="81.3"/>
    <n v="0"/>
    <n v="0"/>
  </r>
  <r>
    <x v="93"/>
    <x v="71"/>
    <n v="81.3"/>
    <n v="0"/>
    <n v="0"/>
  </r>
  <r>
    <x v="94"/>
    <x v="71"/>
    <n v="81.3"/>
    <n v="0"/>
    <n v="0"/>
  </r>
  <r>
    <x v="95"/>
    <x v="71"/>
    <n v="81.3"/>
    <n v="0"/>
    <n v="0"/>
  </r>
  <r>
    <x v="0"/>
    <x v="72"/>
    <n v="81.599999999999994"/>
    <n v="2400.9499999999998"/>
    <n v="261.63"/>
  </r>
  <r>
    <x v="1"/>
    <x v="72"/>
    <n v="81.599999999999994"/>
    <n v="1875.87"/>
    <n v="198.88"/>
  </r>
  <r>
    <x v="2"/>
    <x v="72"/>
    <n v="81.599999999999994"/>
    <n v="1904.22"/>
    <n v="200.78"/>
  </r>
  <r>
    <x v="3"/>
    <x v="72"/>
    <n v="81.599999999999994"/>
    <n v="1911.14"/>
    <n v="202.9"/>
  </r>
  <r>
    <x v="4"/>
    <x v="72"/>
    <n v="81.599999999999994"/>
    <n v="1828.67"/>
    <n v="203.53"/>
  </r>
  <r>
    <x v="5"/>
    <x v="72"/>
    <n v="81.599999999999994"/>
    <n v="1933.65"/>
    <n v="210.01"/>
  </r>
  <r>
    <x v="6"/>
    <x v="72"/>
    <n v="81.599999999999994"/>
    <n v="1815.71"/>
    <n v="195.08"/>
  </r>
  <r>
    <x v="7"/>
    <x v="72"/>
    <n v="81.599999999999994"/>
    <n v="1881.24"/>
    <n v="212.52"/>
  </r>
  <r>
    <x v="8"/>
    <x v="72"/>
    <n v="81.599999999999994"/>
    <n v="1856.76"/>
    <n v="213.79"/>
  </r>
  <r>
    <x v="9"/>
    <x v="72"/>
    <n v="81.599999999999994"/>
    <n v="1780.51"/>
    <n v="206.44"/>
  </r>
  <r>
    <x v="10"/>
    <x v="72"/>
    <n v="81.599999999999994"/>
    <n v="1899.5"/>
    <n v="204.98"/>
  </r>
  <r>
    <x v="11"/>
    <x v="72"/>
    <n v="81.599999999999994"/>
    <n v="-925.73"/>
    <n v="-1579.84"/>
  </r>
  <r>
    <x v="12"/>
    <x v="72"/>
    <n v="81.599999999999994"/>
    <n v="134.93"/>
    <n v="112.17"/>
  </r>
  <r>
    <x v="13"/>
    <x v="72"/>
    <n v="81.599999999999994"/>
    <n v="114.7"/>
    <n v="100.32"/>
  </r>
  <r>
    <x v="14"/>
    <x v="72"/>
    <n v="81.599999999999994"/>
    <n v="121.25"/>
    <n v="98.55"/>
  </r>
  <r>
    <x v="15"/>
    <x v="72"/>
    <n v="81.599999999999994"/>
    <n v="109.68"/>
    <n v="90.89"/>
  </r>
  <r>
    <x v="16"/>
    <x v="72"/>
    <n v="81.599999999999994"/>
    <n v="110.11"/>
    <n v="99.92"/>
  </r>
  <r>
    <x v="17"/>
    <x v="72"/>
    <n v="81.599999999999994"/>
    <n v="110.13"/>
    <n v="99.11"/>
  </r>
  <r>
    <x v="18"/>
    <x v="72"/>
    <n v="81.599999999999994"/>
    <n v="102.16"/>
    <n v="82.32"/>
  </r>
  <r>
    <x v="19"/>
    <x v="72"/>
    <n v="81.599999999999994"/>
    <n v="105.08"/>
    <n v="96.34"/>
  </r>
  <r>
    <x v="20"/>
    <x v="72"/>
    <n v="81.599999999999994"/>
    <n v="109.71"/>
    <n v="89.81"/>
  </r>
  <r>
    <x v="21"/>
    <x v="72"/>
    <n v="81.599999999999994"/>
    <n v="105.32"/>
    <n v="99.28"/>
  </r>
  <r>
    <x v="22"/>
    <x v="72"/>
    <n v="81.599999999999994"/>
    <n v="96.34"/>
    <n v="85.52"/>
  </r>
  <r>
    <x v="23"/>
    <x v="72"/>
    <n v="81.599999999999994"/>
    <n v="99.65"/>
    <n v="82.97"/>
  </r>
  <r>
    <x v="24"/>
    <x v="72"/>
    <n v="81.599999999999994"/>
    <n v="3461.7"/>
    <n v="348.84"/>
  </r>
  <r>
    <x v="25"/>
    <x v="72"/>
    <n v="81.599999999999994"/>
    <n v="2390.64"/>
    <n v="244.09"/>
  </r>
  <r>
    <x v="26"/>
    <x v="72"/>
    <n v="81.599999999999994"/>
    <n v="2368.33"/>
    <n v="258.18"/>
  </r>
  <r>
    <x v="27"/>
    <x v="72"/>
    <n v="81.599999999999994"/>
    <n v="2541.59"/>
    <n v="264.58999999999997"/>
  </r>
  <r>
    <x v="28"/>
    <x v="72"/>
    <n v="81.599999999999994"/>
    <n v="2260.89"/>
    <n v="251.92"/>
  </r>
  <r>
    <x v="29"/>
    <x v="72"/>
    <n v="81.599999999999994"/>
    <n v="2467.7600000000002"/>
    <n v="255.65"/>
  </r>
  <r>
    <x v="30"/>
    <x v="72"/>
    <n v="81.599999999999994"/>
    <n v="2394.7600000000002"/>
    <n v="232.76"/>
  </r>
  <r>
    <x v="31"/>
    <x v="72"/>
    <n v="81.599999999999994"/>
    <n v="2433.91"/>
    <n v="251.68"/>
  </r>
  <r>
    <x v="32"/>
    <x v="72"/>
    <n v="81.599999999999994"/>
    <n v="2184.89"/>
    <n v="232.87"/>
  </r>
  <r>
    <x v="33"/>
    <x v="72"/>
    <n v="81.599999999999994"/>
    <n v="2296.63"/>
    <n v="244.45"/>
  </r>
  <r>
    <x v="34"/>
    <x v="72"/>
    <n v="81.599999999999994"/>
    <n v="2649.24"/>
    <n v="244.41"/>
  </r>
  <r>
    <x v="35"/>
    <x v="72"/>
    <n v="81.599999999999994"/>
    <n v="2282.21"/>
    <n v="242.36"/>
  </r>
  <r>
    <x v="36"/>
    <x v="72"/>
    <n v="81.599999999999994"/>
    <n v="2411.27"/>
    <n v="450.72"/>
  </r>
  <r>
    <x v="37"/>
    <x v="72"/>
    <n v="81.599999999999994"/>
    <n v="1406.05"/>
    <n v="303.58"/>
  </r>
  <r>
    <x v="38"/>
    <x v="72"/>
    <n v="81.599999999999994"/>
    <n v="1706.65"/>
    <n v="370.54"/>
  </r>
  <r>
    <x v="39"/>
    <x v="72"/>
    <n v="81.599999999999994"/>
    <n v="1489.11"/>
    <n v="0"/>
  </r>
  <r>
    <x v="40"/>
    <x v="72"/>
    <n v="81.599999999999994"/>
    <n v="1637.57"/>
    <n v="0"/>
  </r>
  <r>
    <x v="41"/>
    <x v="72"/>
    <n v="81.599999999999994"/>
    <n v="1723.78"/>
    <n v="363.73"/>
  </r>
  <r>
    <x v="42"/>
    <x v="72"/>
    <n v="81.599999999999994"/>
    <n v="1669.56"/>
    <n v="0"/>
  </r>
  <r>
    <x v="43"/>
    <x v="72"/>
    <n v="81.599999999999994"/>
    <n v="1541.19"/>
    <n v="0"/>
  </r>
  <r>
    <x v="44"/>
    <x v="72"/>
    <n v="81.599999999999994"/>
    <n v="1556.79"/>
    <n v="0"/>
  </r>
  <r>
    <x v="45"/>
    <x v="72"/>
    <n v="81.599999999999994"/>
    <n v="1565.23"/>
    <n v="0"/>
  </r>
  <r>
    <x v="46"/>
    <x v="72"/>
    <n v="81.599999999999994"/>
    <n v="1408.8"/>
    <n v="0"/>
  </r>
  <r>
    <x v="47"/>
    <x v="72"/>
    <n v="81.599999999999994"/>
    <n v="1508.07"/>
    <n v="313.77999999999997"/>
  </r>
  <r>
    <x v="48"/>
    <x v="72"/>
    <n v="81.599999999999994"/>
    <n v="2499.77"/>
    <n v="496.19"/>
  </r>
  <r>
    <x v="49"/>
    <x v="72"/>
    <n v="81.599999999999994"/>
    <n v="1632.75"/>
    <n v="345.03"/>
  </r>
  <r>
    <x v="50"/>
    <x v="72"/>
    <n v="81.599999999999994"/>
    <n v="1543.84"/>
    <n v="304.29000000000002"/>
  </r>
  <r>
    <x v="51"/>
    <x v="72"/>
    <n v="81.599999999999994"/>
    <n v="1612.96"/>
    <n v="326.17"/>
  </r>
  <r>
    <x v="52"/>
    <x v="72"/>
    <n v="81.599999999999994"/>
    <n v="1501.5"/>
    <n v="324.52999999999997"/>
  </r>
  <r>
    <x v="53"/>
    <x v="72"/>
    <n v="81.599999999999994"/>
    <n v="1560.7"/>
    <n v="0"/>
  </r>
  <r>
    <x v="54"/>
    <x v="72"/>
    <n v="81.599999999999994"/>
    <n v="1364.88"/>
    <n v="0"/>
  </r>
  <r>
    <x v="55"/>
    <x v="72"/>
    <n v="81.599999999999994"/>
    <n v="1443.06"/>
    <n v="0"/>
  </r>
  <r>
    <x v="56"/>
    <x v="72"/>
    <n v="81.599999999999994"/>
    <n v="1615.42"/>
    <n v="0"/>
  </r>
  <r>
    <x v="57"/>
    <x v="72"/>
    <n v="81.599999999999994"/>
    <n v="1629.02"/>
    <n v="0"/>
  </r>
  <r>
    <x v="58"/>
    <x v="72"/>
    <n v="81.599999999999994"/>
    <n v="1623.67"/>
    <n v="0"/>
  </r>
  <r>
    <x v="59"/>
    <x v="72"/>
    <n v="81.599999999999994"/>
    <n v="1600.66"/>
    <n v="352.84"/>
  </r>
  <r>
    <x v="60"/>
    <x v="72"/>
    <n v="81.599999999999994"/>
    <n v="2014.53"/>
    <n v="413.61"/>
  </r>
  <r>
    <x v="61"/>
    <x v="72"/>
    <n v="81.599999999999994"/>
    <n v="1500.21"/>
    <n v="342.98"/>
  </r>
  <r>
    <x v="62"/>
    <x v="72"/>
    <n v="81.599999999999994"/>
    <n v="1691.07"/>
    <n v="368.68"/>
  </r>
  <r>
    <x v="63"/>
    <x v="72"/>
    <n v="81.599999999999994"/>
    <n v="1399.88"/>
    <n v="274.07"/>
  </r>
  <r>
    <x v="64"/>
    <x v="72"/>
    <n v="81.599999999999994"/>
    <n v="1556.91"/>
    <n v="0"/>
  </r>
  <r>
    <x v="65"/>
    <x v="72"/>
    <n v="81.599999999999994"/>
    <n v="1696.99"/>
    <n v="0"/>
  </r>
  <r>
    <x v="66"/>
    <x v="72"/>
    <n v="81.599999999999994"/>
    <n v="1579.74"/>
    <n v="0"/>
  </r>
  <r>
    <x v="67"/>
    <x v="72"/>
    <n v="81.599999999999994"/>
    <n v="1710.2"/>
    <n v="0"/>
  </r>
  <r>
    <x v="68"/>
    <x v="72"/>
    <n v="81.599999999999994"/>
    <n v="1418.35"/>
    <n v="0"/>
  </r>
  <r>
    <x v="69"/>
    <x v="72"/>
    <n v="81.599999999999994"/>
    <n v="1602.75"/>
    <n v="356.73"/>
  </r>
  <r>
    <x v="70"/>
    <x v="72"/>
    <n v="81.599999999999994"/>
    <n v="1770.2"/>
    <n v="352.19"/>
  </r>
  <r>
    <x v="71"/>
    <x v="72"/>
    <n v="81.599999999999994"/>
    <n v="1722.61"/>
    <n v="364.35"/>
  </r>
  <r>
    <x v="72"/>
    <x v="72"/>
    <n v="81.599999999999994"/>
    <n v="0"/>
    <n v="0"/>
  </r>
  <r>
    <x v="73"/>
    <x v="72"/>
    <n v="81.599999999999994"/>
    <n v="0"/>
    <n v="0"/>
  </r>
  <r>
    <x v="74"/>
    <x v="72"/>
    <n v="81.599999999999994"/>
    <n v="0"/>
    <n v="0"/>
  </r>
  <r>
    <x v="75"/>
    <x v="72"/>
    <n v="81.599999999999994"/>
    <n v="0"/>
    <n v="0"/>
  </r>
  <r>
    <x v="76"/>
    <x v="72"/>
    <n v="81.599999999999994"/>
    <n v="0"/>
    <n v="0"/>
  </r>
  <r>
    <x v="77"/>
    <x v="72"/>
    <n v="81.599999999999994"/>
    <n v="0"/>
    <n v="0"/>
  </r>
  <r>
    <x v="78"/>
    <x v="72"/>
    <n v="81.599999999999994"/>
    <n v="0"/>
    <n v="0"/>
  </r>
  <r>
    <x v="79"/>
    <x v="72"/>
    <n v="81.599999999999994"/>
    <n v="0"/>
    <n v="0"/>
  </r>
  <r>
    <x v="80"/>
    <x v="72"/>
    <n v="81.599999999999994"/>
    <n v="0"/>
    <n v="0"/>
  </r>
  <r>
    <x v="81"/>
    <x v="72"/>
    <n v="81.599999999999994"/>
    <n v="0"/>
    <n v="0"/>
  </r>
  <r>
    <x v="82"/>
    <x v="72"/>
    <n v="81.599999999999994"/>
    <n v="0"/>
    <n v="0"/>
  </r>
  <r>
    <x v="83"/>
    <x v="72"/>
    <n v="81.599999999999994"/>
    <n v="0"/>
    <n v="0"/>
  </r>
  <r>
    <x v="84"/>
    <x v="72"/>
    <n v="81.599999999999994"/>
    <n v="0"/>
    <n v="0"/>
  </r>
  <r>
    <x v="85"/>
    <x v="72"/>
    <n v="81.599999999999994"/>
    <n v="0"/>
    <n v="0"/>
  </r>
  <r>
    <x v="86"/>
    <x v="72"/>
    <n v="81.599999999999994"/>
    <n v="0"/>
    <n v="0"/>
  </r>
  <r>
    <x v="87"/>
    <x v="72"/>
    <n v="81.599999999999994"/>
    <n v="0"/>
    <n v="0"/>
  </r>
  <r>
    <x v="88"/>
    <x v="72"/>
    <n v="81.599999999999994"/>
    <n v="0"/>
    <n v="0"/>
  </r>
  <r>
    <x v="89"/>
    <x v="72"/>
    <n v="81.599999999999994"/>
    <n v="0"/>
    <n v="0"/>
  </r>
  <r>
    <x v="90"/>
    <x v="72"/>
    <n v="81.599999999999994"/>
    <n v="0"/>
    <n v="0"/>
  </r>
  <r>
    <x v="91"/>
    <x v="72"/>
    <n v="81.599999999999994"/>
    <n v="0"/>
    <n v="0"/>
  </r>
  <r>
    <x v="92"/>
    <x v="72"/>
    <n v="81.599999999999994"/>
    <n v="0"/>
    <n v="0"/>
  </r>
  <r>
    <x v="93"/>
    <x v="72"/>
    <n v="81.599999999999994"/>
    <n v="0"/>
    <n v="0"/>
  </r>
  <r>
    <x v="94"/>
    <x v="72"/>
    <n v="81.599999999999994"/>
    <n v="0"/>
    <n v="0"/>
  </r>
  <r>
    <x v="95"/>
    <x v="72"/>
    <n v="81.599999999999994"/>
    <n v="0"/>
    <n v="0"/>
  </r>
  <r>
    <x v="0"/>
    <x v="73"/>
    <n v="81.900000000000006"/>
    <n v="2624.27"/>
    <n v="257.24"/>
  </r>
  <r>
    <x v="1"/>
    <x v="73"/>
    <n v="81.900000000000006"/>
    <n v="2050.5100000000002"/>
    <n v="196.14"/>
  </r>
  <r>
    <x v="2"/>
    <x v="73"/>
    <n v="81.900000000000006"/>
    <n v="2079.77"/>
    <n v="197.36"/>
  </r>
  <r>
    <x v="3"/>
    <x v="73"/>
    <n v="81.900000000000006"/>
    <n v="2090.4899999999998"/>
    <n v="199.9"/>
  </r>
  <r>
    <x v="4"/>
    <x v="73"/>
    <n v="81.900000000000006"/>
    <n v="1993.84"/>
    <n v="200.47"/>
  </r>
  <r>
    <x v="5"/>
    <x v="73"/>
    <n v="81.900000000000006"/>
    <n v="2109.8000000000002"/>
    <n v="206.63"/>
  </r>
  <r>
    <x v="6"/>
    <x v="73"/>
    <n v="81.900000000000006"/>
    <n v="1982.33"/>
    <n v="191.65"/>
  </r>
  <r>
    <x v="7"/>
    <x v="73"/>
    <n v="81.900000000000006"/>
    <n v="2049.65"/>
    <n v="209.25"/>
  </r>
  <r>
    <x v="8"/>
    <x v="73"/>
    <n v="81.900000000000006"/>
    <n v="2021.7"/>
    <n v="210.23"/>
  </r>
  <r>
    <x v="9"/>
    <x v="73"/>
    <n v="81.900000000000006"/>
    <n v="1939.73"/>
    <n v="203.18"/>
  </r>
  <r>
    <x v="10"/>
    <x v="73"/>
    <n v="81.900000000000006"/>
    <n v="2069.23"/>
    <n v="201.1"/>
  </r>
  <r>
    <x v="11"/>
    <x v="73"/>
    <n v="81.900000000000006"/>
    <n v="-970.01"/>
    <n v="-1530.16"/>
  </r>
  <r>
    <x v="12"/>
    <x v="73"/>
    <n v="81.900000000000006"/>
    <n v="125.19"/>
    <n v="101.52"/>
  </r>
  <r>
    <x v="13"/>
    <x v="73"/>
    <n v="81.900000000000006"/>
    <n v="109.3"/>
    <n v="97.72"/>
  </r>
  <r>
    <x v="14"/>
    <x v="73"/>
    <n v="81.900000000000006"/>
    <n v="115.5"/>
    <n v="98.01"/>
  </r>
  <r>
    <x v="15"/>
    <x v="73"/>
    <n v="81.900000000000006"/>
    <n v="103.94"/>
    <n v="90.94"/>
  </r>
  <r>
    <x v="16"/>
    <x v="73"/>
    <n v="81.900000000000006"/>
    <n v="104.37"/>
    <n v="98.32"/>
  </r>
  <r>
    <x v="17"/>
    <x v="73"/>
    <n v="81.900000000000006"/>
    <n v="103.73"/>
    <n v="94.48"/>
  </r>
  <r>
    <x v="18"/>
    <x v="73"/>
    <n v="81.900000000000006"/>
    <n v="96.3"/>
    <n v="82.28"/>
  </r>
  <r>
    <x v="19"/>
    <x v="73"/>
    <n v="81.900000000000006"/>
    <n v="99.18"/>
    <n v="94.82"/>
  </r>
  <r>
    <x v="20"/>
    <x v="73"/>
    <n v="81.900000000000006"/>
    <n v="103.14"/>
    <n v="85.29"/>
  </r>
  <r>
    <x v="21"/>
    <x v="73"/>
    <n v="81.900000000000006"/>
    <n v="98.59"/>
    <n v="97.33"/>
  </r>
  <r>
    <x v="22"/>
    <x v="73"/>
    <n v="81.900000000000006"/>
    <n v="89.68"/>
    <n v="79.64"/>
  </r>
  <r>
    <x v="23"/>
    <x v="73"/>
    <n v="81.900000000000006"/>
    <n v="91.85"/>
    <n v="83.32"/>
  </r>
  <r>
    <x v="24"/>
    <x v="73"/>
    <n v="81.900000000000006"/>
    <n v="3841.73"/>
    <n v="344.86"/>
  </r>
  <r>
    <x v="25"/>
    <x v="73"/>
    <n v="81.900000000000006"/>
    <n v="2645.49"/>
    <n v="242.31"/>
  </r>
  <r>
    <x v="26"/>
    <x v="73"/>
    <n v="81.900000000000006"/>
    <n v="2616.14"/>
    <n v="245.77"/>
  </r>
  <r>
    <x v="27"/>
    <x v="73"/>
    <n v="81.900000000000006"/>
    <n v="2813.63"/>
    <n v="258.77999999999997"/>
  </r>
  <r>
    <x v="28"/>
    <x v="73"/>
    <n v="81.900000000000006"/>
    <n v="2493.31"/>
    <n v="244.44"/>
  </r>
  <r>
    <x v="29"/>
    <x v="73"/>
    <n v="81.900000000000006"/>
    <n v="2722.07"/>
    <n v="253.66"/>
  </r>
  <r>
    <x v="30"/>
    <x v="73"/>
    <n v="81.900000000000006"/>
    <n v="2644.06"/>
    <n v="232.02"/>
  </r>
  <r>
    <x v="31"/>
    <x v="73"/>
    <n v="81.900000000000006"/>
    <n v="2688.31"/>
    <n v="250.43"/>
  </r>
  <r>
    <x v="32"/>
    <x v="73"/>
    <n v="81.900000000000006"/>
    <n v="2410.62"/>
    <n v="232.48"/>
  </r>
  <r>
    <x v="33"/>
    <x v="73"/>
    <n v="81.900000000000006"/>
    <n v="2536.12"/>
    <n v="242.68"/>
  </r>
  <r>
    <x v="34"/>
    <x v="73"/>
    <n v="81.900000000000006"/>
    <n v="2944.89"/>
    <n v="244.3"/>
  </r>
  <r>
    <x v="35"/>
    <x v="73"/>
    <n v="81.900000000000006"/>
    <n v="2520.8200000000002"/>
    <n v="239.81"/>
  </r>
  <r>
    <x v="36"/>
    <x v="73"/>
    <n v="81.900000000000006"/>
    <n v="2773.89"/>
    <n v="438.3"/>
  </r>
  <r>
    <x v="37"/>
    <x v="73"/>
    <n v="81.900000000000006"/>
    <n v="1616.77"/>
    <n v="297.7"/>
  </r>
  <r>
    <x v="38"/>
    <x v="73"/>
    <n v="81.900000000000006"/>
    <n v="1969.68"/>
    <n v="360.16"/>
  </r>
  <r>
    <x v="39"/>
    <x v="73"/>
    <n v="81.900000000000006"/>
    <n v="1723.62"/>
    <n v="0"/>
  </r>
  <r>
    <x v="40"/>
    <x v="73"/>
    <n v="81.900000000000006"/>
    <n v="1882.21"/>
    <n v="0"/>
  </r>
  <r>
    <x v="41"/>
    <x v="73"/>
    <n v="81.900000000000006"/>
    <n v="1976.51"/>
    <n v="352.99"/>
  </r>
  <r>
    <x v="42"/>
    <x v="73"/>
    <n v="81.900000000000006"/>
    <n v="1926.09"/>
    <n v="0"/>
  </r>
  <r>
    <x v="43"/>
    <x v="73"/>
    <n v="81.900000000000006"/>
    <n v="1782.01"/>
    <n v="0"/>
  </r>
  <r>
    <x v="44"/>
    <x v="73"/>
    <n v="81.900000000000006"/>
    <n v="1782.98"/>
    <n v="0"/>
  </r>
  <r>
    <x v="45"/>
    <x v="73"/>
    <n v="81.900000000000006"/>
    <n v="1793.59"/>
    <n v="0"/>
  </r>
  <r>
    <x v="46"/>
    <x v="73"/>
    <n v="81.900000000000006"/>
    <n v="1683.45"/>
    <n v="0"/>
  </r>
  <r>
    <x v="47"/>
    <x v="73"/>
    <n v="81.900000000000006"/>
    <n v="1742.46"/>
    <n v="311.81"/>
  </r>
  <r>
    <x v="48"/>
    <x v="73"/>
    <n v="81.900000000000006"/>
    <n v="2858.55"/>
    <n v="483.09"/>
  </r>
  <r>
    <x v="49"/>
    <x v="73"/>
    <n v="81.900000000000006"/>
    <n v="1866.49"/>
    <n v="338.22"/>
  </r>
  <r>
    <x v="50"/>
    <x v="73"/>
    <n v="81.900000000000006"/>
    <n v="1814.01"/>
    <n v="304.04000000000002"/>
  </r>
  <r>
    <x v="51"/>
    <x v="73"/>
    <n v="81.900000000000006"/>
    <n v="1857.45"/>
    <n v="317.45999999999998"/>
  </r>
  <r>
    <x v="52"/>
    <x v="73"/>
    <n v="81.900000000000006"/>
    <n v="1724.99"/>
    <n v="315.72000000000003"/>
  </r>
  <r>
    <x v="53"/>
    <x v="73"/>
    <n v="81.900000000000006"/>
    <n v="1789.22"/>
    <n v="0"/>
  </r>
  <r>
    <x v="54"/>
    <x v="73"/>
    <n v="81.900000000000006"/>
    <n v="1570.5"/>
    <n v="0"/>
  </r>
  <r>
    <x v="55"/>
    <x v="73"/>
    <n v="81.900000000000006"/>
    <n v="1658.5"/>
    <n v="0"/>
  </r>
  <r>
    <x v="56"/>
    <x v="73"/>
    <n v="81.900000000000006"/>
    <n v="1842.66"/>
    <n v="0"/>
  </r>
  <r>
    <x v="57"/>
    <x v="73"/>
    <n v="81.900000000000006"/>
    <n v="1854.26"/>
    <n v="0"/>
  </r>
  <r>
    <x v="58"/>
    <x v="73"/>
    <n v="81.900000000000006"/>
    <n v="1900.67"/>
    <n v="0"/>
  </r>
  <r>
    <x v="59"/>
    <x v="73"/>
    <n v="81.900000000000006"/>
    <n v="1839.09"/>
    <n v="342.61"/>
  </r>
  <r>
    <x v="60"/>
    <x v="73"/>
    <n v="81.900000000000006"/>
    <n v="2287.4299999999998"/>
    <n v="405.4"/>
  </r>
  <r>
    <x v="61"/>
    <x v="73"/>
    <n v="81.900000000000006"/>
    <n v="1713.69"/>
    <n v="331.57"/>
  </r>
  <r>
    <x v="62"/>
    <x v="73"/>
    <n v="81.900000000000006"/>
    <n v="1947.64"/>
    <n v="363.8"/>
  </r>
  <r>
    <x v="63"/>
    <x v="73"/>
    <n v="81.900000000000006"/>
    <n v="1646.11"/>
    <n v="278.82"/>
  </r>
  <r>
    <x v="64"/>
    <x v="73"/>
    <n v="81.900000000000006"/>
    <n v="1826.47"/>
    <n v="0"/>
  </r>
  <r>
    <x v="65"/>
    <x v="73"/>
    <n v="81.900000000000006"/>
    <n v="1931.45"/>
    <n v="0"/>
  </r>
  <r>
    <x v="66"/>
    <x v="73"/>
    <n v="81.900000000000006"/>
    <n v="1817.2"/>
    <n v="0"/>
  </r>
  <r>
    <x v="67"/>
    <x v="73"/>
    <n v="81.900000000000006"/>
    <n v="1961.68"/>
    <n v="0"/>
  </r>
  <r>
    <x v="68"/>
    <x v="73"/>
    <n v="81.900000000000006"/>
    <n v="1613.48"/>
    <n v="0"/>
  </r>
  <r>
    <x v="69"/>
    <x v="73"/>
    <n v="81.900000000000006"/>
    <n v="1822.93"/>
    <n v="345.98"/>
  </r>
  <r>
    <x v="70"/>
    <x v="73"/>
    <n v="81.900000000000006"/>
    <n v="2060.5"/>
    <n v="352.35"/>
  </r>
  <r>
    <x v="71"/>
    <x v="73"/>
    <n v="81.900000000000006"/>
    <n v="1979.42"/>
    <n v="362.27"/>
  </r>
  <r>
    <x v="72"/>
    <x v="73"/>
    <n v="81.900000000000006"/>
    <n v="0"/>
    <n v="0"/>
  </r>
  <r>
    <x v="73"/>
    <x v="73"/>
    <n v="81.900000000000006"/>
    <n v="0"/>
    <n v="0"/>
  </r>
  <r>
    <x v="74"/>
    <x v="73"/>
    <n v="81.900000000000006"/>
    <n v="0"/>
    <n v="0"/>
  </r>
  <r>
    <x v="75"/>
    <x v="73"/>
    <n v="81.900000000000006"/>
    <n v="0"/>
    <n v="0"/>
  </r>
  <r>
    <x v="76"/>
    <x v="73"/>
    <n v="81.900000000000006"/>
    <n v="0"/>
    <n v="0"/>
  </r>
  <r>
    <x v="77"/>
    <x v="73"/>
    <n v="81.900000000000006"/>
    <n v="0"/>
    <n v="0"/>
  </r>
  <r>
    <x v="78"/>
    <x v="73"/>
    <n v="81.900000000000006"/>
    <n v="0"/>
    <n v="0"/>
  </r>
  <r>
    <x v="79"/>
    <x v="73"/>
    <n v="81.900000000000006"/>
    <n v="0"/>
    <n v="0"/>
  </r>
  <r>
    <x v="80"/>
    <x v="73"/>
    <n v="81.900000000000006"/>
    <n v="0"/>
    <n v="0"/>
  </r>
  <r>
    <x v="81"/>
    <x v="73"/>
    <n v="81.900000000000006"/>
    <n v="0"/>
    <n v="0"/>
  </r>
  <r>
    <x v="82"/>
    <x v="73"/>
    <n v="81.900000000000006"/>
    <n v="0"/>
    <n v="0"/>
  </r>
  <r>
    <x v="83"/>
    <x v="73"/>
    <n v="81.900000000000006"/>
    <n v="0"/>
    <n v="0"/>
  </r>
  <r>
    <x v="84"/>
    <x v="73"/>
    <n v="81.900000000000006"/>
    <n v="0"/>
    <n v="0"/>
  </r>
  <r>
    <x v="85"/>
    <x v="73"/>
    <n v="81.900000000000006"/>
    <n v="0"/>
    <n v="0"/>
  </r>
  <r>
    <x v="86"/>
    <x v="73"/>
    <n v="81.900000000000006"/>
    <n v="0"/>
    <n v="0"/>
  </r>
  <r>
    <x v="87"/>
    <x v="73"/>
    <n v="81.900000000000006"/>
    <n v="0"/>
    <n v="0"/>
  </r>
  <r>
    <x v="88"/>
    <x v="73"/>
    <n v="81.900000000000006"/>
    <n v="0"/>
    <n v="0"/>
  </r>
  <r>
    <x v="89"/>
    <x v="73"/>
    <n v="81.900000000000006"/>
    <n v="0"/>
    <n v="0"/>
  </r>
  <r>
    <x v="90"/>
    <x v="73"/>
    <n v="81.900000000000006"/>
    <n v="0"/>
    <n v="0"/>
  </r>
  <r>
    <x v="91"/>
    <x v="73"/>
    <n v="81.900000000000006"/>
    <n v="0"/>
    <n v="0"/>
  </r>
  <r>
    <x v="92"/>
    <x v="73"/>
    <n v="81.900000000000006"/>
    <n v="0"/>
    <n v="0"/>
  </r>
  <r>
    <x v="93"/>
    <x v="73"/>
    <n v="81.900000000000006"/>
    <n v="0"/>
    <n v="0"/>
  </r>
  <r>
    <x v="94"/>
    <x v="73"/>
    <n v="81.900000000000006"/>
    <n v="0"/>
    <n v="0"/>
  </r>
  <r>
    <x v="95"/>
    <x v="73"/>
    <n v="81.900000000000006"/>
    <n v="0"/>
    <n v="0"/>
  </r>
  <r>
    <x v="0"/>
    <x v="74"/>
    <n v="82.2"/>
    <n v="2878.95"/>
    <n v="253.21"/>
  </r>
  <r>
    <x v="1"/>
    <x v="74"/>
    <n v="82.2"/>
    <n v="2249.7399999999998"/>
    <n v="193.64"/>
  </r>
  <r>
    <x v="2"/>
    <x v="74"/>
    <n v="82.2"/>
    <n v="2276.9499999999998"/>
    <n v="194.22"/>
  </r>
  <r>
    <x v="3"/>
    <x v="74"/>
    <n v="82.2"/>
    <n v="2294.94"/>
    <n v="197.1"/>
  </r>
  <r>
    <x v="4"/>
    <x v="74"/>
    <n v="82.2"/>
    <n v="2176.84"/>
    <n v="197.62"/>
  </r>
  <r>
    <x v="5"/>
    <x v="74"/>
    <n v="82.2"/>
    <n v="2303.9699999999998"/>
    <n v="203.48"/>
  </r>
  <r>
    <x v="6"/>
    <x v="74"/>
    <n v="82.2"/>
    <n v="2167.2199999999998"/>
    <n v="188.42"/>
  </r>
  <r>
    <x v="7"/>
    <x v="74"/>
    <n v="82.2"/>
    <n v="2233.9"/>
    <n v="206.22"/>
  </r>
  <r>
    <x v="8"/>
    <x v="74"/>
    <n v="82.2"/>
    <n v="2200.0100000000002"/>
    <n v="206.94"/>
  </r>
  <r>
    <x v="9"/>
    <x v="74"/>
    <n v="82.2"/>
    <n v="2113.75"/>
    <n v="200.15"/>
  </r>
  <r>
    <x v="10"/>
    <x v="74"/>
    <n v="82.2"/>
    <n v="2256.19"/>
    <n v="197.47"/>
  </r>
  <r>
    <x v="11"/>
    <x v="74"/>
    <n v="82.2"/>
    <n v="-989.75"/>
    <n v="-1476.84"/>
  </r>
  <r>
    <x v="12"/>
    <x v="74"/>
    <n v="82.2"/>
    <n v="116.53"/>
    <n v="96.9"/>
  </r>
  <r>
    <x v="13"/>
    <x v="74"/>
    <n v="82.2"/>
    <n v="104.22"/>
    <n v="95.14"/>
  </r>
  <r>
    <x v="14"/>
    <x v="74"/>
    <n v="82.2"/>
    <n v="110.11"/>
    <n v="97.46"/>
  </r>
  <r>
    <x v="15"/>
    <x v="74"/>
    <n v="82.2"/>
    <n v="98.6"/>
    <n v="90.99"/>
  </r>
  <r>
    <x v="16"/>
    <x v="74"/>
    <n v="82.2"/>
    <n v="99.04"/>
    <n v="96.62"/>
  </r>
  <r>
    <x v="17"/>
    <x v="74"/>
    <n v="82.2"/>
    <n v="97.86"/>
    <n v="92.06"/>
  </r>
  <r>
    <x v="18"/>
    <x v="74"/>
    <n v="82.2"/>
    <n v="90.9"/>
    <n v="82.22"/>
  </r>
  <r>
    <x v="19"/>
    <x v="74"/>
    <n v="82.2"/>
    <n v="93.78"/>
    <n v="93.22"/>
  </r>
  <r>
    <x v="20"/>
    <x v="74"/>
    <n v="82.2"/>
    <n v="97.19"/>
    <n v="85.63"/>
  </r>
  <r>
    <x v="21"/>
    <x v="74"/>
    <n v="82.2"/>
    <n v="92.52"/>
    <n v="95.26"/>
  </r>
  <r>
    <x v="22"/>
    <x v="74"/>
    <n v="82.2"/>
    <n v="83.74"/>
    <n v="79.55"/>
  </r>
  <r>
    <x v="23"/>
    <x v="74"/>
    <n v="82.2"/>
    <n v="84.94"/>
    <n v="83.59"/>
  </r>
  <r>
    <x v="24"/>
    <x v="74"/>
    <n v="82.2"/>
    <n v="4297.41"/>
    <n v="340.92"/>
  </r>
  <r>
    <x v="25"/>
    <x v="74"/>
    <n v="82.2"/>
    <n v="2948.9"/>
    <n v="240.45"/>
  </r>
  <r>
    <x v="26"/>
    <x v="74"/>
    <n v="82.2"/>
    <n v="2908.64"/>
    <n v="238.2"/>
  </r>
  <r>
    <x v="27"/>
    <x v="74"/>
    <n v="82.2"/>
    <n v="3137.28"/>
    <n v="256.37"/>
  </r>
  <r>
    <x v="28"/>
    <x v="74"/>
    <n v="82.2"/>
    <n v="2765.38"/>
    <n v="240.16"/>
  </r>
  <r>
    <x v="29"/>
    <x v="74"/>
    <n v="82.2"/>
    <n v="3020.61"/>
    <n v="251.6"/>
  </r>
  <r>
    <x v="30"/>
    <x v="74"/>
    <n v="82.2"/>
    <n v="2933.21"/>
    <n v="231.09"/>
  </r>
  <r>
    <x v="31"/>
    <x v="74"/>
    <n v="82.2"/>
    <n v="2989.25"/>
    <n v="249.03"/>
  </r>
  <r>
    <x v="32"/>
    <x v="74"/>
    <n v="82.2"/>
    <n v="2670.82"/>
    <n v="231.88"/>
  </r>
  <r>
    <x v="33"/>
    <x v="74"/>
    <n v="82.2"/>
    <n v="2813.13"/>
    <n v="240.81"/>
  </r>
  <r>
    <x v="34"/>
    <x v="74"/>
    <n v="82.2"/>
    <n v="3292.2"/>
    <n v="243.97"/>
  </r>
  <r>
    <x v="35"/>
    <x v="74"/>
    <n v="82.2"/>
    <n v="2800.83"/>
    <n v="237.24"/>
  </r>
  <r>
    <x v="36"/>
    <x v="74"/>
    <n v="82.2"/>
    <n v="3278.03"/>
    <n v="430.41"/>
  </r>
  <r>
    <x v="37"/>
    <x v="74"/>
    <n v="82.2"/>
    <n v="1911.2"/>
    <n v="294.38"/>
  </r>
  <r>
    <x v="38"/>
    <x v="74"/>
    <n v="82.2"/>
    <n v="2337.11"/>
    <n v="354.09"/>
  </r>
  <r>
    <x v="39"/>
    <x v="74"/>
    <n v="82.2"/>
    <n v="2049.65"/>
    <n v="0"/>
  </r>
  <r>
    <x v="40"/>
    <x v="74"/>
    <n v="82.2"/>
    <n v="2222.94"/>
    <n v="0"/>
  </r>
  <r>
    <x v="41"/>
    <x v="74"/>
    <n v="82.2"/>
    <n v="2329.29"/>
    <n v="348.11"/>
  </r>
  <r>
    <x v="42"/>
    <x v="74"/>
    <n v="82.2"/>
    <n v="2287.34"/>
    <n v="0"/>
  </r>
  <r>
    <x v="43"/>
    <x v="74"/>
    <n v="82.2"/>
    <n v="2116.83"/>
    <n v="0"/>
  </r>
  <r>
    <x v="44"/>
    <x v="74"/>
    <n v="82.2"/>
    <n v="2098.2800000000002"/>
    <n v="0"/>
  </r>
  <r>
    <x v="45"/>
    <x v="74"/>
    <n v="82.2"/>
    <n v="2109.96"/>
    <n v="0"/>
  </r>
  <r>
    <x v="46"/>
    <x v="74"/>
    <n v="82.2"/>
    <n v="2064.77"/>
    <n v="0"/>
  </r>
  <r>
    <x v="47"/>
    <x v="74"/>
    <n v="82.2"/>
    <n v="2072.16"/>
    <n v="309.63"/>
  </r>
  <r>
    <x v="48"/>
    <x v="74"/>
    <n v="82.2"/>
    <n v="3355.72"/>
    <n v="476.84"/>
  </r>
  <r>
    <x v="49"/>
    <x v="74"/>
    <n v="82.2"/>
    <n v="2192.0300000000002"/>
    <n v="333.64"/>
  </r>
  <r>
    <x v="50"/>
    <x v="74"/>
    <n v="82.2"/>
    <n v="2187.6999999999998"/>
    <n v="304.64999999999998"/>
  </r>
  <r>
    <x v="51"/>
    <x v="74"/>
    <n v="82.2"/>
    <n v="2194.89"/>
    <n v="308.43"/>
  </r>
  <r>
    <x v="52"/>
    <x v="74"/>
    <n v="82.2"/>
    <n v="2035.57"/>
    <n v="306.45999999999998"/>
  </r>
  <r>
    <x v="53"/>
    <x v="74"/>
    <n v="82.2"/>
    <n v="2110.02"/>
    <n v="0"/>
  </r>
  <r>
    <x v="54"/>
    <x v="74"/>
    <n v="82.2"/>
    <n v="1855.25"/>
    <n v="0"/>
  </r>
  <r>
    <x v="55"/>
    <x v="74"/>
    <n v="82.2"/>
    <n v="1972.53"/>
    <n v="0"/>
  </r>
  <r>
    <x v="56"/>
    <x v="74"/>
    <n v="82.2"/>
    <n v="2157.88"/>
    <n v="0"/>
  </r>
  <r>
    <x v="57"/>
    <x v="74"/>
    <n v="82.2"/>
    <n v="2166.89"/>
    <n v="0"/>
  </r>
  <r>
    <x v="58"/>
    <x v="74"/>
    <n v="82.2"/>
    <n v="2285.37"/>
    <n v="0"/>
  </r>
  <r>
    <x v="59"/>
    <x v="74"/>
    <n v="82.2"/>
    <n v="2170.6999999999998"/>
    <n v="335.49"/>
  </r>
  <r>
    <x v="60"/>
    <x v="74"/>
    <n v="82.2"/>
    <n v="2666.22"/>
    <n v="402.08"/>
  </r>
  <r>
    <x v="61"/>
    <x v="74"/>
    <n v="82.2"/>
    <n v="2007.8"/>
    <n v="322.19"/>
  </r>
  <r>
    <x v="62"/>
    <x v="74"/>
    <n v="82.2"/>
    <n v="2299.7399999999998"/>
    <n v="359.22"/>
  </r>
  <r>
    <x v="63"/>
    <x v="74"/>
    <n v="82.2"/>
    <n v="1979.33"/>
    <n v="283.26"/>
  </r>
  <r>
    <x v="64"/>
    <x v="74"/>
    <n v="82.2"/>
    <n v="2184.89"/>
    <n v="0"/>
  </r>
  <r>
    <x v="65"/>
    <x v="74"/>
    <n v="82.2"/>
    <n v="2258.35"/>
    <n v="0"/>
  </r>
  <r>
    <x v="66"/>
    <x v="74"/>
    <n v="82.2"/>
    <n v="2143.94"/>
    <n v="0"/>
  </r>
  <r>
    <x v="67"/>
    <x v="74"/>
    <n v="82.2"/>
    <n v="2311.89"/>
    <n v="0"/>
  </r>
  <r>
    <x v="68"/>
    <x v="74"/>
    <n v="82.2"/>
    <n v="1883.32"/>
    <n v="0"/>
  </r>
  <r>
    <x v="69"/>
    <x v="74"/>
    <n v="82.2"/>
    <n v="2130.4499999999998"/>
    <n v="339.61"/>
  </r>
  <r>
    <x v="70"/>
    <x v="74"/>
    <n v="82.2"/>
    <n v="2454.9699999999998"/>
    <n v="351.85"/>
  </r>
  <r>
    <x v="71"/>
    <x v="74"/>
    <n v="82.2"/>
    <n v="2337.9499999999998"/>
    <n v="360.06"/>
  </r>
  <r>
    <x v="72"/>
    <x v="74"/>
    <n v="82.2"/>
    <n v="0"/>
    <n v="0"/>
  </r>
  <r>
    <x v="73"/>
    <x v="74"/>
    <n v="82.2"/>
    <n v="0"/>
    <n v="0"/>
  </r>
  <r>
    <x v="74"/>
    <x v="74"/>
    <n v="82.2"/>
    <n v="0"/>
    <n v="0"/>
  </r>
  <r>
    <x v="75"/>
    <x v="74"/>
    <n v="82.2"/>
    <n v="0"/>
    <n v="0"/>
  </r>
  <r>
    <x v="76"/>
    <x v="74"/>
    <n v="82.2"/>
    <n v="0"/>
    <n v="0"/>
  </r>
  <r>
    <x v="77"/>
    <x v="74"/>
    <n v="82.2"/>
    <n v="0"/>
    <n v="0"/>
  </r>
  <r>
    <x v="78"/>
    <x v="74"/>
    <n v="82.2"/>
    <n v="0"/>
    <n v="0"/>
  </r>
  <r>
    <x v="79"/>
    <x v="74"/>
    <n v="82.2"/>
    <n v="0"/>
    <n v="0"/>
  </r>
  <r>
    <x v="80"/>
    <x v="74"/>
    <n v="82.2"/>
    <n v="0"/>
    <n v="0"/>
  </r>
  <r>
    <x v="81"/>
    <x v="74"/>
    <n v="82.2"/>
    <n v="0"/>
    <n v="0"/>
  </r>
  <r>
    <x v="82"/>
    <x v="74"/>
    <n v="82.2"/>
    <n v="0"/>
    <n v="0"/>
  </r>
  <r>
    <x v="83"/>
    <x v="74"/>
    <n v="82.2"/>
    <n v="0"/>
    <n v="0"/>
  </r>
  <r>
    <x v="84"/>
    <x v="74"/>
    <n v="82.2"/>
    <n v="0"/>
    <n v="0"/>
  </r>
  <r>
    <x v="85"/>
    <x v="74"/>
    <n v="82.2"/>
    <n v="0"/>
    <n v="0"/>
  </r>
  <r>
    <x v="86"/>
    <x v="74"/>
    <n v="82.2"/>
    <n v="0"/>
    <n v="0"/>
  </r>
  <r>
    <x v="87"/>
    <x v="74"/>
    <n v="82.2"/>
    <n v="0"/>
    <n v="0"/>
  </r>
  <r>
    <x v="88"/>
    <x v="74"/>
    <n v="82.2"/>
    <n v="0"/>
    <n v="0"/>
  </r>
  <r>
    <x v="89"/>
    <x v="74"/>
    <n v="82.2"/>
    <n v="0"/>
    <n v="0"/>
  </r>
  <r>
    <x v="90"/>
    <x v="74"/>
    <n v="82.2"/>
    <n v="0"/>
    <n v="0"/>
  </r>
  <r>
    <x v="91"/>
    <x v="74"/>
    <n v="82.2"/>
    <n v="0"/>
    <n v="0"/>
  </r>
  <r>
    <x v="92"/>
    <x v="74"/>
    <n v="82.2"/>
    <n v="0"/>
    <n v="0"/>
  </r>
  <r>
    <x v="93"/>
    <x v="74"/>
    <n v="82.2"/>
    <n v="0"/>
    <n v="0"/>
  </r>
  <r>
    <x v="94"/>
    <x v="74"/>
    <n v="82.2"/>
    <n v="0"/>
    <n v="0"/>
  </r>
  <r>
    <x v="95"/>
    <x v="74"/>
    <n v="82.2"/>
    <n v="0"/>
    <n v="0"/>
  </r>
  <r>
    <x v="0"/>
    <x v="75"/>
    <n v="82.5"/>
    <n v="3191.17"/>
    <n v="249.5"/>
  </r>
  <r>
    <x v="1"/>
    <x v="75"/>
    <n v="82.5"/>
    <n v="2496.4"/>
    <n v="191.36"/>
  </r>
  <r>
    <x v="2"/>
    <x v="75"/>
    <n v="82.5"/>
    <n v="2517.9"/>
    <n v="191.36"/>
  </r>
  <r>
    <x v="3"/>
    <x v="75"/>
    <n v="82.5"/>
    <n v="2547.81"/>
    <n v="194.48"/>
  </r>
  <r>
    <x v="4"/>
    <x v="75"/>
    <n v="82.5"/>
    <n v="2397.23"/>
    <n v="194.96"/>
  </r>
  <r>
    <x v="5"/>
    <x v="75"/>
    <n v="82.5"/>
    <n v="2535.2600000000002"/>
    <n v="200.54"/>
  </r>
  <r>
    <x v="6"/>
    <x v="75"/>
    <n v="82.5"/>
    <n v="2388.65"/>
    <n v="185.4"/>
  </r>
  <r>
    <x v="7"/>
    <x v="75"/>
    <n v="82.5"/>
    <n v="2453.9499999999998"/>
    <n v="203.39"/>
  </r>
  <r>
    <x v="8"/>
    <x v="75"/>
    <n v="82.5"/>
    <n v="2405.56"/>
    <n v="203.88"/>
  </r>
  <r>
    <x v="9"/>
    <x v="75"/>
    <n v="82.5"/>
    <n v="2316.27"/>
    <n v="197.31"/>
  </r>
  <r>
    <x v="10"/>
    <x v="75"/>
    <n v="82.5"/>
    <n v="2477.6"/>
    <n v="194.09"/>
  </r>
  <r>
    <x v="11"/>
    <x v="75"/>
    <n v="82.5"/>
    <n v="-992.22"/>
    <n v="-1420.36"/>
  </r>
  <r>
    <x v="12"/>
    <x v="75"/>
    <n v="82.5"/>
    <n v="108.77"/>
    <n v="95.58"/>
  </r>
  <r>
    <x v="13"/>
    <x v="75"/>
    <n v="82.5"/>
    <n v="99.42"/>
    <n v="92.87"/>
  </r>
  <r>
    <x v="14"/>
    <x v="75"/>
    <n v="82.5"/>
    <n v="104.99"/>
    <n v="96.93"/>
  </r>
  <r>
    <x v="15"/>
    <x v="75"/>
    <n v="82.5"/>
    <n v="93.59"/>
    <n v="91.05"/>
  </r>
  <r>
    <x v="16"/>
    <x v="75"/>
    <n v="82.5"/>
    <n v="94.03"/>
    <n v="95.06"/>
  </r>
  <r>
    <x v="17"/>
    <x v="75"/>
    <n v="82.5"/>
    <n v="92.43"/>
    <n v="91.14"/>
  </r>
  <r>
    <x v="18"/>
    <x v="75"/>
    <n v="82.5"/>
    <n v="85.88"/>
    <n v="82.14"/>
  </r>
  <r>
    <x v="19"/>
    <x v="75"/>
    <n v="82.5"/>
    <n v="88.76"/>
    <n v="91.75"/>
  </r>
  <r>
    <x v="20"/>
    <x v="75"/>
    <n v="82.5"/>
    <n v="91.72"/>
    <n v="87.41"/>
  </r>
  <r>
    <x v="21"/>
    <x v="75"/>
    <n v="82.5"/>
    <n v="87"/>
    <n v="93.33"/>
  </r>
  <r>
    <x v="22"/>
    <x v="75"/>
    <n v="82.5"/>
    <n v="78.37"/>
    <n v="81.66"/>
  </r>
  <r>
    <x v="23"/>
    <x v="75"/>
    <n v="82.5"/>
    <n v="78.760000000000005"/>
    <n v="83.8"/>
  </r>
  <r>
    <x v="24"/>
    <x v="75"/>
    <n v="82.5"/>
    <n v="4868.51"/>
    <n v="336.98"/>
  </r>
  <r>
    <x v="25"/>
    <x v="75"/>
    <n v="82.5"/>
    <n v="3331.3"/>
    <n v="238.53"/>
  </r>
  <r>
    <x v="26"/>
    <x v="75"/>
    <n v="82.5"/>
    <n v="3276.9"/>
    <n v="235.02"/>
  </r>
  <r>
    <x v="27"/>
    <x v="75"/>
    <n v="82.5"/>
    <n v="3543.35"/>
    <n v="255.74"/>
  </r>
  <r>
    <x v="28"/>
    <x v="75"/>
    <n v="82.5"/>
    <n v="3101.41"/>
    <n v="237.84"/>
  </r>
  <r>
    <x v="29"/>
    <x v="75"/>
    <n v="82.5"/>
    <n v="3393.24"/>
    <n v="249.5"/>
  </r>
  <r>
    <x v="30"/>
    <x v="75"/>
    <n v="82.5"/>
    <n v="3291.47"/>
    <n v="230.02"/>
  </r>
  <r>
    <x v="31"/>
    <x v="75"/>
    <n v="82.5"/>
    <n v="3367.38"/>
    <n v="247.5"/>
  </r>
  <r>
    <x v="32"/>
    <x v="75"/>
    <n v="82.5"/>
    <n v="2987.49"/>
    <n v="231.12"/>
  </r>
  <r>
    <x v="33"/>
    <x v="75"/>
    <n v="82.5"/>
    <n v="3148.46"/>
    <n v="238.87"/>
  </r>
  <r>
    <x v="34"/>
    <x v="75"/>
    <n v="82.5"/>
    <n v="3724.33"/>
    <n v="243.44"/>
  </r>
  <r>
    <x v="35"/>
    <x v="75"/>
    <n v="82.5"/>
    <n v="3150.11"/>
    <n v="234.64"/>
  </r>
  <r>
    <x v="36"/>
    <x v="75"/>
    <n v="82.5"/>
    <n v="3982.64"/>
    <n v="426.42"/>
  </r>
  <r>
    <x v="37"/>
    <x v="75"/>
    <n v="82.5"/>
    <n v="2325.85"/>
    <n v="292.87"/>
  </r>
  <r>
    <x v="38"/>
    <x v="75"/>
    <n v="82.5"/>
    <n v="2853.54"/>
    <n v="351.36"/>
  </r>
  <r>
    <x v="39"/>
    <x v="75"/>
    <n v="82.5"/>
    <n v="2505.38"/>
    <n v="0"/>
  </r>
  <r>
    <x v="40"/>
    <x v="75"/>
    <n v="82.5"/>
    <n v="2699.61"/>
    <n v="0"/>
  </r>
  <r>
    <x v="41"/>
    <x v="75"/>
    <n v="82.5"/>
    <n v="2824.49"/>
    <n v="346.31"/>
  </r>
  <r>
    <x v="42"/>
    <x v="75"/>
    <n v="82.5"/>
    <n v="2797.4"/>
    <n v="0"/>
  </r>
  <r>
    <x v="43"/>
    <x v="75"/>
    <n v="82.5"/>
    <n v="2586.98"/>
    <n v="0"/>
  </r>
  <r>
    <x v="44"/>
    <x v="75"/>
    <n v="82.5"/>
    <n v="2542.23"/>
    <n v="0"/>
  </r>
  <r>
    <x v="45"/>
    <x v="75"/>
    <n v="82.5"/>
    <n v="2553.81"/>
    <n v="0"/>
  </r>
  <r>
    <x v="46"/>
    <x v="75"/>
    <n v="82.5"/>
    <n v="2593.56"/>
    <n v="0"/>
  </r>
  <r>
    <x v="47"/>
    <x v="75"/>
    <n v="82.5"/>
    <n v="2538.33"/>
    <n v="307.31"/>
  </r>
  <r>
    <x v="48"/>
    <x v="75"/>
    <n v="82.5"/>
    <n v="4048.98"/>
    <n v="474.44"/>
  </r>
  <r>
    <x v="49"/>
    <x v="75"/>
    <n v="82.5"/>
    <n v="2650.53"/>
    <n v="331.18"/>
  </r>
  <r>
    <x v="50"/>
    <x v="75"/>
    <n v="82.5"/>
    <n v="2697.82"/>
    <n v="305.83999999999997"/>
  </r>
  <r>
    <x v="51"/>
    <x v="75"/>
    <n v="82.5"/>
    <n v="2663.11"/>
    <n v="299.60000000000002"/>
  </r>
  <r>
    <x v="52"/>
    <x v="75"/>
    <n v="82.5"/>
    <n v="2469.31"/>
    <n v="297.31"/>
  </r>
  <r>
    <x v="53"/>
    <x v="75"/>
    <n v="82.5"/>
    <n v="2564.08"/>
    <n v="0"/>
  </r>
  <r>
    <x v="54"/>
    <x v="75"/>
    <n v="82.5"/>
    <n v="2253.23"/>
    <n v="0"/>
  </r>
  <r>
    <x v="55"/>
    <x v="75"/>
    <n v="82.5"/>
    <n v="2434.86"/>
    <n v="0"/>
  </r>
  <r>
    <x v="56"/>
    <x v="75"/>
    <n v="82.5"/>
    <n v="2597.9299999999998"/>
    <n v="0"/>
  </r>
  <r>
    <x v="57"/>
    <x v="75"/>
    <n v="82.5"/>
    <n v="2603.34"/>
    <n v="0"/>
  </r>
  <r>
    <x v="58"/>
    <x v="75"/>
    <n v="82.5"/>
    <n v="2826.93"/>
    <n v="0"/>
  </r>
  <r>
    <x v="59"/>
    <x v="75"/>
    <n v="82.5"/>
    <n v="2634.18"/>
    <n v="331.49"/>
  </r>
  <r>
    <x v="60"/>
    <x v="75"/>
    <n v="82.5"/>
    <n v="3195.52"/>
    <n v="401.15"/>
  </r>
  <r>
    <x v="61"/>
    <x v="75"/>
    <n v="82.5"/>
    <n v="2418.5"/>
    <n v="315.95"/>
  </r>
  <r>
    <x v="62"/>
    <x v="75"/>
    <n v="82.5"/>
    <n v="2787.47"/>
    <n v="355.41"/>
  </r>
  <r>
    <x v="63"/>
    <x v="75"/>
    <n v="82.5"/>
    <n v="2429.85"/>
    <n v="287.16000000000003"/>
  </r>
  <r>
    <x v="64"/>
    <x v="75"/>
    <n v="82.5"/>
    <n v="2664.76"/>
    <n v="0"/>
  </r>
  <r>
    <x v="65"/>
    <x v="75"/>
    <n v="82.5"/>
    <n v="2719.97"/>
    <n v="0"/>
  </r>
  <r>
    <x v="66"/>
    <x v="75"/>
    <n v="82.5"/>
    <n v="2599.87"/>
    <n v="0"/>
  </r>
  <r>
    <x v="67"/>
    <x v="75"/>
    <n v="82.5"/>
    <n v="2802.74"/>
    <n v="0"/>
  </r>
  <r>
    <x v="68"/>
    <x v="75"/>
    <n v="82.5"/>
    <n v="2259.5700000000002"/>
    <n v="0"/>
  </r>
  <r>
    <x v="69"/>
    <x v="75"/>
    <n v="82.5"/>
    <n v="2562.8200000000002"/>
    <n v="336.88"/>
  </r>
  <r>
    <x v="70"/>
    <x v="75"/>
    <n v="82.5"/>
    <n v="3001.09"/>
    <n v="351.22"/>
  </r>
  <r>
    <x v="71"/>
    <x v="75"/>
    <n v="82.5"/>
    <n v="2841.44"/>
    <n v="357.73"/>
  </r>
  <r>
    <x v="72"/>
    <x v="75"/>
    <n v="82.5"/>
    <n v="0"/>
    <n v="0"/>
  </r>
  <r>
    <x v="73"/>
    <x v="75"/>
    <n v="82.5"/>
    <n v="0"/>
    <n v="0"/>
  </r>
  <r>
    <x v="74"/>
    <x v="75"/>
    <n v="82.5"/>
    <n v="0"/>
    <n v="0"/>
  </r>
  <r>
    <x v="75"/>
    <x v="75"/>
    <n v="82.5"/>
    <n v="0"/>
    <n v="0"/>
  </r>
  <r>
    <x v="76"/>
    <x v="75"/>
    <n v="82.5"/>
    <n v="0"/>
    <n v="0"/>
  </r>
  <r>
    <x v="77"/>
    <x v="75"/>
    <n v="82.5"/>
    <n v="0"/>
    <n v="0"/>
  </r>
  <r>
    <x v="78"/>
    <x v="75"/>
    <n v="82.5"/>
    <n v="0"/>
    <n v="0"/>
  </r>
  <r>
    <x v="79"/>
    <x v="75"/>
    <n v="82.5"/>
    <n v="0"/>
    <n v="0"/>
  </r>
  <r>
    <x v="80"/>
    <x v="75"/>
    <n v="82.5"/>
    <n v="0"/>
    <n v="0"/>
  </r>
  <r>
    <x v="81"/>
    <x v="75"/>
    <n v="82.5"/>
    <n v="0"/>
    <n v="0"/>
  </r>
  <r>
    <x v="82"/>
    <x v="75"/>
    <n v="82.5"/>
    <n v="0"/>
    <n v="0"/>
  </r>
  <r>
    <x v="83"/>
    <x v="75"/>
    <n v="82.5"/>
    <n v="0"/>
    <n v="0"/>
  </r>
  <r>
    <x v="84"/>
    <x v="75"/>
    <n v="82.5"/>
    <n v="0"/>
    <n v="0"/>
  </r>
  <r>
    <x v="85"/>
    <x v="75"/>
    <n v="82.5"/>
    <n v="0"/>
    <n v="0"/>
  </r>
  <r>
    <x v="86"/>
    <x v="75"/>
    <n v="82.5"/>
    <n v="0"/>
    <n v="0"/>
  </r>
  <r>
    <x v="87"/>
    <x v="75"/>
    <n v="82.5"/>
    <n v="0"/>
    <n v="0"/>
  </r>
  <r>
    <x v="88"/>
    <x v="75"/>
    <n v="82.5"/>
    <n v="0"/>
    <n v="0"/>
  </r>
  <r>
    <x v="89"/>
    <x v="75"/>
    <n v="82.5"/>
    <n v="0"/>
    <n v="0"/>
  </r>
  <r>
    <x v="90"/>
    <x v="75"/>
    <n v="82.5"/>
    <n v="0"/>
    <n v="0"/>
  </r>
  <r>
    <x v="91"/>
    <x v="75"/>
    <n v="82.5"/>
    <n v="0"/>
    <n v="0"/>
  </r>
  <r>
    <x v="92"/>
    <x v="75"/>
    <n v="82.5"/>
    <n v="0"/>
    <n v="0"/>
  </r>
  <r>
    <x v="93"/>
    <x v="75"/>
    <n v="82.5"/>
    <n v="0"/>
    <n v="0"/>
  </r>
  <r>
    <x v="94"/>
    <x v="75"/>
    <n v="82.5"/>
    <n v="0"/>
    <n v="0"/>
  </r>
  <r>
    <x v="95"/>
    <x v="75"/>
    <n v="82.5"/>
    <n v="0"/>
    <n v="0"/>
  </r>
  <r>
    <x v="0"/>
    <x v="76"/>
    <n v="82.8"/>
    <n v="3614.55"/>
    <n v="246.1"/>
  </r>
  <r>
    <x v="1"/>
    <x v="76"/>
    <n v="82.8"/>
    <n v="2836.37"/>
    <n v="189.29"/>
  </r>
  <r>
    <x v="2"/>
    <x v="76"/>
    <n v="82.8"/>
    <n v="2846.21"/>
    <n v="188.79"/>
  </r>
  <r>
    <x v="3"/>
    <x v="76"/>
    <n v="82.8"/>
    <n v="2891.37"/>
    <n v="192.04"/>
  </r>
  <r>
    <x v="4"/>
    <x v="76"/>
    <n v="82.8"/>
    <n v="2699"/>
    <n v="192.48"/>
  </r>
  <r>
    <x v="5"/>
    <x v="76"/>
    <n v="82.8"/>
    <n v="2850.11"/>
    <n v="197.81"/>
  </r>
  <r>
    <x v="6"/>
    <x v="76"/>
    <n v="82.8"/>
    <n v="2687.84"/>
    <n v="182.56"/>
  </r>
  <r>
    <x v="7"/>
    <x v="76"/>
    <n v="82.8"/>
    <n v="2757.92"/>
    <n v="200.76"/>
  </r>
  <r>
    <x v="8"/>
    <x v="76"/>
    <n v="82.8"/>
    <n v="2676.58"/>
    <n v="201"/>
  </r>
  <r>
    <x v="9"/>
    <x v="76"/>
    <n v="82.8"/>
    <n v="2583.9"/>
    <n v="194.63"/>
  </r>
  <r>
    <x v="10"/>
    <x v="76"/>
    <n v="82.8"/>
    <n v="2772.18"/>
    <n v="190.94"/>
  </r>
  <r>
    <x v="11"/>
    <x v="76"/>
    <n v="82.8"/>
    <n v="-983.04"/>
    <n v="-1361.22"/>
  </r>
  <r>
    <x v="12"/>
    <x v="76"/>
    <n v="82.8"/>
    <n v="101.75"/>
    <n v="95.54"/>
  </r>
  <r>
    <x v="13"/>
    <x v="76"/>
    <n v="82.8"/>
    <n v="94.83"/>
    <n v="91.05"/>
  </r>
  <r>
    <x v="14"/>
    <x v="76"/>
    <n v="82.8"/>
    <n v="100.09"/>
    <n v="96.43"/>
  </r>
  <r>
    <x v="15"/>
    <x v="76"/>
    <n v="82.8"/>
    <n v="88.83"/>
    <n v="91.14"/>
  </r>
  <r>
    <x v="16"/>
    <x v="76"/>
    <n v="82.8"/>
    <n v="89.26"/>
    <n v="93.78"/>
  </r>
  <r>
    <x v="17"/>
    <x v="76"/>
    <n v="82.8"/>
    <n v="87.36"/>
    <n v="90.88"/>
  </r>
  <r>
    <x v="18"/>
    <x v="76"/>
    <n v="82.8"/>
    <n v="81.180000000000007"/>
    <n v="82.07"/>
  </r>
  <r>
    <x v="19"/>
    <x v="76"/>
    <n v="82.8"/>
    <n v="84.05"/>
    <n v="90.53"/>
  </r>
  <r>
    <x v="20"/>
    <x v="76"/>
    <n v="82.8"/>
    <n v="86.64"/>
    <n v="89.02"/>
  </r>
  <r>
    <x v="21"/>
    <x v="76"/>
    <n v="82.8"/>
    <n v="81.93"/>
    <n v="91.68"/>
  </r>
  <r>
    <x v="22"/>
    <x v="76"/>
    <n v="82.8"/>
    <n v="73.489999999999995"/>
    <n v="83.92"/>
  </r>
  <r>
    <x v="23"/>
    <x v="76"/>
    <n v="82.8"/>
    <n v="73.19"/>
    <n v="83.94"/>
  </r>
  <r>
    <x v="24"/>
    <x v="76"/>
    <n v="82.8"/>
    <n v="5613.64"/>
    <n v="333.05"/>
  </r>
  <r>
    <x v="25"/>
    <x v="76"/>
    <n v="82.8"/>
    <n v="3835.22"/>
    <n v="236.58"/>
  </r>
  <r>
    <x v="26"/>
    <x v="76"/>
    <n v="82.8"/>
    <n v="3760.32"/>
    <n v="234.04"/>
  </r>
  <r>
    <x v="27"/>
    <x v="76"/>
    <n v="82.8"/>
    <n v="4068.95"/>
    <n v="255.41"/>
  </r>
  <r>
    <x v="28"/>
    <x v="76"/>
    <n v="82.8"/>
    <n v="3540.75"/>
    <n v="236.45"/>
  </r>
  <r>
    <x v="29"/>
    <x v="76"/>
    <n v="82.8"/>
    <n v="3888.12"/>
    <n v="247.37"/>
  </r>
  <r>
    <x v="30"/>
    <x v="76"/>
    <n v="82.8"/>
    <n v="3761.28"/>
    <n v="228.83"/>
  </r>
  <r>
    <x v="31"/>
    <x v="76"/>
    <n v="82.8"/>
    <n v="3865.39"/>
    <n v="245.89"/>
  </r>
  <r>
    <x v="32"/>
    <x v="76"/>
    <n v="82.8"/>
    <n v="3403.05"/>
    <n v="230.24"/>
  </r>
  <r>
    <x v="33"/>
    <x v="76"/>
    <n v="82.8"/>
    <n v="3582.68"/>
    <n v="236.89"/>
  </r>
  <r>
    <x v="34"/>
    <x v="76"/>
    <n v="82.8"/>
    <n v="4285.21"/>
    <n v="242.76"/>
  </r>
  <r>
    <x v="35"/>
    <x v="76"/>
    <n v="82.8"/>
    <n v="3612.34"/>
    <n v="232.01"/>
  </r>
  <r>
    <x v="36"/>
    <x v="76"/>
    <n v="82.8"/>
    <n v="4966.49"/>
    <n v="424.83"/>
  </r>
  <r>
    <x v="37"/>
    <x v="76"/>
    <n v="82.8"/>
    <n v="2910.45"/>
    <n v="292.19"/>
  </r>
  <r>
    <x v="38"/>
    <x v="76"/>
    <n v="82.8"/>
    <n v="3580.13"/>
    <n v="350.41"/>
  </r>
  <r>
    <x v="39"/>
    <x v="76"/>
    <n v="82.8"/>
    <n v="3142.24"/>
    <n v="0"/>
  </r>
  <r>
    <x v="40"/>
    <x v="76"/>
    <n v="82.8"/>
    <n v="3366.38"/>
    <n v="0"/>
  </r>
  <r>
    <x v="41"/>
    <x v="76"/>
    <n v="82.8"/>
    <n v="3519.29"/>
    <n v="345.59"/>
  </r>
  <r>
    <x v="42"/>
    <x v="76"/>
    <n v="82.8"/>
    <n v="3514.79"/>
    <n v="0"/>
  </r>
  <r>
    <x v="43"/>
    <x v="76"/>
    <n v="82.8"/>
    <n v="3248.52"/>
    <n v="0"/>
  </r>
  <r>
    <x v="44"/>
    <x v="76"/>
    <n v="82.8"/>
    <n v="3168.43"/>
    <n v="0"/>
  </r>
  <r>
    <x v="45"/>
    <x v="76"/>
    <n v="82.8"/>
    <n v="3178.4"/>
    <n v="0"/>
  </r>
  <r>
    <x v="46"/>
    <x v="76"/>
    <n v="82.8"/>
    <n v="3323.81"/>
    <n v="0"/>
  </r>
  <r>
    <x v="47"/>
    <x v="76"/>
    <n v="82.8"/>
    <n v="3196.9"/>
    <n v="304.91000000000003"/>
  </r>
  <r>
    <x v="48"/>
    <x v="76"/>
    <n v="82.8"/>
    <n v="5016.59"/>
    <n v="473.8"/>
  </r>
  <r>
    <x v="49"/>
    <x v="76"/>
    <n v="82.8"/>
    <n v="3297.84"/>
    <n v="330.19"/>
  </r>
  <r>
    <x v="50"/>
    <x v="76"/>
    <n v="82.8"/>
    <n v="3389.23"/>
    <n v="307.31"/>
  </r>
  <r>
    <x v="51"/>
    <x v="76"/>
    <n v="82.8"/>
    <n v="3312.55"/>
    <n v="291.49"/>
  </r>
  <r>
    <x v="52"/>
    <x v="76"/>
    <n v="82.8"/>
    <n v="3074.9"/>
    <n v="288.79000000000002"/>
  </r>
  <r>
    <x v="53"/>
    <x v="76"/>
    <n v="82.8"/>
    <n v="3208.44"/>
    <n v="0"/>
  </r>
  <r>
    <x v="54"/>
    <x v="76"/>
    <n v="82.8"/>
    <n v="2809.72"/>
    <n v="0"/>
  </r>
  <r>
    <x v="55"/>
    <x v="76"/>
    <n v="82.8"/>
    <n v="3114.09"/>
    <n v="0"/>
  </r>
  <r>
    <x v="56"/>
    <x v="76"/>
    <n v="82.8"/>
    <n v="3213.6"/>
    <n v="0"/>
  </r>
  <r>
    <x v="57"/>
    <x v="76"/>
    <n v="82.8"/>
    <n v="3214.06"/>
    <n v="0"/>
  </r>
  <r>
    <x v="58"/>
    <x v="76"/>
    <n v="82.8"/>
    <n v="3591.15"/>
    <n v="0"/>
  </r>
  <r>
    <x v="59"/>
    <x v="76"/>
    <n v="82.8"/>
    <n v="3282.19"/>
    <n v="329.78"/>
  </r>
  <r>
    <x v="60"/>
    <x v="76"/>
    <n v="82.8"/>
    <n v="3936.97"/>
    <n v="401.04"/>
  </r>
  <r>
    <x v="61"/>
    <x v="76"/>
    <n v="82.8"/>
    <n v="2995.46"/>
    <n v="312.75"/>
  </r>
  <r>
    <x v="62"/>
    <x v="76"/>
    <n v="82.8"/>
    <n v="3465.78"/>
    <n v="352.48"/>
  </r>
  <r>
    <x v="63"/>
    <x v="76"/>
    <n v="82.8"/>
    <n v="3044.37"/>
    <n v="290.33999999999997"/>
  </r>
  <r>
    <x v="64"/>
    <x v="76"/>
    <n v="82.8"/>
    <n v="3317.75"/>
    <n v="0"/>
  </r>
  <r>
    <x v="65"/>
    <x v="76"/>
    <n v="82.8"/>
    <n v="3377.81"/>
    <n v="0"/>
  </r>
  <r>
    <x v="66"/>
    <x v="76"/>
    <n v="82.8"/>
    <n v="3238.21"/>
    <n v="0"/>
  </r>
  <r>
    <x v="67"/>
    <x v="76"/>
    <n v="82.8"/>
    <n v="3491.15"/>
    <n v="0"/>
  </r>
  <r>
    <x v="68"/>
    <x v="76"/>
    <n v="82.8"/>
    <n v="2785.7"/>
    <n v="0"/>
  </r>
  <r>
    <x v="69"/>
    <x v="76"/>
    <n v="82.8"/>
    <n v="3171.34"/>
    <n v="336.09"/>
  </r>
  <r>
    <x v="70"/>
    <x v="76"/>
    <n v="82.8"/>
    <n v="3764.3"/>
    <n v="350.67"/>
  </r>
  <r>
    <x v="71"/>
    <x v="76"/>
    <n v="82.8"/>
    <n v="3548.93"/>
    <n v="355.29"/>
  </r>
  <r>
    <x v="72"/>
    <x v="76"/>
    <n v="82.8"/>
    <n v="0"/>
    <n v="0"/>
  </r>
  <r>
    <x v="73"/>
    <x v="76"/>
    <n v="82.8"/>
    <n v="0"/>
    <n v="0"/>
  </r>
  <r>
    <x v="74"/>
    <x v="76"/>
    <n v="82.8"/>
    <n v="0"/>
    <n v="0"/>
  </r>
  <r>
    <x v="75"/>
    <x v="76"/>
    <n v="82.8"/>
    <n v="0"/>
    <n v="0"/>
  </r>
  <r>
    <x v="76"/>
    <x v="76"/>
    <n v="82.8"/>
    <n v="0"/>
    <n v="0"/>
  </r>
  <r>
    <x v="77"/>
    <x v="76"/>
    <n v="82.8"/>
    <n v="0"/>
    <n v="0"/>
  </r>
  <r>
    <x v="78"/>
    <x v="76"/>
    <n v="82.8"/>
    <n v="0"/>
    <n v="0"/>
  </r>
  <r>
    <x v="79"/>
    <x v="76"/>
    <n v="82.8"/>
    <n v="0"/>
    <n v="0"/>
  </r>
  <r>
    <x v="80"/>
    <x v="76"/>
    <n v="82.8"/>
    <n v="0"/>
    <n v="0"/>
  </r>
  <r>
    <x v="81"/>
    <x v="76"/>
    <n v="82.8"/>
    <n v="0"/>
    <n v="0"/>
  </r>
  <r>
    <x v="82"/>
    <x v="76"/>
    <n v="82.8"/>
    <n v="0"/>
    <n v="0"/>
  </r>
  <r>
    <x v="83"/>
    <x v="76"/>
    <n v="82.8"/>
    <n v="0"/>
    <n v="0"/>
  </r>
  <r>
    <x v="84"/>
    <x v="76"/>
    <n v="82.8"/>
    <n v="0"/>
    <n v="0"/>
  </r>
  <r>
    <x v="85"/>
    <x v="76"/>
    <n v="82.8"/>
    <n v="0"/>
    <n v="0"/>
  </r>
  <r>
    <x v="86"/>
    <x v="76"/>
    <n v="82.8"/>
    <n v="0"/>
    <n v="0"/>
  </r>
  <r>
    <x v="87"/>
    <x v="76"/>
    <n v="82.8"/>
    <n v="0"/>
    <n v="0"/>
  </r>
  <r>
    <x v="88"/>
    <x v="76"/>
    <n v="82.8"/>
    <n v="0"/>
    <n v="0"/>
  </r>
  <r>
    <x v="89"/>
    <x v="76"/>
    <n v="82.8"/>
    <n v="0"/>
    <n v="0"/>
  </r>
  <r>
    <x v="90"/>
    <x v="76"/>
    <n v="82.8"/>
    <n v="0"/>
    <n v="0"/>
  </r>
  <r>
    <x v="91"/>
    <x v="76"/>
    <n v="82.8"/>
    <n v="0"/>
    <n v="0"/>
  </r>
  <r>
    <x v="92"/>
    <x v="76"/>
    <n v="82.8"/>
    <n v="0"/>
    <n v="0"/>
  </r>
  <r>
    <x v="93"/>
    <x v="76"/>
    <n v="82.8"/>
    <n v="0"/>
    <n v="0"/>
  </r>
  <r>
    <x v="94"/>
    <x v="76"/>
    <n v="82.8"/>
    <n v="0"/>
    <n v="0"/>
  </r>
  <r>
    <x v="95"/>
    <x v="76"/>
    <n v="82.8"/>
    <n v="0"/>
    <n v="0"/>
  </r>
  <r>
    <x v="0"/>
    <x v="77"/>
    <n v="83.1"/>
    <n v="4189.67"/>
    <n v="242.95"/>
  </r>
  <r>
    <x v="1"/>
    <x v="77"/>
    <n v="83.1"/>
    <n v="3284.65"/>
    <n v="187.41"/>
  </r>
  <r>
    <x v="2"/>
    <x v="77"/>
    <n v="83.1"/>
    <n v="3270.48"/>
    <n v="186.49"/>
  </r>
  <r>
    <x v="3"/>
    <x v="77"/>
    <n v="83.1"/>
    <n v="3326.65"/>
    <n v="189.77"/>
  </r>
  <r>
    <x v="4"/>
    <x v="77"/>
    <n v="83.1"/>
    <n v="3101.26"/>
    <n v="190.16"/>
  </r>
  <r>
    <x v="5"/>
    <x v="77"/>
    <n v="83.1"/>
    <n v="3271.81"/>
    <n v="195.27"/>
  </r>
  <r>
    <x v="6"/>
    <x v="77"/>
    <n v="83.1"/>
    <n v="3081.04"/>
    <n v="179.88"/>
  </r>
  <r>
    <x v="7"/>
    <x v="77"/>
    <n v="83.1"/>
    <n v="3170.55"/>
    <n v="198.29"/>
  </r>
  <r>
    <x v="8"/>
    <x v="77"/>
    <n v="83.1"/>
    <n v="3056.17"/>
    <n v="198.27"/>
  </r>
  <r>
    <x v="9"/>
    <x v="77"/>
    <n v="83.1"/>
    <n v="2957.35"/>
    <n v="192.08"/>
  </r>
  <r>
    <x v="10"/>
    <x v="77"/>
    <n v="83.1"/>
    <n v="3169.88"/>
    <n v="188.03"/>
  </r>
  <r>
    <x v="11"/>
    <x v="77"/>
    <n v="83.1"/>
    <n v="-966.36"/>
    <n v="-1299.93"/>
  </r>
  <r>
    <x v="12"/>
    <x v="77"/>
    <n v="83.1"/>
    <n v="95.36"/>
    <n v="96.03"/>
  </r>
  <r>
    <x v="13"/>
    <x v="77"/>
    <n v="83.1"/>
    <n v="90.45"/>
    <n v="89.76"/>
  </r>
  <r>
    <x v="14"/>
    <x v="77"/>
    <n v="83.1"/>
    <n v="95.39"/>
    <n v="95.98"/>
  </r>
  <r>
    <x v="15"/>
    <x v="77"/>
    <n v="83.1"/>
    <n v="84.3"/>
    <n v="91.25"/>
  </r>
  <r>
    <x v="16"/>
    <x v="77"/>
    <n v="83.1"/>
    <n v="84.72"/>
    <n v="92.86"/>
  </r>
  <r>
    <x v="17"/>
    <x v="77"/>
    <n v="83.1"/>
    <n v="82.62"/>
    <n v="90.78"/>
  </r>
  <r>
    <x v="18"/>
    <x v="77"/>
    <n v="83.1"/>
    <n v="76.760000000000005"/>
    <n v="82.01"/>
  </r>
  <r>
    <x v="19"/>
    <x v="77"/>
    <n v="83.1"/>
    <n v="79.62"/>
    <n v="89.61"/>
  </r>
  <r>
    <x v="20"/>
    <x v="77"/>
    <n v="83.1"/>
    <n v="81.91"/>
    <n v="90.15"/>
  </r>
  <r>
    <x v="21"/>
    <x v="77"/>
    <n v="83.1"/>
    <n v="77.23"/>
    <n v="90.4"/>
  </r>
  <r>
    <x v="22"/>
    <x v="77"/>
    <n v="83.1"/>
    <n v="69.02"/>
    <n v="85.59"/>
  </r>
  <r>
    <x v="23"/>
    <x v="77"/>
    <n v="83.1"/>
    <n v="68.14"/>
    <n v="84.02"/>
  </r>
  <r>
    <x v="24"/>
    <x v="77"/>
    <n v="83.1"/>
    <n v="6509.39"/>
    <n v="329.11"/>
  </r>
  <r>
    <x v="25"/>
    <x v="77"/>
    <n v="83.1"/>
    <n v="4421.1000000000004"/>
    <n v="234.63"/>
  </r>
  <r>
    <x v="26"/>
    <x v="77"/>
    <n v="83.1"/>
    <n v="4311.8599999999997"/>
    <n v="233.35"/>
  </r>
  <r>
    <x v="27"/>
    <x v="77"/>
    <n v="83.1"/>
    <n v="4661.07"/>
    <n v="254.53"/>
  </r>
  <r>
    <x v="28"/>
    <x v="77"/>
    <n v="83.1"/>
    <n v="4071.82"/>
    <n v="235.26"/>
  </r>
  <r>
    <x v="29"/>
    <x v="77"/>
    <n v="83.1"/>
    <n v="4476.1899999999996"/>
    <n v="245.24"/>
  </r>
  <r>
    <x v="30"/>
    <x v="77"/>
    <n v="83.1"/>
    <n v="4306.2"/>
    <n v="227.55"/>
  </r>
  <r>
    <x v="31"/>
    <x v="77"/>
    <n v="83.1"/>
    <n v="4443.01"/>
    <n v="244.22"/>
  </r>
  <r>
    <x v="32"/>
    <x v="77"/>
    <n v="83.1"/>
    <n v="3923.79"/>
    <n v="229.25"/>
  </r>
  <r>
    <x v="33"/>
    <x v="77"/>
    <n v="83.1"/>
    <n v="4118.51"/>
    <n v="234.9"/>
  </r>
  <r>
    <x v="34"/>
    <x v="77"/>
    <n v="83.1"/>
    <n v="4923.68"/>
    <n v="241.95"/>
  </r>
  <r>
    <x v="35"/>
    <x v="77"/>
    <n v="83.1"/>
    <n v="4158.17"/>
    <n v="229.33"/>
  </r>
  <r>
    <x v="36"/>
    <x v="77"/>
    <n v="83.1"/>
    <n v="6323.32"/>
    <n v="424.13"/>
  </r>
  <r>
    <x v="37"/>
    <x v="77"/>
    <n v="83.1"/>
    <n v="3727.94"/>
    <n v="291.54000000000002"/>
  </r>
  <r>
    <x v="38"/>
    <x v="77"/>
    <n v="83.1"/>
    <n v="4591.6400000000003"/>
    <n v="349.89"/>
  </r>
  <r>
    <x v="39"/>
    <x v="77"/>
    <n v="83.1"/>
    <n v="4021.84"/>
    <n v="0"/>
  </r>
  <r>
    <x v="40"/>
    <x v="77"/>
    <n v="83.1"/>
    <n v="4289.76"/>
    <n v="0"/>
  </r>
  <r>
    <x v="41"/>
    <x v="77"/>
    <n v="83.1"/>
    <n v="4483.03"/>
    <n v="344.69"/>
  </r>
  <r>
    <x v="42"/>
    <x v="77"/>
    <n v="83.1"/>
    <n v="4508.8100000000004"/>
    <n v="0"/>
  </r>
  <r>
    <x v="43"/>
    <x v="77"/>
    <n v="83.1"/>
    <n v="4169.25"/>
    <n v="0"/>
  </r>
  <r>
    <x v="44"/>
    <x v="77"/>
    <n v="83.1"/>
    <n v="4044.04"/>
    <n v="0"/>
  </r>
  <r>
    <x v="45"/>
    <x v="77"/>
    <n v="83.1"/>
    <n v="4050.35"/>
    <n v="0"/>
  </r>
  <r>
    <x v="46"/>
    <x v="77"/>
    <n v="83.1"/>
    <n v="4318.2299999999996"/>
    <n v="0"/>
  </r>
  <r>
    <x v="47"/>
    <x v="77"/>
    <n v="83.1"/>
    <n v="4115.34"/>
    <n v="302.48"/>
  </r>
  <r>
    <x v="48"/>
    <x v="77"/>
    <n v="83.1"/>
    <n v="6356.43"/>
    <n v="473.29"/>
  </r>
  <r>
    <x v="49"/>
    <x v="77"/>
    <n v="83.1"/>
    <n v="4204.8100000000004"/>
    <n v="329.86"/>
  </r>
  <r>
    <x v="50"/>
    <x v="77"/>
    <n v="83.1"/>
    <n v="4323.34"/>
    <n v="308.74"/>
  </r>
  <r>
    <x v="51"/>
    <x v="77"/>
    <n v="83.1"/>
    <n v="4204.4399999999996"/>
    <n v="284.52999999999997"/>
  </r>
  <r>
    <x v="52"/>
    <x v="77"/>
    <n v="83.1"/>
    <n v="3912.8"/>
    <n v="281.37"/>
  </r>
  <r>
    <x v="53"/>
    <x v="77"/>
    <n v="83.1"/>
    <n v="4116.3500000000004"/>
    <n v="0"/>
  </r>
  <r>
    <x v="54"/>
    <x v="77"/>
    <n v="83.1"/>
    <n v="3579.61"/>
    <n v="0"/>
  </r>
  <r>
    <x v="55"/>
    <x v="77"/>
    <n v="83.1"/>
    <n v="4090.02"/>
    <n v="0"/>
  </r>
  <r>
    <x v="56"/>
    <x v="77"/>
    <n v="83.1"/>
    <n v="4069.36"/>
    <n v="0"/>
  </r>
  <r>
    <x v="57"/>
    <x v="77"/>
    <n v="83.1"/>
    <n v="4064.22"/>
    <n v="0"/>
  </r>
  <r>
    <x v="58"/>
    <x v="77"/>
    <n v="83.1"/>
    <n v="4652.1099999999997"/>
    <n v="0"/>
  </r>
  <r>
    <x v="59"/>
    <x v="77"/>
    <n v="83.1"/>
    <n v="4180.3100000000004"/>
    <n v="329.26"/>
  </r>
  <r>
    <x v="60"/>
    <x v="77"/>
    <n v="83.1"/>
    <n v="4971.05"/>
    <n v="400.68"/>
  </r>
  <r>
    <x v="61"/>
    <x v="77"/>
    <n v="83.1"/>
    <n v="3803.04"/>
    <n v="311.49"/>
  </r>
  <r>
    <x v="62"/>
    <x v="77"/>
    <n v="83.1"/>
    <n v="4404.18"/>
    <n v="350.26"/>
  </r>
  <r>
    <x v="63"/>
    <x v="77"/>
    <n v="83.1"/>
    <n v="3887.55"/>
    <n v="292.77"/>
  </r>
  <r>
    <x v="64"/>
    <x v="77"/>
    <n v="83.1"/>
    <n v="4213.78"/>
    <n v="0"/>
  </r>
  <r>
    <x v="65"/>
    <x v="77"/>
    <n v="83.1"/>
    <n v="4315.68"/>
    <n v="0"/>
  </r>
  <r>
    <x v="66"/>
    <x v="77"/>
    <n v="83.1"/>
    <n v="4124.2299999999996"/>
    <n v="0"/>
  </r>
  <r>
    <x v="67"/>
    <x v="77"/>
    <n v="83.1"/>
    <n v="4446.13"/>
    <n v="0"/>
  </r>
  <r>
    <x v="68"/>
    <x v="77"/>
    <n v="83.1"/>
    <n v="3517.66"/>
    <n v="0"/>
  </r>
  <r>
    <x v="69"/>
    <x v="77"/>
    <n v="83.1"/>
    <n v="4022.27"/>
    <n v="335.59"/>
  </r>
  <r>
    <x v="70"/>
    <x v="77"/>
    <n v="83.1"/>
    <n v="4824.7700000000004"/>
    <n v="350.13"/>
  </r>
  <r>
    <x v="71"/>
    <x v="77"/>
    <n v="83.1"/>
    <n v="4533.99"/>
    <n v="352.73"/>
  </r>
  <r>
    <x v="72"/>
    <x v="77"/>
    <n v="83.1"/>
    <n v="0"/>
    <n v="0"/>
  </r>
  <r>
    <x v="73"/>
    <x v="77"/>
    <n v="83.1"/>
    <n v="0"/>
    <n v="0"/>
  </r>
  <r>
    <x v="74"/>
    <x v="77"/>
    <n v="83.1"/>
    <n v="0"/>
    <n v="0"/>
  </r>
  <r>
    <x v="75"/>
    <x v="77"/>
    <n v="83.1"/>
    <n v="0"/>
    <n v="0"/>
  </r>
  <r>
    <x v="76"/>
    <x v="77"/>
    <n v="83.1"/>
    <n v="0"/>
    <n v="0"/>
  </r>
  <r>
    <x v="77"/>
    <x v="77"/>
    <n v="83.1"/>
    <n v="0"/>
    <n v="0"/>
  </r>
  <r>
    <x v="78"/>
    <x v="77"/>
    <n v="83.1"/>
    <n v="0"/>
    <n v="0"/>
  </r>
  <r>
    <x v="79"/>
    <x v="77"/>
    <n v="83.1"/>
    <n v="0"/>
    <n v="0"/>
  </r>
  <r>
    <x v="80"/>
    <x v="77"/>
    <n v="83.1"/>
    <n v="0"/>
    <n v="0"/>
  </r>
  <r>
    <x v="81"/>
    <x v="77"/>
    <n v="83.1"/>
    <n v="0"/>
    <n v="0"/>
  </r>
  <r>
    <x v="82"/>
    <x v="77"/>
    <n v="83.1"/>
    <n v="0"/>
    <n v="0"/>
  </r>
  <r>
    <x v="83"/>
    <x v="77"/>
    <n v="83.1"/>
    <n v="0"/>
    <n v="0"/>
  </r>
  <r>
    <x v="84"/>
    <x v="77"/>
    <n v="83.1"/>
    <n v="0"/>
    <n v="0"/>
  </r>
  <r>
    <x v="85"/>
    <x v="77"/>
    <n v="83.1"/>
    <n v="0"/>
    <n v="0"/>
  </r>
  <r>
    <x v="86"/>
    <x v="77"/>
    <n v="83.1"/>
    <n v="0"/>
    <n v="0"/>
  </r>
  <r>
    <x v="87"/>
    <x v="77"/>
    <n v="83.1"/>
    <n v="0"/>
    <n v="0"/>
  </r>
  <r>
    <x v="88"/>
    <x v="77"/>
    <n v="83.1"/>
    <n v="0"/>
    <n v="0"/>
  </r>
  <r>
    <x v="89"/>
    <x v="77"/>
    <n v="83.1"/>
    <n v="0"/>
    <n v="0"/>
  </r>
  <r>
    <x v="90"/>
    <x v="77"/>
    <n v="83.1"/>
    <n v="0"/>
    <n v="0"/>
  </r>
  <r>
    <x v="91"/>
    <x v="77"/>
    <n v="83.1"/>
    <n v="0"/>
    <n v="0"/>
  </r>
  <r>
    <x v="92"/>
    <x v="77"/>
    <n v="83.1"/>
    <n v="0"/>
    <n v="0"/>
  </r>
  <r>
    <x v="93"/>
    <x v="77"/>
    <n v="83.1"/>
    <n v="0"/>
    <n v="0"/>
  </r>
  <r>
    <x v="94"/>
    <x v="77"/>
    <n v="83.1"/>
    <n v="0"/>
    <n v="0"/>
  </r>
  <r>
    <x v="95"/>
    <x v="77"/>
    <n v="83.1"/>
    <n v="0"/>
    <n v="0"/>
  </r>
  <r>
    <x v="0"/>
    <x v="78"/>
    <n v="83.4"/>
    <n v="4804.05"/>
    <n v="240.06"/>
  </r>
  <r>
    <x v="1"/>
    <x v="78"/>
    <n v="83.4"/>
    <n v="3733.65"/>
    <n v="185.71"/>
  </r>
  <r>
    <x v="2"/>
    <x v="78"/>
    <n v="83.4"/>
    <n v="3679.51"/>
    <n v="184.44"/>
  </r>
  <r>
    <x v="3"/>
    <x v="78"/>
    <n v="83.4"/>
    <n v="3733.41"/>
    <n v="187.66"/>
  </r>
  <r>
    <x v="4"/>
    <x v="78"/>
    <n v="83.4"/>
    <n v="3507.29"/>
    <n v="188.01"/>
  </r>
  <r>
    <x v="5"/>
    <x v="78"/>
    <n v="83.4"/>
    <n v="3701.67"/>
    <n v="192.91"/>
  </r>
  <r>
    <x v="6"/>
    <x v="78"/>
    <n v="83.4"/>
    <n v="3474.99"/>
    <n v="177.36"/>
  </r>
  <r>
    <x v="7"/>
    <x v="78"/>
    <n v="83.4"/>
    <n v="3594.37"/>
    <n v="195.98"/>
  </r>
  <r>
    <x v="8"/>
    <x v="78"/>
    <n v="83.4"/>
    <n v="3485.7"/>
    <n v="195.64"/>
  </r>
  <r>
    <x v="9"/>
    <x v="78"/>
    <n v="83.4"/>
    <n v="3378.97"/>
    <n v="189.63"/>
  </r>
  <r>
    <x v="10"/>
    <x v="78"/>
    <n v="83.4"/>
    <n v="3589.06"/>
    <n v="185.32"/>
  </r>
  <r>
    <x v="11"/>
    <x v="78"/>
    <n v="83.4"/>
    <n v="-945.09"/>
    <n v="-1237"/>
  </r>
  <r>
    <x v="12"/>
    <x v="78"/>
    <n v="83.4"/>
    <n v="89.52"/>
    <n v="96.83"/>
  </r>
  <r>
    <x v="13"/>
    <x v="78"/>
    <n v="83.4"/>
    <n v="86.25"/>
    <n v="88.96"/>
  </r>
  <r>
    <x v="14"/>
    <x v="78"/>
    <n v="83.4"/>
    <n v="90.88"/>
    <n v="95.57"/>
  </r>
  <r>
    <x v="15"/>
    <x v="78"/>
    <n v="83.4"/>
    <n v="79.989999999999995"/>
    <n v="91.37"/>
  </r>
  <r>
    <x v="16"/>
    <x v="78"/>
    <n v="83.4"/>
    <n v="80.38"/>
    <n v="92.3"/>
  </r>
  <r>
    <x v="17"/>
    <x v="78"/>
    <n v="83.4"/>
    <n v="78.16"/>
    <n v="90.66"/>
  </r>
  <r>
    <x v="18"/>
    <x v="78"/>
    <n v="83.4"/>
    <n v="72.59"/>
    <n v="81.95"/>
  </r>
  <r>
    <x v="19"/>
    <x v="78"/>
    <n v="83.4"/>
    <n v="75.44"/>
    <n v="88.98"/>
  </r>
  <r>
    <x v="20"/>
    <x v="78"/>
    <n v="83.4"/>
    <n v="77.47"/>
    <n v="90.9"/>
  </r>
  <r>
    <x v="21"/>
    <x v="78"/>
    <n v="83.4"/>
    <n v="72.87"/>
    <n v="89.49"/>
  </r>
  <r>
    <x v="22"/>
    <x v="78"/>
    <n v="83.4"/>
    <n v="64.930000000000007"/>
    <n v="86.6"/>
  </r>
  <r>
    <x v="23"/>
    <x v="78"/>
    <n v="83.4"/>
    <n v="63.5"/>
    <n v="84.05"/>
  </r>
  <r>
    <x v="24"/>
    <x v="78"/>
    <n v="83.4"/>
    <n v="7328.86"/>
    <n v="325.14"/>
  </r>
  <r>
    <x v="25"/>
    <x v="78"/>
    <n v="83.4"/>
    <n v="4923.01"/>
    <n v="232.69"/>
  </r>
  <r>
    <x v="26"/>
    <x v="78"/>
    <n v="83.4"/>
    <n v="4763.4399999999996"/>
    <n v="232.04"/>
  </r>
  <r>
    <x v="27"/>
    <x v="78"/>
    <n v="83.4"/>
    <n v="5142.22"/>
    <n v="252.85"/>
  </r>
  <r>
    <x v="28"/>
    <x v="78"/>
    <n v="83.4"/>
    <n v="4551.6499999999996"/>
    <n v="233.8"/>
  </r>
  <r>
    <x v="29"/>
    <x v="78"/>
    <n v="83.4"/>
    <n v="4996.87"/>
    <n v="243.11"/>
  </r>
  <r>
    <x v="30"/>
    <x v="78"/>
    <n v="83.4"/>
    <n v="4768.05"/>
    <n v="226.21"/>
  </r>
  <r>
    <x v="31"/>
    <x v="78"/>
    <n v="83.4"/>
    <n v="4933.78"/>
    <n v="242.51"/>
  </r>
  <r>
    <x v="32"/>
    <x v="78"/>
    <n v="83.4"/>
    <n v="4428.54"/>
    <n v="228.18"/>
  </r>
  <r>
    <x v="33"/>
    <x v="78"/>
    <n v="83.4"/>
    <n v="4632.8500000000004"/>
    <n v="232.9"/>
  </r>
  <r>
    <x v="34"/>
    <x v="78"/>
    <n v="83.4"/>
    <n v="5449.16"/>
    <n v="241.04"/>
  </r>
  <r>
    <x v="35"/>
    <x v="78"/>
    <n v="83.4"/>
    <n v="4636.74"/>
    <n v="226.62"/>
  </r>
  <r>
    <x v="36"/>
    <x v="78"/>
    <n v="83.4"/>
    <n v="8109.3"/>
    <n v="423.25"/>
  </r>
  <r>
    <x v="37"/>
    <x v="78"/>
    <n v="83.4"/>
    <n v="4817.67"/>
    <n v="290.47000000000003"/>
  </r>
  <r>
    <x v="38"/>
    <x v="78"/>
    <n v="83.4"/>
    <n v="5917.44"/>
    <n v="348.96"/>
  </r>
  <r>
    <x v="39"/>
    <x v="78"/>
    <n v="83.4"/>
    <n v="5166.3999999999996"/>
    <n v="0"/>
  </r>
  <r>
    <x v="40"/>
    <x v="78"/>
    <n v="83.4"/>
    <n v="5515.35"/>
    <n v="0"/>
  </r>
  <r>
    <x v="41"/>
    <x v="78"/>
    <n v="83.4"/>
    <n v="5760"/>
    <n v="342.98"/>
  </r>
  <r>
    <x v="42"/>
    <x v="78"/>
    <n v="83.4"/>
    <n v="5806.82"/>
    <n v="0"/>
  </r>
  <r>
    <x v="43"/>
    <x v="78"/>
    <n v="83.4"/>
    <n v="5376.73"/>
    <n v="0"/>
  </r>
  <r>
    <x v="44"/>
    <x v="78"/>
    <n v="83.4"/>
    <n v="5224.5"/>
    <n v="0"/>
  </r>
  <r>
    <x v="45"/>
    <x v="78"/>
    <n v="83.4"/>
    <n v="5226.54"/>
    <n v="0"/>
  </r>
  <r>
    <x v="46"/>
    <x v="78"/>
    <n v="83.4"/>
    <n v="5563.87"/>
    <n v="0"/>
  </r>
  <r>
    <x v="47"/>
    <x v="78"/>
    <n v="83.4"/>
    <n v="5319.76"/>
    <n v="300.02"/>
  </r>
  <r>
    <x v="48"/>
    <x v="78"/>
    <n v="83.4"/>
    <n v="8157.1"/>
    <n v="471.69"/>
  </r>
  <r>
    <x v="49"/>
    <x v="78"/>
    <n v="83.4"/>
    <n v="5434.55"/>
    <n v="329.51"/>
  </r>
  <r>
    <x v="50"/>
    <x v="78"/>
    <n v="83.4"/>
    <n v="5545.29"/>
    <n v="309.88"/>
  </r>
  <r>
    <x v="51"/>
    <x v="78"/>
    <n v="83.4"/>
    <n v="5385.32"/>
    <n v="279.01"/>
  </r>
  <r>
    <x v="52"/>
    <x v="78"/>
    <n v="83.4"/>
    <n v="5036.43"/>
    <n v="275.41000000000003"/>
  </r>
  <r>
    <x v="53"/>
    <x v="78"/>
    <n v="83.4"/>
    <n v="5351.71"/>
    <n v="0"/>
  </r>
  <r>
    <x v="54"/>
    <x v="78"/>
    <n v="83.4"/>
    <n v="4597.75"/>
    <n v="0"/>
  </r>
  <r>
    <x v="55"/>
    <x v="78"/>
    <n v="83.4"/>
    <n v="5393.83"/>
    <n v="0"/>
  </r>
  <r>
    <x v="56"/>
    <x v="78"/>
    <n v="83.4"/>
    <n v="5224.53"/>
    <n v="0"/>
  </r>
  <r>
    <x v="57"/>
    <x v="78"/>
    <n v="83.4"/>
    <n v="5218.9799999999996"/>
    <n v="0"/>
  </r>
  <r>
    <x v="58"/>
    <x v="78"/>
    <n v="83.4"/>
    <n v="5992.33"/>
    <n v="0"/>
  </r>
  <r>
    <x v="59"/>
    <x v="78"/>
    <n v="83.4"/>
    <n v="5378.16"/>
    <n v="328.92"/>
  </r>
  <r>
    <x v="60"/>
    <x v="78"/>
    <n v="83.4"/>
    <n v="6386.6"/>
    <n v="399.42"/>
  </r>
  <r>
    <x v="61"/>
    <x v="78"/>
    <n v="83.4"/>
    <n v="4908.67"/>
    <n v="310.87"/>
  </r>
  <r>
    <x v="62"/>
    <x v="78"/>
    <n v="83.4"/>
    <n v="5661.44"/>
    <n v="348.44"/>
  </r>
  <r>
    <x v="63"/>
    <x v="78"/>
    <n v="83.4"/>
    <n v="5015.54"/>
    <n v="294.45999999999998"/>
  </r>
  <r>
    <x v="64"/>
    <x v="78"/>
    <n v="83.4"/>
    <n v="5415.62"/>
    <n v="0"/>
  </r>
  <r>
    <x v="65"/>
    <x v="78"/>
    <n v="83.4"/>
    <n v="5617.26"/>
    <n v="0"/>
  </r>
  <r>
    <x v="66"/>
    <x v="78"/>
    <n v="83.4"/>
    <n v="5306.93"/>
    <n v="0"/>
  </r>
  <r>
    <x v="67"/>
    <x v="78"/>
    <n v="83.4"/>
    <n v="5712.17"/>
    <n v="0"/>
  </r>
  <r>
    <x v="68"/>
    <x v="78"/>
    <n v="83.4"/>
    <n v="4511.54"/>
    <n v="0"/>
  </r>
  <r>
    <x v="69"/>
    <x v="78"/>
    <n v="83.4"/>
    <n v="5187.74"/>
    <n v="334.23"/>
  </r>
  <r>
    <x v="70"/>
    <x v="78"/>
    <n v="83.4"/>
    <n v="6225.07"/>
    <n v="349.4"/>
  </r>
  <r>
    <x v="71"/>
    <x v="78"/>
    <n v="83.4"/>
    <n v="5851.42"/>
    <n v="350.05"/>
  </r>
  <r>
    <x v="72"/>
    <x v="78"/>
    <n v="83.4"/>
    <n v="0"/>
    <n v="0"/>
  </r>
  <r>
    <x v="73"/>
    <x v="78"/>
    <n v="83.4"/>
    <n v="0"/>
    <n v="0"/>
  </r>
  <r>
    <x v="74"/>
    <x v="78"/>
    <n v="83.4"/>
    <n v="0"/>
    <n v="0"/>
  </r>
  <r>
    <x v="75"/>
    <x v="78"/>
    <n v="83.4"/>
    <n v="0"/>
    <n v="0"/>
  </r>
  <r>
    <x v="76"/>
    <x v="78"/>
    <n v="83.4"/>
    <n v="0"/>
    <n v="0"/>
  </r>
  <r>
    <x v="77"/>
    <x v="78"/>
    <n v="83.4"/>
    <n v="0"/>
    <n v="0"/>
  </r>
  <r>
    <x v="78"/>
    <x v="78"/>
    <n v="83.4"/>
    <n v="0"/>
    <n v="0"/>
  </r>
  <r>
    <x v="79"/>
    <x v="78"/>
    <n v="83.4"/>
    <n v="0"/>
    <n v="0"/>
  </r>
  <r>
    <x v="80"/>
    <x v="78"/>
    <n v="83.4"/>
    <n v="0"/>
    <n v="0"/>
  </r>
  <r>
    <x v="81"/>
    <x v="78"/>
    <n v="83.4"/>
    <n v="0"/>
    <n v="0"/>
  </r>
  <r>
    <x v="82"/>
    <x v="78"/>
    <n v="83.4"/>
    <n v="0"/>
    <n v="0"/>
  </r>
  <r>
    <x v="83"/>
    <x v="78"/>
    <n v="83.4"/>
    <n v="0"/>
    <n v="0"/>
  </r>
  <r>
    <x v="84"/>
    <x v="78"/>
    <n v="83.4"/>
    <n v="0"/>
    <n v="0"/>
  </r>
  <r>
    <x v="85"/>
    <x v="78"/>
    <n v="83.4"/>
    <n v="0"/>
    <n v="0"/>
  </r>
  <r>
    <x v="86"/>
    <x v="78"/>
    <n v="83.4"/>
    <n v="0"/>
    <n v="0"/>
  </r>
  <r>
    <x v="87"/>
    <x v="78"/>
    <n v="83.4"/>
    <n v="0"/>
    <n v="0"/>
  </r>
  <r>
    <x v="88"/>
    <x v="78"/>
    <n v="83.4"/>
    <n v="0"/>
    <n v="0"/>
  </r>
  <r>
    <x v="89"/>
    <x v="78"/>
    <n v="83.4"/>
    <n v="0"/>
    <n v="0"/>
  </r>
  <r>
    <x v="90"/>
    <x v="78"/>
    <n v="83.4"/>
    <n v="0"/>
    <n v="0"/>
  </r>
  <r>
    <x v="91"/>
    <x v="78"/>
    <n v="83.4"/>
    <n v="0"/>
    <n v="0"/>
  </r>
  <r>
    <x v="92"/>
    <x v="78"/>
    <n v="83.4"/>
    <n v="0"/>
    <n v="0"/>
  </r>
  <r>
    <x v="93"/>
    <x v="78"/>
    <n v="83.4"/>
    <n v="0"/>
    <n v="0"/>
  </r>
  <r>
    <x v="94"/>
    <x v="78"/>
    <n v="83.4"/>
    <n v="0"/>
    <n v="0"/>
  </r>
  <r>
    <x v="95"/>
    <x v="78"/>
    <n v="83.4"/>
    <n v="0"/>
    <n v="0"/>
  </r>
  <r>
    <x v="0"/>
    <x v="79"/>
    <n v="83.7"/>
    <n v="5232.63"/>
    <n v="237.38"/>
  </r>
  <r>
    <x v="1"/>
    <x v="79"/>
    <n v="83.7"/>
    <n v="4016.3"/>
    <n v="184.17"/>
  </r>
  <r>
    <x v="2"/>
    <x v="79"/>
    <n v="83.7"/>
    <n v="3908.14"/>
    <n v="182.63"/>
  </r>
  <r>
    <x v="3"/>
    <x v="79"/>
    <n v="83.7"/>
    <n v="3942.78"/>
    <n v="185.7"/>
  </r>
  <r>
    <x v="4"/>
    <x v="79"/>
    <n v="83.7"/>
    <n v="3761.12"/>
    <n v="186"/>
  </r>
  <r>
    <x v="5"/>
    <x v="79"/>
    <n v="83.7"/>
    <n v="3976.54"/>
    <n v="190.7"/>
  </r>
  <r>
    <x v="6"/>
    <x v="79"/>
    <n v="83.7"/>
    <n v="3720.55"/>
    <n v="174.97"/>
  </r>
  <r>
    <x v="7"/>
    <x v="79"/>
    <n v="83.7"/>
    <n v="3868.96"/>
    <n v="193.8"/>
  </r>
  <r>
    <x v="8"/>
    <x v="79"/>
    <n v="83.7"/>
    <n v="3816.38"/>
    <n v="193.08"/>
  </r>
  <r>
    <x v="9"/>
    <x v="79"/>
    <n v="83.7"/>
    <n v="3704.94"/>
    <n v="187.26"/>
  </r>
  <r>
    <x v="10"/>
    <x v="79"/>
    <n v="83.7"/>
    <n v="3866.06"/>
    <n v="182.8"/>
  </r>
  <r>
    <x v="11"/>
    <x v="79"/>
    <n v="83.7"/>
    <n v="-921.2"/>
    <n v="-1172.93"/>
  </r>
  <r>
    <x v="12"/>
    <x v="79"/>
    <n v="83.7"/>
    <n v="84.18"/>
    <n v="97.79"/>
  </r>
  <r>
    <x v="13"/>
    <x v="79"/>
    <n v="83.7"/>
    <n v="82.24"/>
    <n v="88.55"/>
  </r>
  <r>
    <x v="14"/>
    <x v="79"/>
    <n v="83.7"/>
    <n v="86.57"/>
    <n v="95.2"/>
  </r>
  <r>
    <x v="15"/>
    <x v="79"/>
    <n v="83.7"/>
    <n v="75.89"/>
    <n v="91.52"/>
  </r>
  <r>
    <x v="16"/>
    <x v="79"/>
    <n v="83.7"/>
    <n v="76.239999999999995"/>
    <n v="92.07"/>
  </r>
  <r>
    <x v="17"/>
    <x v="79"/>
    <n v="83.7"/>
    <n v="73.98"/>
    <n v="90.47"/>
  </r>
  <r>
    <x v="18"/>
    <x v="79"/>
    <n v="83.7"/>
    <n v="68.67"/>
    <n v="81.91"/>
  </r>
  <r>
    <x v="19"/>
    <x v="79"/>
    <n v="83.7"/>
    <n v="71.48"/>
    <n v="88.6"/>
  </r>
  <r>
    <x v="20"/>
    <x v="79"/>
    <n v="83.7"/>
    <n v="73.3"/>
    <n v="91.42"/>
  </r>
  <r>
    <x v="21"/>
    <x v="79"/>
    <n v="83.7"/>
    <n v="68.81"/>
    <n v="88.91"/>
  </r>
  <r>
    <x v="22"/>
    <x v="79"/>
    <n v="83.7"/>
    <n v="61.15"/>
    <n v="87.16"/>
  </r>
  <r>
    <x v="23"/>
    <x v="79"/>
    <n v="83.7"/>
    <n v="59.23"/>
    <n v="84.02"/>
  </r>
  <r>
    <x v="24"/>
    <x v="79"/>
    <n v="83.7"/>
    <n v="7762.78"/>
    <n v="321.14999999999998"/>
  </r>
  <r>
    <x v="25"/>
    <x v="79"/>
    <n v="83.7"/>
    <n v="5138.2700000000004"/>
    <n v="230.77"/>
  </r>
  <r>
    <x v="26"/>
    <x v="79"/>
    <n v="83.7"/>
    <n v="4919.21"/>
    <n v="230"/>
  </r>
  <r>
    <x v="27"/>
    <x v="79"/>
    <n v="83.7"/>
    <n v="5304.93"/>
    <n v="250.47"/>
  </r>
  <r>
    <x v="28"/>
    <x v="79"/>
    <n v="83.7"/>
    <n v="4785.42"/>
    <n v="231.92"/>
  </r>
  <r>
    <x v="29"/>
    <x v="79"/>
    <n v="83.7"/>
    <n v="5245.22"/>
    <n v="241"/>
  </r>
  <r>
    <x v="30"/>
    <x v="79"/>
    <n v="83.7"/>
    <n v="4954.04"/>
    <n v="224.83"/>
  </r>
  <r>
    <x v="31"/>
    <x v="79"/>
    <n v="83.7"/>
    <n v="5135.55"/>
    <n v="240.78"/>
  </r>
  <r>
    <x v="32"/>
    <x v="79"/>
    <n v="83.7"/>
    <n v="4734.33"/>
    <n v="227.05"/>
  </r>
  <r>
    <x v="33"/>
    <x v="79"/>
    <n v="83.7"/>
    <n v="4941.67"/>
    <n v="230.92"/>
  </r>
  <r>
    <x v="34"/>
    <x v="79"/>
    <n v="83.7"/>
    <n v="5636.04"/>
    <n v="240.04"/>
  </r>
  <r>
    <x v="35"/>
    <x v="79"/>
    <n v="83.7"/>
    <n v="4856.8999999999996"/>
    <n v="223.87"/>
  </r>
  <r>
    <x v="36"/>
    <x v="79"/>
    <n v="83.7"/>
    <n v="10121.469999999999"/>
    <n v="421.62"/>
  </r>
  <r>
    <x v="37"/>
    <x v="79"/>
    <n v="83.7"/>
    <n v="6031.41"/>
    <n v="288.83999999999997"/>
  </r>
  <r>
    <x v="38"/>
    <x v="79"/>
    <n v="83.7"/>
    <n v="7344.35"/>
    <n v="347.32"/>
  </r>
  <r>
    <x v="39"/>
    <x v="79"/>
    <n v="83.7"/>
    <n v="6393.91"/>
    <n v="0"/>
  </r>
  <r>
    <x v="40"/>
    <x v="79"/>
    <n v="83.7"/>
    <n v="6913.54"/>
    <n v="0"/>
  </r>
  <r>
    <x v="41"/>
    <x v="79"/>
    <n v="83.7"/>
    <n v="7208.06"/>
    <n v="340.39"/>
  </r>
  <r>
    <x v="42"/>
    <x v="79"/>
    <n v="83.7"/>
    <n v="7212.28"/>
    <n v="0"/>
  </r>
  <r>
    <x v="43"/>
    <x v="79"/>
    <n v="83.7"/>
    <n v="6682.38"/>
    <n v="0"/>
  </r>
  <r>
    <x v="44"/>
    <x v="79"/>
    <n v="83.7"/>
    <n v="6606"/>
    <n v="0"/>
  </r>
  <r>
    <x v="45"/>
    <x v="79"/>
    <n v="83.7"/>
    <n v="6611.78"/>
    <n v="0"/>
  </r>
  <r>
    <x v="46"/>
    <x v="79"/>
    <n v="83.7"/>
    <n v="6804.7"/>
    <n v="0"/>
  </r>
  <r>
    <x v="47"/>
    <x v="79"/>
    <n v="83.7"/>
    <n v="6618.49"/>
    <n v="297.48"/>
  </r>
  <r>
    <x v="48"/>
    <x v="79"/>
    <n v="83.7"/>
    <n v="10324.1"/>
    <n v="468.43"/>
  </r>
  <r>
    <x v="49"/>
    <x v="79"/>
    <n v="83.7"/>
    <n v="6891.87"/>
    <n v="328.7"/>
  </r>
  <r>
    <x v="50"/>
    <x v="79"/>
    <n v="83.7"/>
    <n v="6921.63"/>
    <n v="310.57"/>
  </r>
  <r>
    <x v="51"/>
    <x v="79"/>
    <n v="83.7"/>
    <n v="6746.55"/>
    <n v="275.08"/>
  </r>
  <r>
    <x v="52"/>
    <x v="79"/>
    <n v="83.7"/>
    <n v="6362.84"/>
    <n v="271.08999999999997"/>
  </r>
  <r>
    <x v="53"/>
    <x v="79"/>
    <n v="83.7"/>
    <n v="6811.85"/>
    <n v="0"/>
  </r>
  <r>
    <x v="54"/>
    <x v="79"/>
    <n v="83.7"/>
    <n v="5747.82"/>
    <n v="0"/>
  </r>
  <r>
    <x v="55"/>
    <x v="79"/>
    <n v="83.7"/>
    <n v="6825.05"/>
    <n v="0"/>
  </r>
  <r>
    <x v="56"/>
    <x v="79"/>
    <n v="83.7"/>
    <n v="6620.26"/>
    <n v="0"/>
  </r>
  <r>
    <x v="57"/>
    <x v="79"/>
    <n v="83.7"/>
    <n v="6638.39"/>
    <n v="0"/>
  </r>
  <r>
    <x v="58"/>
    <x v="79"/>
    <n v="83.7"/>
    <n v="7317.98"/>
    <n v="0"/>
  </r>
  <r>
    <x v="59"/>
    <x v="79"/>
    <n v="83.7"/>
    <n v="6758.73"/>
    <n v="328.05"/>
  </r>
  <r>
    <x v="60"/>
    <x v="79"/>
    <n v="83.7"/>
    <n v="8165.23"/>
    <n v="397.03"/>
  </r>
  <r>
    <x v="61"/>
    <x v="79"/>
    <n v="83.7"/>
    <n v="6284.04"/>
    <n v="309.94"/>
  </r>
  <r>
    <x v="62"/>
    <x v="79"/>
    <n v="83.7"/>
    <n v="7131.47"/>
    <n v="346.71"/>
  </r>
  <r>
    <x v="63"/>
    <x v="79"/>
    <n v="83.7"/>
    <n v="6333.21"/>
    <n v="295.47000000000003"/>
  </r>
  <r>
    <x v="64"/>
    <x v="79"/>
    <n v="83.7"/>
    <n v="6856.39"/>
    <n v="0"/>
  </r>
  <r>
    <x v="65"/>
    <x v="79"/>
    <n v="83.7"/>
    <n v="7218.23"/>
    <n v="0"/>
  </r>
  <r>
    <x v="66"/>
    <x v="79"/>
    <n v="83.7"/>
    <n v="6672.04"/>
    <n v="0"/>
  </r>
  <r>
    <x v="67"/>
    <x v="79"/>
    <n v="83.7"/>
    <n v="7152.67"/>
    <n v="0"/>
  </r>
  <r>
    <x v="68"/>
    <x v="79"/>
    <n v="83.7"/>
    <n v="5731.91"/>
    <n v="0"/>
  </r>
  <r>
    <x v="69"/>
    <x v="79"/>
    <n v="83.7"/>
    <n v="6645.72"/>
    <n v="331.49"/>
  </r>
  <r>
    <x v="70"/>
    <x v="79"/>
    <n v="83.7"/>
    <n v="7767.11"/>
    <n v="348.3"/>
  </r>
  <r>
    <x v="71"/>
    <x v="79"/>
    <n v="83.7"/>
    <n v="7369.64"/>
    <n v="347.25"/>
  </r>
  <r>
    <x v="72"/>
    <x v="79"/>
    <n v="83.7"/>
    <n v="0"/>
    <n v="0"/>
  </r>
  <r>
    <x v="73"/>
    <x v="79"/>
    <n v="83.7"/>
    <n v="0"/>
    <n v="0"/>
  </r>
  <r>
    <x v="74"/>
    <x v="79"/>
    <n v="83.7"/>
    <n v="0"/>
    <n v="0"/>
  </r>
  <r>
    <x v="75"/>
    <x v="79"/>
    <n v="83.7"/>
    <n v="0"/>
    <n v="0"/>
  </r>
  <r>
    <x v="76"/>
    <x v="79"/>
    <n v="83.7"/>
    <n v="0"/>
    <n v="0"/>
  </r>
  <r>
    <x v="77"/>
    <x v="79"/>
    <n v="83.7"/>
    <n v="0"/>
    <n v="0"/>
  </r>
  <r>
    <x v="78"/>
    <x v="79"/>
    <n v="83.7"/>
    <n v="0"/>
    <n v="0"/>
  </r>
  <r>
    <x v="79"/>
    <x v="79"/>
    <n v="83.7"/>
    <n v="0"/>
    <n v="0"/>
  </r>
  <r>
    <x v="80"/>
    <x v="79"/>
    <n v="83.7"/>
    <n v="0"/>
    <n v="0"/>
  </r>
  <r>
    <x v="81"/>
    <x v="79"/>
    <n v="83.7"/>
    <n v="0"/>
    <n v="0"/>
  </r>
  <r>
    <x v="82"/>
    <x v="79"/>
    <n v="83.7"/>
    <n v="0"/>
    <n v="0"/>
  </r>
  <r>
    <x v="83"/>
    <x v="79"/>
    <n v="83.7"/>
    <n v="0"/>
    <n v="0"/>
  </r>
  <r>
    <x v="84"/>
    <x v="79"/>
    <n v="83.7"/>
    <n v="0"/>
    <n v="0"/>
  </r>
  <r>
    <x v="85"/>
    <x v="79"/>
    <n v="83.7"/>
    <n v="0"/>
    <n v="0"/>
  </r>
  <r>
    <x v="86"/>
    <x v="79"/>
    <n v="83.7"/>
    <n v="0"/>
    <n v="0"/>
  </r>
  <r>
    <x v="87"/>
    <x v="79"/>
    <n v="83.7"/>
    <n v="0"/>
    <n v="0"/>
  </r>
  <r>
    <x v="88"/>
    <x v="79"/>
    <n v="83.7"/>
    <n v="0"/>
    <n v="0"/>
  </r>
  <r>
    <x v="89"/>
    <x v="79"/>
    <n v="83.7"/>
    <n v="0"/>
    <n v="0"/>
  </r>
  <r>
    <x v="90"/>
    <x v="79"/>
    <n v="83.7"/>
    <n v="0"/>
    <n v="0"/>
  </r>
  <r>
    <x v="91"/>
    <x v="79"/>
    <n v="83.7"/>
    <n v="0"/>
    <n v="0"/>
  </r>
  <r>
    <x v="92"/>
    <x v="79"/>
    <n v="83.7"/>
    <n v="0"/>
    <n v="0"/>
  </r>
  <r>
    <x v="93"/>
    <x v="79"/>
    <n v="83.7"/>
    <n v="0"/>
    <n v="0"/>
  </r>
  <r>
    <x v="94"/>
    <x v="79"/>
    <n v="83.7"/>
    <n v="0"/>
    <n v="0"/>
  </r>
  <r>
    <x v="95"/>
    <x v="79"/>
    <n v="83.7"/>
    <n v="0"/>
    <n v="0"/>
  </r>
  <r>
    <x v="0"/>
    <x v="80"/>
    <n v="84"/>
    <n v="5259.67"/>
    <n v="234.91"/>
  </r>
  <r>
    <x v="1"/>
    <x v="80"/>
    <n v="84"/>
    <n v="3977.66"/>
    <n v="182.76"/>
  </r>
  <r>
    <x v="2"/>
    <x v="80"/>
    <n v="84"/>
    <n v="3812.2"/>
    <n v="181.02"/>
  </r>
  <r>
    <x v="3"/>
    <x v="80"/>
    <n v="84"/>
    <n v="3814.94"/>
    <n v="183.87"/>
  </r>
  <r>
    <x v="4"/>
    <x v="80"/>
    <n v="84"/>
    <n v="3717.1"/>
    <n v="184.13"/>
  </r>
  <r>
    <x v="5"/>
    <x v="80"/>
    <n v="84"/>
    <n v="3941.27"/>
    <n v="188.63"/>
  </r>
  <r>
    <x v="6"/>
    <x v="80"/>
    <n v="84"/>
    <n v="3677.04"/>
    <n v="172.72"/>
  </r>
  <r>
    <x v="7"/>
    <x v="80"/>
    <n v="84"/>
    <n v="3841.99"/>
    <n v="191.75"/>
  </r>
  <r>
    <x v="8"/>
    <x v="80"/>
    <n v="84"/>
    <n v="3889.56"/>
    <n v="190.54"/>
  </r>
  <r>
    <x v="9"/>
    <x v="80"/>
    <n v="84"/>
    <n v="3782.1"/>
    <n v="184.95"/>
  </r>
  <r>
    <x v="10"/>
    <x v="80"/>
    <n v="84"/>
    <n v="3846.64"/>
    <n v="180.44"/>
  </r>
  <r>
    <x v="11"/>
    <x v="80"/>
    <n v="84"/>
    <n v="-896.01"/>
    <n v="-1108.22"/>
  </r>
  <r>
    <x v="12"/>
    <x v="80"/>
    <n v="84"/>
    <n v="79.290000000000006"/>
    <n v="98.76"/>
  </r>
  <r>
    <x v="13"/>
    <x v="80"/>
    <n v="84"/>
    <n v="78.42"/>
    <n v="88.42"/>
  </r>
  <r>
    <x v="14"/>
    <x v="80"/>
    <n v="84"/>
    <n v="82.45"/>
    <n v="94.88"/>
  </r>
  <r>
    <x v="15"/>
    <x v="80"/>
    <n v="84"/>
    <n v="71.989999999999995"/>
    <n v="91.67"/>
  </r>
  <r>
    <x v="16"/>
    <x v="80"/>
    <n v="84"/>
    <n v="72.3"/>
    <n v="92.09"/>
  </r>
  <r>
    <x v="17"/>
    <x v="80"/>
    <n v="84"/>
    <n v="70.06"/>
    <n v="90.24"/>
  </r>
  <r>
    <x v="18"/>
    <x v="80"/>
    <n v="84"/>
    <n v="64.989999999999995"/>
    <n v="81.87"/>
  </r>
  <r>
    <x v="19"/>
    <x v="80"/>
    <n v="84"/>
    <n v="67.739999999999995"/>
    <n v="88.42"/>
  </r>
  <r>
    <x v="20"/>
    <x v="80"/>
    <n v="84"/>
    <n v="69.39"/>
    <n v="91.76"/>
  </r>
  <r>
    <x v="21"/>
    <x v="80"/>
    <n v="84"/>
    <n v="65.02"/>
    <n v="88.61"/>
  </r>
  <r>
    <x v="22"/>
    <x v="80"/>
    <n v="84"/>
    <n v="57.67"/>
    <n v="87.45"/>
  </r>
  <r>
    <x v="23"/>
    <x v="80"/>
    <n v="84"/>
    <n v="55.26"/>
    <n v="83.95"/>
  </r>
  <r>
    <x v="24"/>
    <x v="80"/>
    <n v="84"/>
    <n v="7549.71"/>
    <n v="317.13"/>
  </r>
  <r>
    <x v="25"/>
    <x v="80"/>
    <n v="84"/>
    <n v="4906.92"/>
    <n v="228.88"/>
  </r>
  <r>
    <x v="26"/>
    <x v="80"/>
    <n v="84"/>
    <n v="4636.72"/>
    <n v="227.47"/>
  </r>
  <r>
    <x v="27"/>
    <x v="80"/>
    <n v="84"/>
    <n v="4997.4399999999996"/>
    <n v="247.69"/>
  </r>
  <r>
    <x v="28"/>
    <x v="80"/>
    <n v="84"/>
    <n v="4614.21"/>
    <n v="229.71"/>
  </r>
  <r>
    <x v="29"/>
    <x v="80"/>
    <n v="84"/>
    <n v="5050.09"/>
    <n v="238.91"/>
  </r>
  <r>
    <x v="30"/>
    <x v="80"/>
    <n v="84"/>
    <n v="4713.43"/>
    <n v="223.41"/>
  </r>
  <r>
    <x v="31"/>
    <x v="80"/>
    <n v="84"/>
    <n v="4890.51"/>
    <n v="239.04"/>
  </r>
  <r>
    <x v="32"/>
    <x v="80"/>
    <n v="84"/>
    <n v="4671.93"/>
    <n v="225.87"/>
  </r>
  <r>
    <x v="33"/>
    <x v="80"/>
    <n v="84"/>
    <n v="4873.25"/>
    <n v="228.97"/>
  </r>
  <r>
    <x v="34"/>
    <x v="80"/>
    <n v="84"/>
    <n v="5318.6"/>
    <n v="238.99"/>
  </r>
  <r>
    <x v="35"/>
    <x v="80"/>
    <n v="84"/>
    <n v="4661.01"/>
    <n v="221.09"/>
  </r>
  <r>
    <x v="36"/>
    <x v="80"/>
    <n v="84"/>
    <n v="11820.19"/>
    <n v="419.09"/>
  </r>
  <r>
    <x v="37"/>
    <x v="80"/>
    <n v="84"/>
    <n v="7035.93"/>
    <n v="286.69"/>
  </r>
  <r>
    <x v="38"/>
    <x v="80"/>
    <n v="84"/>
    <n v="8451.32"/>
    <n v="345.03"/>
  </r>
  <r>
    <x v="39"/>
    <x v="80"/>
    <n v="84"/>
    <n v="7346.68"/>
    <n v="0"/>
  </r>
  <r>
    <x v="40"/>
    <x v="80"/>
    <n v="84"/>
    <n v="8112.83"/>
    <n v="0"/>
  </r>
  <r>
    <x v="41"/>
    <x v="80"/>
    <n v="84"/>
    <n v="8439.0400000000009"/>
    <n v="337.16"/>
  </r>
  <r>
    <x v="42"/>
    <x v="80"/>
    <n v="84"/>
    <n v="8331.19"/>
    <n v="0"/>
  </r>
  <r>
    <x v="43"/>
    <x v="80"/>
    <n v="84"/>
    <n v="7710.54"/>
    <n v="0"/>
  </r>
  <r>
    <x v="44"/>
    <x v="80"/>
    <n v="84"/>
    <n v="7837.02"/>
    <n v="0"/>
  </r>
  <r>
    <x v="45"/>
    <x v="80"/>
    <n v="84"/>
    <n v="7865.61"/>
    <n v="0"/>
  </r>
  <r>
    <x v="46"/>
    <x v="80"/>
    <n v="84"/>
    <n v="7666.45"/>
    <n v="0"/>
  </r>
  <r>
    <x v="47"/>
    <x v="80"/>
    <n v="84"/>
    <n v="7632.8"/>
    <n v="294.75"/>
  </r>
  <r>
    <x v="48"/>
    <x v="80"/>
    <n v="84"/>
    <n v="12362.46"/>
    <n v="463.66"/>
  </r>
  <r>
    <x v="49"/>
    <x v="80"/>
    <n v="84"/>
    <n v="8217.26"/>
    <n v="327.24"/>
  </r>
  <r>
    <x v="50"/>
    <x v="80"/>
    <n v="84"/>
    <n v="8078.07"/>
    <n v="310.73"/>
  </r>
  <r>
    <x v="51"/>
    <x v="80"/>
    <n v="84"/>
    <n v="7938.23"/>
    <n v="272.70999999999998"/>
  </r>
  <r>
    <x v="52"/>
    <x v="80"/>
    <n v="84"/>
    <n v="7571.72"/>
    <n v="268.44"/>
  </r>
  <r>
    <x v="53"/>
    <x v="80"/>
    <n v="84"/>
    <n v="8125.89"/>
    <n v="0"/>
  </r>
  <r>
    <x v="54"/>
    <x v="80"/>
    <n v="84"/>
    <n v="6714.96"/>
    <n v="0"/>
  </r>
  <r>
    <x v="55"/>
    <x v="80"/>
    <n v="84"/>
    <n v="7987.96"/>
    <n v="0"/>
  </r>
  <r>
    <x v="56"/>
    <x v="80"/>
    <n v="84"/>
    <n v="7937.89"/>
    <n v="0"/>
  </r>
  <r>
    <x v="57"/>
    <x v="80"/>
    <n v="84"/>
    <n v="8019.19"/>
    <n v="0"/>
  </r>
  <r>
    <x v="58"/>
    <x v="80"/>
    <n v="84"/>
    <n v="8207.1299999999992"/>
    <n v="0"/>
  </r>
  <r>
    <x v="59"/>
    <x v="80"/>
    <n v="84"/>
    <n v="7960.61"/>
    <n v="326.32"/>
  </r>
  <r>
    <x v="60"/>
    <x v="80"/>
    <n v="84"/>
    <n v="9956.5"/>
    <n v="393.61"/>
  </r>
  <r>
    <x v="61"/>
    <x v="80"/>
    <n v="84"/>
    <n v="7638.03"/>
    <n v="308.29000000000002"/>
  </r>
  <r>
    <x v="62"/>
    <x v="80"/>
    <n v="84"/>
    <n v="8444.01"/>
    <n v="344.84"/>
  </r>
  <r>
    <x v="63"/>
    <x v="80"/>
    <n v="84"/>
    <n v="7508.44"/>
    <n v="295.88"/>
  </r>
  <r>
    <x v="64"/>
    <x v="80"/>
    <n v="84"/>
    <n v="8201.64"/>
    <n v="0"/>
  </r>
  <r>
    <x v="65"/>
    <x v="80"/>
    <n v="84"/>
    <n v="8732.89"/>
    <n v="0"/>
  </r>
  <r>
    <x v="66"/>
    <x v="80"/>
    <n v="84"/>
    <n v="7863.77"/>
    <n v="0"/>
  </r>
  <r>
    <x v="67"/>
    <x v="80"/>
    <n v="84"/>
    <n v="8388.5300000000007"/>
    <n v="0"/>
  </r>
  <r>
    <x v="68"/>
    <x v="80"/>
    <n v="84"/>
    <n v="6914.08"/>
    <n v="0"/>
  </r>
  <r>
    <x v="69"/>
    <x v="80"/>
    <n v="84"/>
    <n v="8096.38"/>
    <n v="327.42"/>
  </r>
  <r>
    <x v="70"/>
    <x v="80"/>
    <n v="84"/>
    <n v="9027.2099999999991"/>
    <n v="346.69"/>
  </r>
  <r>
    <x v="71"/>
    <x v="80"/>
    <n v="84"/>
    <n v="8689.2199999999993"/>
    <n v="344.33"/>
  </r>
  <r>
    <x v="72"/>
    <x v="80"/>
    <n v="84"/>
    <n v="0"/>
    <n v="0"/>
  </r>
  <r>
    <x v="73"/>
    <x v="80"/>
    <n v="84"/>
    <n v="0"/>
    <n v="0"/>
  </r>
  <r>
    <x v="74"/>
    <x v="80"/>
    <n v="84"/>
    <n v="0"/>
    <n v="0"/>
  </r>
  <r>
    <x v="75"/>
    <x v="80"/>
    <n v="84"/>
    <n v="0"/>
    <n v="0"/>
  </r>
  <r>
    <x v="76"/>
    <x v="80"/>
    <n v="84"/>
    <n v="0"/>
    <n v="0"/>
  </r>
  <r>
    <x v="77"/>
    <x v="80"/>
    <n v="84"/>
    <n v="0"/>
    <n v="0"/>
  </r>
  <r>
    <x v="78"/>
    <x v="80"/>
    <n v="84"/>
    <n v="0"/>
    <n v="0"/>
  </r>
  <r>
    <x v="79"/>
    <x v="80"/>
    <n v="84"/>
    <n v="0"/>
    <n v="0"/>
  </r>
  <r>
    <x v="80"/>
    <x v="80"/>
    <n v="84"/>
    <n v="0"/>
    <n v="0"/>
  </r>
  <r>
    <x v="81"/>
    <x v="80"/>
    <n v="84"/>
    <n v="0"/>
    <n v="0"/>
  </r>
  <r>
    <x v="82"/>
    <x v="80"/>
    <n v="84"/>
    <n v="0"/>
    <n v="0"/>
  </r>
  <r>
    <x v="83"/>
    <x v="80"/>
    <n v="84"/>
    <n v="0"/>
    <n v="0"/>
  </r>
  <r>
    <x v="84"/>
    <x v="80"/>
    <n v="84"/>
    <n v="0"/>
    <n v="0"/>
  </r>
  <r>
    <x v="85"/>
    <x v="80"/>
    <n v="84"/>
    <n v="0"/>
    <n v="0"/>
  </r>
  <r>
    <x v="86"/>
    <x v="80"/>
    <n v="84"/>
    <n v="0"/>
    <n v="0"/>
  </r>
  <r>
    <x v="87"/>
    <x v="80"/>
    <n v="84"/>
    <n v="0"/>
    <n v="0"/>
  </r>
  <r>
    <x v="88"/>
    <x v="80"/>
    <n v="84"/>
    <n v="0"/>
    <n v="0"/>
  </r>
  <r>
    <x v="89"/>
    <x v="80"/>
    <n v="84"/>
    <n v="0"/>
    <n v="0"/>
  </r>
  <r>
    <x v="90"/>
    <x v="80"/>
    <n v="84"/>
    <n v="0"/>
    <n v="0"/>
  </r>
  <r>
    <x v="91"/>
    <x v="80"/>
    <n v="84"/>
    <n v="0"/>
    <n v="0"/>
  </r>
  <r>
    <x v="92"/>
    <x v="80"/>
    <n v="84"/>
    <n v="0"/>
    <n v="0"/>
  </r>
  <r>
    <x v="93"/>
    <x v="80"/>
    <n v="84"/>
    <n v="0"/>
    <n v="0"/>
  </r>
  <r>
    <x v="94"/>
    <x v="80"/>
    <n v="84"/>
    <n v="0"/>
    <n v="0"/>
  </r>
  <r>
    <x v="95"/>
    <x v="80"/>
    <n v="84"/>
    <n v="0"/>
    <n v="0"/>
  </r>
  <r>
    <x v="0"/>
    <x v="81"/>
    <n v="84.3"/>
    <n v="4775.5200000000004"/>
    <n v="232.62"/>
  </r>
  <r>
    <x v="1"/>
    <x v="81"/>
    <n v="84.3"/>
    <n v="3552.2"/>
    <n v="181.47"/>
  </r>
  <r>
    <x v="2"/>
    <x v="81"/>
    <n v="84.3"/>
    <n v="3345.36"/>
    <n v="179.59"/>
  </r>
  <r>
    <x v="3"/>
    <x v="81"/>
    <n v="84.3"/>
    <n v="3315.02"/>
    <n v="182.16"/>
  </r>
  <r>
    <x v="4"/>
    <x v="81"/>
    <n v="84.3"/>
    <n v="3313.81"/>
    <n v="182.37"/>
  </r>
  <r>
    <x v="5"/>
    <x v="81"/>
    <n v="84.3"/>
    <n v="3526.6"/>
    <n v="186.69"/>
  </r>
  <r>
    <x v="6"/>
    <x v="81"/>
    <n v="84.3"/>
    <n v="3282.9"/>
    <n v="170.59"/>
  </r>
  <r>
    <x v="7"/>
    <x v="81"/>
    <n v="84.3"/>
    <n v="3444.12"/>
    <n v="189.8"/>
  </r>
  <r>
    <x v="8"/>
    <x v="81"/>
    <n v="84.3"/>
    <n v="3603.96"/>
    <n v="188.02"/>
  </r>
  <r>
    <x v="9"/>
    <x v="81"/>
    <n v="84.3"/>
    <n v="3511.33"/>
    <n v="182.66"/>
  </r>
  <r>
    <x v="10"/>
    <x v="81"/>
    <n v="84.3"/>
    <n v="3458.22"/>
    <n v="178.22"/>
  </r>
  <r>
    <x v="11"/>
    <x v="81"/>
    <n v="84.3"/>
    <n v="-870.38"/>
    <n v="-1043.3399999999999"/>
  </r>
  <r>
    <x v="12"/>
    <x v="81"/>
    <n v="84.3"/>
    <n v="74.8"/>
    <n v="99.58"/>
  </r>
  <r>
    <x v="13"/>
    <x v="81"/>
    <n v="84.3"/>
    <n v="74.790000000000006"/>
    <n v="88.46"/>
  </r>
  <r>
    <x v="14"/>
    <x v="81"/>
    <n v="84.3"/>
    <n v="78.52"/>
    <n v="94.59"/>
  </r>
  <r>
    <x v="15"/>
    <x v="81"/>
    <n v="84.3"/>
    <n v="68.31"/>
    <n v="91.82"/>
  </r>
  <r>
    <x v="16"/>
    <x v="81"/>
    <n v="84.3"/>
    <n v="68.569999999999993"/>
    <n v="92.31"/>
  </r>
  <r>
    <x v="17"/>
    <x v="81"/>
    <n v="84.3"/>
    <n v="66.39"/>
    <n v="89.97"/>
  </r>
  <r>
    <x v="18"/>
    <x v="81"/>
    <n v="84.3"/>
    <n v="61.53"/>
    <n v="81.83"/>
  </r>
  <r>
    <x v="19"/>
    <x v="81"/>
    <n v="84.3"/>
    <n v="64.209999999999994"/>
    <n v="88.39"/>
  </r>
  <r>
    <x v="20"/>
    <x v="81"/>
    <n v="84.3"/>
    <n v="65.72"/>
    <n v="91.98"/>
  </r>
  <r>
    <x v="21"/>
    <x v="81"/>
    <n v="84.3"/>
    <n v="61.49"/>
    <n v="88.52"/>
  </r>
  <r>
    <x v="22"/>
    <x v="81"/>
    <n v="84.3"/>
    <n v="54.46"/>
    <n v="87.59"/>
  </r>
  <r>
    <x v="23"/>
    <x v="81"/>
    <n v="84.3"/>
    <n v="51.54"/>
    <n v="83.84"/>
  </r>
  <r>
    <x v="24"/>
    <x v="81"/>
    <n v="84.3"/>
    <n v="6616.57"/>
    <n v="313.11"/>
  </r>
  <r>
    <x v="25"/>
    <x v="81"/>
    <n v="84.3"/>
    <n v="4209.88"/>
    <n v="227.03"/>
  </r>
  <r>
    <x v="26"/>
    <x v="81"/>
    <n v="84.3"/>
    <n v="3918.55"/>
    <n v="224.71"/>
  </r>
  <r>
    <x v="27"/>
    <x v="81"/>
    <n v="84.3"/>
    <n v="4222.57"/>
    <n v="244.78"/>
  </r>
  <r>
    <x v="28"/>
    <x v="81"/>
    <n v="84.3"/>
    <n v="4003.6"/>
    <n v="227.4"/>
  </r>
  <r>
    <x v="29"/>
    <x v="81"/>
    <n v="84.3"/>
    <n v="4376.12"/>
    <n v="236.86"/>
  </r>
  <r>
    <x v="30"/>
    <x v="81"/>
    <n v="84.3"/>
    <n v="4030.74"/>
    <n v="221.97"/>
  </r>
  <r>
    <x v="31"/>
    <x v="81"/>
    <n v="84.3"/>
    <n v="4183.05"/>
    <n v="237.3"/>
  </r>
  <r>
    <x v="32"/>
    <x v="81"/>
    <n v="84.3"/>
    <n v="4170.7700000000004"/>
    <n v="224.66"/>
  </r>
  <r>
    <x v="33"/>
    <x v="81"/>
    <n v="84.3"/>
    <n v="4353.95"/>
    <n v="227.05"/>
  </r>
  <r>
    <x v="34"/>
    <x v="81"/>
    <n v="84.3"/>
    <n v="4497.99"/>
    <n v="237.9"/>
  </r>
  <r>
    <x v="35"/>
    <x v="81"/>
    <n v="84.3"/>
    <n v="4020.55"/>
    <n v="218.29"/>
  </r>
  <r>
    <x v="36"/>
    <x v="81"/>
    <n v="84.3"/>
    <n v="12642.19"/>
    <n v="415.78"/>
  </r>
  <r>
    <x v="37"/>
    <x v="81"/>
    <n v="84.3"/>
    <n v="7499.84"/>
    <n v="284.16000000000003"/>
  </r>
  <r>
    <x v="38"/>
    <x v="81"/>
    <n v="84.3"/>
    <n v="8847.93"/>
    <n v="342.29"/>
  </r>
  <r>
    <x v="39"/>
    <x v="81"/>
    <n v="84.3"/>
    <n v="7690.06"/>
    <n v="0"/>
  </r>
  <r>
    <x v="40"/>
    <x v="81"/>
    <n v="84.3"/>
    <n v="8717.2999999999993"/>
    <n v="0"/>
  </r>
  <r>
    <x v="41"/>
    <x v="81"/>
    <n v="84.3"/>
    <n v="9046.31"/>
    <n v="333.62"/>
  </r>
  <r>
    <x v="42"/>
    <x v="81"/>
    <n v="84.3"/>
    <n v="8786.25"/>
    <n v="0"/>
  </r>
  <r>
    <x v="43"/>
    <x v="81"/>
    <n v="84.3"/>
    <n v="8108.24"/>
    <n v="0"/>
  </r>
  <r>
    <x v="44"/>
    <x v="81"/>
    <n v="84.3"/>
    <n v="8525.7900000000009"/>
    <n v="0"/>
  </r>
  <r>
    <x v="45"/>
    <x v="81"/>
    <n v="84.3"/>
    <n v="8599.91"/>
    <n v="0"/>
  </r>
  <r>
    <x v="46"/>
    <x v="81"/>
    <n v="84.3"/>
    <n v="7833.74"/>
    <n v="0"/>
  </r>
  <r>
    <x v="47"/>
    <x v="81"/>
    <n v="84.3"/>
    <n v="8009.46"/>
    <n v="291.68"/>
  </r>
  <r>
    <x v="48"/>
    <x v="81"/>
    <n v="84.3"/>
    <n v="13632.81"/>
    <n v="457.93"/>
  </r>
  <r>
    <x v="49"/>
    <x v="81"/>
    <n v="84.3"/>
    <n v="8996.69"/>
    <n v="325.18"/>
  </r>
  <r>
    <x v="50"/>
    <x v="81"/>
    <n v="84.3"/>
    <n v="8622.7800000000007"/>
    <n v="310.33999999999997"/>
  </r>
  <r>
    <x v="51"/>
    <x v="81"/>
    <n v="84.3"/>
    <n v="8564.7000000000007"/>
    <n v="271.76"/>
  </r>
  <r>
    <x v="52"/>
    <x v="81"/>
    <n v="84.3"/>
    <n v="8282.49"/>
    <n v="267.32"/>
  </r>
  <r>
    <x v="53"/>
    <x v="81"/>
    <n v="84.3"/>
    <n v="8876.2999999999993"/>
    <n v="0"/>
  </r>
  <r>
    <x v="54"/>
    <x v="81"/>
    <n v="84.3"/>
    <n v="7171.88"/>
    <n v="0"/>
  </r>
  <r>
    <x v="55"/>
    <x v="81"/>
    <n v="84.3"/>
    <n v="8506.32"/>
    <n v="0"/>
  </r>
  <r>
    <x v="56"/>
    <x v="81"/>
    <n v="84.3"/>
    <n v="8764.6200000000008"/>
    <n v="0"/>
  </r>
  <r>
    <x v="57"/>
    <x v="81"/>
    <n v="84.3"/>
    <n v="8945.5300000000007"/>
    <n v="0"/>
  </r>
  <r>
    <x v="58"/>
    <x v="81"/>
    <n v="84.3"/>
    <n v="8316"/>
    <n v="0"/>
  </r>
  <r>
    <x v="59"/>
    <x v="81"/>
    <n v="84.3"/>
    <n v="8589.83"/>
    <n v="323.74"/>
  </r>
  <r>
    <x v="60"/>
    <x v="81"/>
    <n v="84.3"/>
    <n v="11239.96"/>
    <n v="389.45"/>
  </r>
  <r>
    <x v="61"/>
    <x v="81"/>
    <n v="84.3"/>
    <n v="8558.41"/>
    <n v="305.95999999999998"/>
  </r>
  <r>
    <x v="62"/>
    <x v="81"/>
    <n v="84.3"/>
    <n v="9179.2199999999993"/>
    <n v="342.7"/>
  </r>
  <r>
    <x v="63"/>
    <x v="81"/>
    <n v="84.3"/>
    <n v="8167.65"/>
    <n v="295.77999999999997"/>
  </r>
  <r>
    <x v="64"/>
    <x v="81"/>
    <n v="84.3"/>
    <n v="9027.59"/>
    <n v="0"/>
  </r>
  <r>
    <x v="65"/>
    <x v="81"/>
    <n v="84.3"/>
    <n v="9677.81"/>
    <n v="0"/>
  </r>
  <r>
    <x v="66"/>
    <x v="81"/>
    <n v="84.3"/>
    <n v="8492.0499999999993"/>
    <n v="0"/>
  </r>
  <r>
    <x v="67"/>
    <x v="81"/>
    <n v="84.3"/>
    <n v="9017.2900000000009"/>
    <n v="0"/>
  </r>
  <r>
    <x v="68"/>
    <x v="81"/>
    <n v="84.3"/>
    <n v="7696.74"/>
    <n v="0"/>
  </r>
  <r>
    <x v="69"/>
    <x v="81"/>
    <n v="84.3"/>
    <n v="9105.94"/>
    <n v="322.42"/>
  </r>
  <r>
    <x v="70"/>
    <x v="81"/>
    <n v="84.3"/>
    <n v="9590.32"/>
    <n v="344.57"/>
  </r>
  <r>
    <x v="71"/>
    <x v="81"/>
    <n v="84.3"/>
    <n v="9379.4699999999993"/>
    <n v="341.3"/>
  </r>
  <r>
    <x v="72"/>
    <x v="81"/>
    <n v="84.3"/>
    <n v="0"/>
    <n v="0"/>
  </r>
  <r>
    <x v="73"/>
    <x v="81"/>
    <n v="84.3"/>
    <n v="0"/>
    <n v="0"/>
  </r>
  <r>
    <x v="74"/>
    <x v="81"/>
    <n v="84.3"/>
    <n v="0"/>
    <n v="0"/>
  </r>
  <r>
    <x v="75"/>
    <x v="81"/>
    <n v="84.3"/>
    <n v="0"/>
    <n v="0"/>
  </r>
  <r>
    <x v="76"/>
    <x v="81"/>
    <n v="84.3"/>
    <n v="0"/>
    <n v="0"/>
  </r>
  <r>
    <x v="77"/>
    <x v="81"/>
    <n v="84.3"/>
    <n v="0"/>
    <n v="0"/>
  </r>
  <r>
    <x v="78"/>
    <x v="81"/>
    <n v="84.3"/>
    <n v="0"/>
    <n v="0"/>
  </r>
  <r>
    <x v="79"/>
    <x v="81"/>
    <n v="84.3"/>
    <n v="0"/>
    <n v="0"/>
  </r>
  <r>
    <x v="80"/>
    <x v="81"/>
    <n v="84.3"/>
    <n v="0"/>
    <n v="0"/>
  </r>
  <r>
    <x v="81"/>
    <x v="81"/>
    <n v="84.3"/>
    <n v="0"/>
    <n v="0"/>
  </r>
  <r>
    <x v="82"/>
    <x v="81"/>
    <n v="84.3"/>
    <n v="0"/>
    <n v="0"/>
  </r>
  <r>
    <x v="83"/>
    <x v="81"/>
    <n v="84.3"/>
    <n v="0"/>
    <n v="0"/>
  </r>
  <r>
    <x v="84"/>
    <x v="81"/>
    <n v="84.3"/>
    <n v="0"/>
    <n v="0"/>
  </r>
  <r>
    <x v="85"/>
    <x v="81"/>
    <n v="84.3"/>
    <n v="0"/>
    <n v="0"/>
  </r>
  <r>
    <x v="86"/>
    <x v="81"/>
    <n v="84.3"/>
    <n v="0"/>
    <n v="0"/>
  </r>
  <r>
    <x v="87"/>
    <x v="81"/>
    <n v="84.3"/>
    <n v="0"/>
    <n v="0"/>
  </r>
  <r>
    <x v="88"/>
    <x v="81"/>
    <n v="84.3"/>
    <n v="0"/>
    <n v="0"/>
  </r>
  <r>
    <x v="89"/>
    <x v="81"/>
    <n v="84.3"/>
    <n v="0"/>
    <n v="0"/>
  </r>
  <r>
    <x v="90"/>
    <x v="81"/>
    <n v="84.3"/>
    <n v="0"/>
    <n v="0"/>
  </r>
  <r>
    <x v="91"/>
    <x v="81"/>
    <n v="84.3"/>
    <n v="0"/>
    <n v="0"/>
  </r>
  <r>
    <x v="92"/>
    <x v="81"/>
    <n v="84.3"/>
    <n v="0"/>
    <n v="0"/>
  </r>
  <r>
    <x v="93"/>
    <x v="81"/>
    <n v="84.3"/>
    <n v="0"/>
    <n v="0"/>
  </r>
  <r>
    <x v="94"/>
    <x v="81"/>
    <n v="84.3"/>
    <n v="0"/>
    <n v="0"/>
  </r>
  <r>
    <x v="95"/>
    <x v="81"/>
    <n v="84.3"/>
    <n v="0"/>
    <n v="0"/>
  </r>
  <r>
    <x v="0"/>
    <x v="82"/>
    <n v="84.6"/>
    <n v="3859.12"/>
    <n v="230.51"/>
  </r>
  <r>
    <x v="1"/>
    <x v="82"/>
    <n v="84.6"/>
    <n v="2822.74"/>
    <n v="180.26"/>
  </r>
  <r>
    <x v="2"/>
    <x v="82"/>
    <n v="84.6"/>
    <n v="2608.34"/>
    <n v="178.31"/>
  </r>
  <r>
    <x v="3"/>
    <x v="82"/>
    <n v="84.6"/>
    <n v="2556.4699999999998"/>
    <n v="180.55"/>
  </r>
  <r>
    <x v="4"/>
    <x v="82"/>
    <n v="84.6"/>
    <n v="2629.1"/>
    <n v="180.71"/>
  </r>
  <r>
    <x v="5"/>
    <x v="82"/>
    <n v="84.6"/>
    <n v="2809.55"/>
    <n v="184.86"/>
  </r>
  <r>
    <x v="6"/>
    <x v="82"/>
    <n v="84.6"/>
    <n v="2611.04"/>
    <n v="168.57"/>
  </r>
  <r>
    <x v="7"/>
    <x v="82"/>
    <n v="84.6"/>
    <n v="2748.4"/>
    <n v="187.95"/>
  </r>
  <r>
    <x v="8"/>
    <x v="82"/>
    <n v="84.6"/>
    <n v="2985.2"/>
    <n v="185.48"/>
  </r>
  <r>
    <x v="9"/>
    <x v="82"/>
    <n v="84.6"/>
    <n v="2915.03"/>
    <n v="180.4"/>
  </r>
  <r>
    <x v="10"/>
    <x v="82"/>
    <n v="84.6"/>
    <n v="2767.15"/>
    <n v="176.12"/>
  </r>
  <r>
    <x v="11"/>
    <x v="82"/>
    <n v="84.6"/>
    <n v="-844.88"/>
    <n v="-978.73"/>
  </r>
  <r>
    <x v="12"/>
    <x v="82"/>
    <n v="84.6"/>
    <n v="70.7"/>
    <n v="100.23"/>
  </r>
  <r>
    <x v="13"/>
    <x v="82"/>
    <n v="84.6"/>
    <n v="71.349999999999994"/>
    <n v="88.59"/>
  </r>
  <r>
    <x v="14"/>
    <x v="82"/>
    <n v="84.6"/>
    <n v="74.81"/>
    <n v="94.33"/>
  </r>
  <r>
    <x v="15"/>
    <x v="82"/>
    <n v="84.6"/>
    <n v="64.83"/>
    <n v="91.97"/>
  </r>
  <r>
    <x v="16"/>
    <x v="82"/>
    <n v="84.6"/>
    <n v="65.040000000000006"/>
    <n v="92.68"/>
  </r>
  <r>
    <x v="17"/>
    <x v="82"/>
    <n v="84.6"/>
    <n v="62.95"/>
    <n v="89.72"/>
  </r>
  <r>
    <x v="18"/>
    <x v="82"/>
    <n v="84.6"/>
    <n v="58.3"/>
    <n v="81.8"/>
  </r>
  <r>
    <x v="19"/>
    <x v="82"/>
    <n v="84.6"/>
    <n v="60.9"/>
    <n v="88.47"/>
  </r>
  <r>
    <x v="20"/>
    <x v="82"/>
    <n v="84.6"/>
    <n v="62.29"/>
    <n v="92.13"/>
  </r>
  <r>
    <x v="21"/>
    <x v="82"/>
    <n v="84.6"/>
    <n v="58.21"/>
    <n v="88.58"/>
  </r>
  <r>
    <x v="22"/>
    <x v="82"/>
    <n v="84.6"/>
    <n v="51.5"/>
    <n v="87.67"/>
  </r>
  <r>
    <x v="23"/>
    <x v="82"/>
    <n v="84.6"/>
    <n v="48.04"/>
    <n v="83.69"/>
  </r>
  <r>
    <x v="24"/>
    <x v="82"/>
    <n v="84.6"/>
    <n v="5165.54"/>
    <n v="309.10000000000002"/>
  </r>
  <r>
    <x v="25"/>
    <x v="82"/>
    <n v="84.6"/>
    <n v="3217.46"/>
    <n v="225.24"/>
  </r>
  <r>
    <x v="26"/>
    <x v="82"/>
    <n v="84.6"/>
    <n v="2947.83"/>
    <n v="221.9"/>
  </r>
  <r>
    <x v="27"/>
    <x v="82"/>
    <n v="84.6"/>
    <n v="3176.93"/>
    <n v="241.96"/>
  </r>
  <r>
    <x v="28"/>
    <x v="82"/>
    <n v="84.6"/>
    <n v="3091.36"/>
    <n v="225.17"/>
  </r>
  <r>
    <x v="29"/>
    <x v="82"/>
    <n v="84.6"/>
    <n v="3381.24"/>
    <n v="234.85"/>
  </r>
  <r>
    <x v="30"/>
    <x v="82"/>
    <n v="84.6"/>
    <n v="3071.37"/>
    <n v="220.54"/>
  </r>
  <r>
    <x v="31"/>
    <x v="82"/>
    <n v="84.6"/>
    <n v="3186.84"/>
    <n v="235.58"/>
  </r>
  <r>
    <x v="32"/>
    <x v="82"/>
    <n v="84.6"/>
    <n v="3324.28"/>
    <n v="223.42"/>
  </r>
  <r>
    <x v="33"/>
    <x v="82"/>
    <n v="84.6"/>
    <n v="3476.85"/>
    <n v="225.18"/>
  </r>
  <r>
    <x v="34"/>
    <x v="82"/>
    <n v="84.6"/>
    <n v="3384.25"/>
    <n v="236.77"/>
  </r>
  <r>
    <x v="35"/>
    <x v="82"/>
    <n v="84.6"/>
    <n v="3088.41"/>
    <n v="215.5"/>
  </r>
  <r>
    <x v="36"/>
    <x v="82"/>
    <n v="84.6"/>
    <n v="12210.65"/>
    <n v="411.96"/>
  </r>
  <r>
    <x v="37"/>
    <x v="82"/>
    <n v="84.6"/>
    <n v="7204.57"/>
    <n v="281.45"/>
  </r>
  <r>
    <x v="38"/>
    <x v="82"/>
    <n v="84.6"/>
    <n v="8317.6299999999992"/>
    <n v="339.29"/>
  </r>
  <r>
    <x v="39"/>
    <x v="82"/>
    <n v="84.6"/>
    <n v="7234.75"/>
    <n v="0"/>
  </r>
  <r>
    <x v="40"/>
    <x v="82"/>
    <n v="84.6"/>
    <n v="8455.44"/>
    <n v="0"/>
  </r>
  <r>
    <x v="41"/>
    <x v="82"/>
    <n v="84.6"/>
    <n v="8755.3799999999992"/>
    <n v="330.1"/>
  </r>
  <r>
    <x v="42"/>
    <x v="82"/>
    <n v="84.6"/>
    <n v="8346.49"/>
    <n v="0"/>
  </r>
  <r>
    <x v="43"/>
    <x v="82"/>
    <n v="84.6"/>
    <n v="7669.15"/>
    <n v="0"/>
  </r>
  <r>
    <x v="44"/>
    <x v="82"/>
    <n v="84.6"/>
    <n v="8383.61"/>
    <n v="0"/>
  </r>
  <r>
    <x v="45"/>
    <x v="82"/>
    <n v="84.6"/>
    <n v="8515.51"/>
    <n v="0"/>
  </r>
  <r>
    <x v="46"/>
    <x v="82"/>
    <n v="84.6"/>
    <n v="7173.5"/>
    <n v="0"/>
  </r>
  <r>
    <x v="47"/>
    <x v="82"/>
    <n v="84.6"/>
    <n v="7548.23"/>
    <n v="288.2"/>
  </r>
  <r>
    <x v="48"/>
    <x v="82"/>
    <n v="84.6"/>
    <n v="13630.7"/>
    <n v="451.87"/>
  </r>
  <r>
    <x v="49"/>
    <x v="82"/>
    <n v="84.6"/>
    <n v="8910.93"/>
    <n v="322.63"/>
  </r>
  <r>
    <x v="50"/>
    <x v="82"/>
    <n v="84.6"/>
    <n v="8299.4699999999993"/>
    <n v="309.45"/>
  </r>
  <r>
    <x v="51"/>
    <x v="82"/>
    <n v="84.6"/>
    <n v="8338.4699999999993"/>
    <n v="271.98"/>
  </r>
  <r>
    <x v="52"/>
    <x v="82"/>
    <n v="84.6"/>
    <n v="8193.85"/>
    <n v="267.49"/>
  </r>
  <r>
    <x v="53"/>
    <x v="82"/>
    <n v="84.6"/>
    <n v="8752.8799999999992"/>
    <n v="0"/>
  </r>
  <r>
    <x v="54"/>
    <x v="82"/>
    <n v="84.6"/>
    <n v="6905.01"/>
    <n v="0"/>
  </r>
  <r>
    <x v="55"/>
    <x v="82"/>
    <n v="84.6"/>
    <n v="8143.31"/>
    <n v="0"/>
  </r>
  <r>
    <x v="56"/>
    <x v="82"/>
    <n v="84.6"/>
    <n v="8773.5400000000009"/>
    <n v="0"/>
  </r>
  <r>
    <x v="57"/>
    <x v="82"/>
    <n v="84.6"/>
    <n v="9067.82"/>
    <n v="0"/>
  </r>
  <r>
    <x v="58"/>
    <x v="82"/>
    <n v="84.6"/>
    <n v="7521.62"/>
    <n v="0"/>
  </r>
  <r>
    <x v="59"/>
    <x v="82"/>
    <n v="84.6"/>
    <n v="8368.41"/>
    <n v="320.45999999999998"/>
  </r>
  <r>
    <x v="60"/>
    <x v="82"/>
    <n v="84.6"/>
    <n v="11550.41"/>
    <n v="384.88"/>
  </r>
  <r>
    <x v="61"/>
    <x v="82"/>
    <n v="84.6"/>
    <n v="8696.34"/>
    <n v="303.17"/>
  </r>
  <r>
    <x v="62"/>
    <x v="82"/>
    <n v="84.6"/>
    <n v="9023.26"/>
    <n v="340.29"/>
  </r>
  <r>
    <x v="63"/>
    <x v="82"/>
    <n v="84.6"/>
    <n v="8032.83"/>
    <n v="295.27"/>
  </r>
  <r>
    <x v="64"/>
    <x v="82"/>
    <n v="84.6"/>
    <n v="9004.91"/>
    <n v="0"/>
  </r>
  <r>
    <x v="65"/>
    <x v="82"/>
    <n v="84.6"/>
    <n v="9689.64"/>
    <n v="0"/>
  </r>
  <r>
    <x v="66"/>
    <x v="82"/>
    <n v="84.6"/>
    <n v="8279.7900000000009"/>
    <n v="0"/>
  </r>
  <r>
    <x v="67"/>
    <x v="82"/>
    <n v="84.6"/>
    <n v="8759.43"/>
    <n v="0"/>
  </r>
  <r>
    <x v="68"/>
    <x v="82"/>
    <n v="84.6"/>
    <n v="7780.11"/>
    <n v="0"/>
  </r>
  <r>
    <x v="69"/>
    <x v="82"/>
    <n v="84.6"/>
    <n v="9299.16"/>
    <n v="317.05"/>
  </r>
  <r>
    <x v="70"/>
    <x v="82"/>
    <n v="84.6"/>
    <n v="9187.91"/>
    <n v="342.01"/>
  </r>
  <r>
    <x v="71"/>
    <x v="82"/>
    <n v="84.6"/>
    <n v="9139.6200000000008"/>
    <n v="338.18"/>
  </r>
  <r>
    <x v="72"/>
    <x v="82"/>
    <n v="84.6"/>
    <n v="0"/>
    <n v="0"/>
  </r>
  <r>
    <x v="73"/>
    <x v="82"/>
    <n v="84.6"/>
    <n v="0"/>
    <n v="0"/>
  </r>
  <r>
    <x v="74"/>
    <x v="82"/>
    <n v="84.6"/>
    <n v="0"/>
    <n v="0"/>
  </r>
  <r>
    <x v="75"/>
    <x v="82"/>
    <n v="84.6"/>
    <n v="0"/>
    <n v="0"/>
  </r>
  <r>
    <x v="76"/>
    <x v="82"/>
    <n v="84.6"/>
    <n v="0"/>
    <n v="0"/>
  </r>
  <r>
    <x v="77"/>
    <x v="82"/>
    <n v="84.6"/>
    <n v="0"/>
    <n v="0"/>
  </r>
  <r>
    <x v="78"/>
    <x v="82"/>
    <n v="84.6"/>
    <n v="0"/>
    <n v="0"/>
  </r>
  <r>
    <x v="79"/>
    <x v="82"/>
    <n v="84.6"/>
    <n v="0"/>
    <n v="0"/>
  </r>
  <r>
    <x v="80"/>
    <x v="82"/>
    <n v="84.6"/>
    <n v="0"/>
    <n v="0"/>
  </r>
  <r>
    <x v="81"/>
    <x v="82"/>
    <n v="84.6"/>
    <n v="0"/>
    <n v="0"/>
  </r>
  <r>
    <x v="82"/>
    <x v="82"/>
    <n v="84.6"/>
    <n v="0"/>
    <n v="0"/>
  </r>
  <r>
    <x v="83"/>
    <x v="82"/>
    <n v="84.6"/>
    <n v="0"/>
    <n v="0"/>
  </r>
  <r>
    <x v="84"/>
    <x v="82"/>
    <n v="84.6"/>
    <n v="0"/>
    <n v="0"/>
  </r>
  <r>
    <x v="85"/>
    <x v="82"/>
    <n v="84.6"/>
    <n v="0"/>
    <n v="0"/>
  </r>
  <r>
    <x v="86"/>
    <x v="82"/>
    <n v="84.6"/>
    <n v="0"/>
    <n v="0"/>
  </r>
  <r>
    <x v="87"/>
    <x v="82"/>
    <n v="84.6"/>
    <n v="0"/>
    <n v="0"/>
  </r>
  <r>
    <x v="88"/>
    <x v="82"/>
    <n v="84.6"/>
    <n v="0"/>
    <n v="0"/>
  </r>
  <r>
    <x v="89"/>
    <x v="82"/>
    <n v="84.6"/>
    <n v="0"/>
    <n v="0"/>
  </r>
  <r>
    <x v="90"/>
    <x v="82"/>
    <n v="84.6"/>
    <n v="0"/>
    <n v="0"/>
  </r>
  <r>
    <x v="91"/>
    <x v="82"/>
    <n v="84.6"/>
    <n v="0"/>
    <n v="0"/>
  </r>
  <r>
    <x v="92"/>
    <x v="82"/>
    <n v="84.6"/>
    <n v="0"/>
    <n v="0"/>
  </r>
  <r>
    <x v="93"/>
    <x v="82"/>
    <n v="84.6"/>
    <n v="0"/>
    <n v="0"/>
  </r>
  <r>
    <x v="94"/>
    <x v="82"/>
    <n v="84.6"/>
    <n v="0"/>
    <n v="0"/>
  </r>
  <r>
    <x v="95"/>
    <x v="82"/>
    <n v="84.6"/>
    <n v="0"/>
    <n v="0"/>
  </r>
  <r>
    <x v="0"/>
    <x v="83"/>
    <n v="84.9"/>
    <n v="2780.67"/>
    <n v="228.55"/>
  </r>
  <r>
    <x v="1"/>
    <x v="83"/>
    <n v="84.9"/>
    <n v="2016.12"/>
    <n v="179.13"/>
  </r>
  <r>
    <x v="2"/>
    <x v="83"/>
    <n v="84.9"/>
    <n v="1832.17"/>
    <n v="177.15"/>
  </r>
  <r>
    <x v="3"/>
    <x v="83"/>
    <n v="84.9"/>
    <n v="1777.63"/>
    <n v="179.03"/>
  </r>
  <r>
    <x v="4"/>
    <x v="83"/>
    <n v="84.9"/>
    <n v="1875.13"/>
    <n v="179.15"/>
  </r>
  <r>
    <x v="5"/>
    <x v="83"/>
    <n v="84.9"/>
    <n v="2011.3"/>
    <n v="183.13"/>
  </r>
  <r>
    <x v="6"/>
    <x v="83"/>
    <n v="84.9"/>
    <n v="1867.13"/>
    <n v="166.67"/>
  </r>
  <r>
    <x v="7"/>
    <x v="83"/>
    <n v="84.9"/>
    <n v="1969.71"/>
    <n v="186.2"/>
  </r>
  <r>
    <x v="8"/>
    <x v="83"/>
    <n v="84.9"/>
    <n v="2205.42"/>
    <n v="182.94"/>
  </r>
  <r>
    <x v="9"/>
    <x v="83"/>
    <n v="84.9"/>
    <n v="2158.1999999999998"/>
    <n v="178.16"/>
  </r>
  <r>
    <x v="10"/>
    <x v="83"/>
    <n v="84.9"/>
    <n v="1975.86"/>
    <n v="174.11"/>
  </r>
  <r>
    <x v="11"/>
    <x v="83"/>
    <n v="84.9"/>
    <n v="-819.87"/>
    <n v="-914.81"/>
  </r>
  <r>
    <x v="12"/>
    <x v="83"/>
    <n v="84.9"/>
    <n v="66.94"/>
    <n v="100.73"/>
  </r>
  <r>
    <x v="13"/>
    <x v="83"/>
    <n v="84.9"/>
    <n v="68.11"/>
    <n v="88.73"/>
  </r>
  <r>
    <x v="14"/>
    <x v="83"/>
    <n v="84.9"/>
    <n v="71.3"/>
    <n v="94.09"/>
  </r>
  <r>
    <x v="15"/>
    <x v="83"/>
    <n v="84.9"/>
    <n v="61.58"/>
    <n v="92.1"/>
  </r>
  <r>
    <x v="16"/>
    <x v="83"/>
    <n v="84.9"/>
    <n v="61.72"/>
    <n v="93.14"/>
  </r>
  <r>
    <x v="17"/>
    <x v="83"/>
    <n v="84.9"/>
    <n v="59.76"/>
    <n v="89.49"/>
  </r>
  <r>
    <x v="18"/>
    <x v="83"/>
    <n v="84.9"/>
    <n v="55.28"/>
    <n v="81.77"/>
  </r>
  <r>
    <x v="19"/>
    <x v="83"/>
    <n v="84.9"/>
    <n v="57.79"/>
    <n v="88.62"/>
  </r>
  <r>
    <x v="20"/>
    <x v="83"/>
    <n v="84.9"/>
    <n v="59.09"/>
    <n v="92.28"/>
  </r>
  <r>
    <x v="21"/>
    <x v="83"/>
    <n v="84.9"/>
    <n v="55.16"/>
    <n v="88.74"/>
  </r>
  <r>
    <x v="22"/>
    <x v="83"/>
    <n v="84.9"/>
    <n v="48.77"/>
    <n v="87.72"/>
  </r>
  <r>
    <x v="23"/>
    <x v="83"/>
    <n v="84.9"/>
    <n v="44.73"/>
    <n v="83.5"/>
  </r>
  <r>
    <x v="24"/>
    <x v="83"/>
    <n v="84.9"/>
    <n v="3641.29"/>
    <n v="305.14"/>
  </r>
  <r>
    <x v="25"/>
    <x v="83"/>
    <n v="84.9"/>
    <n v="2246.44"/>
    <n v="223.5"/>
  </r>
  <r>
    <x v="26"/>
    <x v="83"/>
    <n v="84.9"/>
    <n v="2032.98"/>
    <n v="219.16"/>
  </r>
  <r>
    <x v="27"/>
    <x v="83"/>
    <n v="84.9"/>
    <n v="2192.06"/>
    <n v="239.3"/>
  </r>
  <r>
    <x v="28"/>
    <x v="83"/>
    <n v="84.9"/>
    <n v="2158.34"/>
    <n v="223.15"/>
  </r>
  <r>
    <x v="29"/>
    <x v="83"/>
    <n v="84.9"/>
    <n v="2382.89"/>
    <n v="232.9"/>
  </r>
  <r>
    <x v="30"/>
    <x v="83"/>
    <n v="84.9"/>
    <n v="2139.61"/>
    <n v="219.1"/>
  </r>
  <r>
    <x v="31"/>
    <x v="83"/>
    <n v="84.9"/>
    <n v="2219.46"/>
    <n v="233.87"/>
  </r>
  <r>
    <x v="32"/>
    <x v="83"/>
    <n v="84.9"/>
    <n v="2387.31"/>
    <n v="222.17"/>
  </r>
  <r>
    <x v="33"/>
    <x v="83"/>
    <n v="84.9"/>
    <n v="2502.37"/>
    <n v="223.36"/>
  </r>
  <r>
    <x v="34"/>
    <x v="83"/>
    <n v="84.9"/>
    <n v="2333.17"/>
    <n v="235.64"/>
  </r>
  <r>
    <x v="35"/>
    <x v="83"/>
    <n v="84.9"/>
    <n v="2163.5700000000002"/>
    <n v="212.73"/>
  </r>
  <r>
    <x v="36"/>
    <x v="83"/>
    <n v="84.9"/>
    <n v="10526.51"/>
    <n v="407.89"/>
  </r>
  <r>
    <x v="37"/>
    <x v="83"/>
    <n v="84.9"/>
    <n v="6166.89"/>
    <n v="278.68"/>
  </r>
  <r>
    <x v="38"/>
    <x v="83"/>
    <n v="84.9"/>
    <n v="6948.15"/>
    <n v="336.2"/>
  </r>
  <r>
    <x v="39"/>
    <x v="83"/>
    <n v="84.9"/>
    <n v="6051.7"/>
    <n v="0"/>
  </r>
  <r>
    <x v="40"/>
    <x v="83"/>
    <n v="84.9"/>
    <n v="7316.34"/>
    <n v="0"/>
  </r>
  <r>
    <x v="41"/>
    <x v="83"/>
    <n v="84.9"/>
    <n v="7561.37"/>
    <n v="326.77999999999997"/>
  </r>
  <r>
    <x v="42"/>
    <x v="83"/>
    <n v="84.9"/>
    <n v="7062.72"/>
    <n v="0"/>
  </r>
  <r>
    <x v="43"/>
    <x v="83"/>
    <n v="84.9"/>
    <n v="6455"/>
    <n v="0"/>
  </r>
  <r>
    <x v="44"/>
    <x v="83"/>
    <n v="84.9"/>
    <n v="7362.27"/>
    <n v="0"/>
  </r>
  <r>
    <x v="45"/>
    <x v="83"/>
    <n v="84.9"/>
    <n v="7541.68"/>
    <n v="0"/>
  </r>
  <r>
    <x v="46"/>
    <x v="83"/>
    <n v="84.9"/>
    <n v="5833.39"/>
    <n v="0"/>
  </r>
  <r>
    <x v="47"/>
    <x v="83"/>
    <n v="84.9"/>
    <n v="6321.87"/>
    <n v="284.26"/>
  </r>
  <r>
    <x v="48"/>
    <x v="83"/>
    <n v="84.9"/>
    <n v="12200.2"/>
    <n v="445.96"/>
  </r>
  <r>
    <x v="49"/>
    <x v="83"/>
    <n v="84.9"/>
    <n v="7886.05"/>
    <n v="319.79000000000002"/>
  </r>
  <r>
    <x v="50"/>
    <x v="83"/>
    <n v="84.9"/>
    <n v="7119.93"/>
    <n v="308.13"/>
  </r>
  <r>
    <x v="51"/>
    <x v="83"/>
    <n v="84.9"/>
    <n v="7231.91"/>
    <n v="273.05"/>
  </r>
  <r>
    <x v="52"/>
    <x v="83"/>
    <n v="84.9"/>
    <n v="7234.03"/>
    <n v="268.61"/>
  </r>
  <r>
    <x v="53"/>
    <x v="83"/>
    <n v="84.9"/>
    <n v="7698.64"/>
    <n v="0"/>
  </r>
  <r>
    <x v="54"/>
    <x v="83"/>
    <n v="84.9"/>
    <n v="5924.42"/>
    <n v="0"/>
  </r>
  <r>
    <x v="55"/>
    <x v="83"/>
    <n v="84.9"/>
    <n v="6935.88"/>
    <n v="0"/>
  </r>
  <r>
    <x v="56"/>
    <x v="83"/>
    <n v="84.9"/>
    <n v="7861.09"/>
    <n v="0"/>
  </r>
  <r>
    <x v="57"/>
    <x v="83"/>
    <n v="84.9"/>
    <n v="8242.56"/>
    <n v="0"/>
  </r>
  <r>
    <x v="58"/>
    <x v="83"/>
    <n v="84.9"/>
    <n v="6020.61"/>
    <n v="0"/>
  </r>
  <r>
    <x v="59"/>
    <x v="83"/>
    <n v="84.9"/>
    <n v="7272.42"/>
    <n v="316.72000000000003"/>
  </r>
  <r>
    <x v="60"/>
    <x v="83"/>
    <n v="84.9"/>
    <n v="10656.58"/>
    <n v="380.2"/>
  </r>
  <r>
    <x v="61"/>
    <x v="83"/>
    <n v="84.9"/>
    <n v="7909.05"/>
    <n v="300.18"/>
  </r>
  <r>
    <x v="62"/>
    <x v="83"/>
    <n v="84.9"/>
    <n v="7921.15"/>
    <n v="337.63"/>
  </r>
  <r>
    <x v="63"/>
    <x v="83"/>
    <n v="84.9"/>
    <n v="7055.28"/>
    <n v="294.43"/>
  </r>
  <r>
    <x v="64"/>
    <x v="83"/>
    <n v="84.9"/>
    <n v="8038.18"/>
    <n v="0"/>
  </r>
  <r>
    <x v="65"/>
    <x v="83"/>
    <n v="84.9"/>
    <n v="8667.23"/>
    <n v="0"/>
  </r>
  <r>
    <x v="66"/>
    <x v="83"/>
    <n v="84.9"/>
    <n v="7201.51"/>
    <n v="0"/>
  </r>
  <r>
    <x v="67"/>
    <x v="83"/>
    <n v="84.9"/>
    <n v="7597.67"/>
    <n v="0"/>
  </r>
  <r>
    <x v="68"/>
    <x v="83"/>
    <n v="84.9"/>
    <n v="7047.48"/>
    <n v="0"/>
  </r>
  <r>
    <x v="69"/>
    <x v="83"/>
    <n v="84.9"/>
    <n v="8506.23"/>
    <n v="311.86"/>
  </r>
  <r>
    <x v="70"/>
    <x v="83"/>
    <n v="84.9"/>
    <n v="7849.21"/>
    <n v="339.15"/>
  </r>
  <r>
    <x v="71"/>
    <x v="83"/>
    <n v="84.9"/>
    <n v="7946.29"/>
    <n v="334.98"/>
  </r>
  <r>
    <x v="72"/>
    <x v="83"/>
    <n v="84.9"/>
    <n v="0"/>
    <n v="0"/>
  </r>
  <r>
    <x v="73"/>
    <x v="83"/>
    <n v="84.9"/>
    <n v="0"/>
    <n v="0"/>
  </r>
  <r>
    <x v="74"/>
    <x v="83"/>
    <n v="84.9"/>
    <n v="0"/>
    <n v="0"/>
  </r>
  <r>
    <x v="75"/>
    <x v="83"/>
    <n v="84.9"/>
    <n v="0"/>
    <n v="0"/>
  </r>
  <r>
    <x v="76"/>
    <x v="83"/>
    <n v="84.9"/>
    <n v="0"/>
    <n v="0"/>
  </r>
  <r>
    <x v="77"/>
    <x v="83"/>
    <n v="84.9"/>
    <n v="0"/>
    <n v="0"/>
  </r>
  <r>
    <x v="78"/>
    <x v="83"/>
    <n v="84.9"/>
    <n v="0"/>
    <n v="0"/>
  </r>
  <r>
    <x v="79"/>
    <x v="83"/>
    <n v="84.9"/>
    <n v="0"/>
    <n v="0"/>
  </r>
  <r>
    <x v="80"/>
    <x v="83"/>
    <n v="84.9"/>
    <n v="0"/>
    <n v="0"/>
  </r>
  <r>
    <x v="81"/>
    <x v="83"/>
    <n v="84.9"/>
    <n v="0"/>
    <n v="0"/>
  </r>
  <r>
    <x v="82"/>
    <x v="83"/>
    <n v="84.9"/>
    <n v="0"/>
    <n v="0"/>
  </r>
  <r>
    <x v="83"/>
    <x v="83"/>
    <n v="84.9"/>
    <n v="0"/>
    <n v="0"/>
  </r>
  <r>
    <x v="84"/>
    <x v="83"/>
    <n v="84.9"/>
    <n v="0"/>
    <n v="0"/>
  </r>
  <r>
    <x v="85"/>
    <x v="83"/>
    <n v="84.9"/>
    <n v="0"/>
    <n v="0"/>
  </r>
  <r>
    <x v="86"/>
    <x v="83"/>
    <n v="84.9"/>
    <n v="0"/>
    <n v="0"/>
  </r>
  <r>
    <x v="87"/>
    <x v="83"/>
    <n v="84.9"/>
    <n v="0"/>
    <n v="0"/>
  </r>
  <r>
    <x v="88"/>
    <x v="83"/>
    <n v="84.9"/>
    <n v="0"/>
    <n v="0"/>
  </r>
  <r>
    <x v="89"/>
    <x v="83"/>
    <n v="84.9"/>
    <n v="0"/>
    <n v="0"/>
  </r>
  <r>
    <x v="90"/>
    <x v="83"/>
    <n v="84.9"/>
    <n v="0"/>
    <n v="0"/>
  </r>
  <r>
    <x v="91"/>
    <x v="83"/>
    <n v="84.9"/>
    <n v="0"/>
    <n v="0"/>
  </r>
  <r>
    <x v="92"/>
    <x v="83"/>
    <n v="84.9"/>
    <n v="0"/>
    <n v="0"/>
  </r>
  <r>
    <x v="93"/>
    <x v="83"/>
    <n v="84.9"/>
    <n v="0"/>
    <n v="0"/>
  </r>
  <r>
    <x v="94"/>
    <x v="83"/>
    <n v="84.9"/>
    <n v="0"/>
    <n v="0"/>
  </r>
  <r>
    <x v="95"/>
    <x v="83"/>
    <n v="84.9"/>
    <n v="0"/>
    <n v="0"/>
  </r>
  <r>
    <x v="0"/>
    <x v="84"/>
    <n v="85.2"/>
    <n v="1876.03"/>
    <n v="226.75"/>
  </r>
  <r>
    <x v="1"/>
    <x v="84"/>
    <n v="85.2"/>
    <n v="1368.9"/>
    <n v="178.06"/>
  </r>
  <r>
    <x v="2"/>
    <x v="84"/>
    <n v="85.2"/>
    <n v="1232.3"/>
    <n v="176.09"/>
  </r>
  <r>
    <x v="3"/>
    <x v="84"/>
    <n v="85.2"/>
    <n v="1187.8699999999999"/>
    <n v="177.6"/>
  </r>
  <r>
    <x v="4"/>
    <x v="84"/>
    <n v="85.2"/>
    <n v="1271.78"/>
    <n v="177.67"/>
  </r>
  <r>
    <x v="5"/>
    <x v="84"/>
    <n v="85.2"/>
    <n v="1367.22"/>
    <n v="181.49"/>
  </r>
  <r>
    <x v="6"/>
    <x v="84"/>
    <n v="85.2"/>
    <n v="1268.51"/>
    <n v="164.88"/>
  </r>
  <r>
    <x v="7"/>
    <x v="84"/>
    <n v="85.2"/>
    <n v="1339.37"/>
    <n v="184.52"/>
  </r>
  <r>
    <x v="8"/>
    <x v="84"/>
    <n v="85.2"/>
    <n v="1513.28"/>
    <n v="180.38"/>
  </r>
  <r>
    <x v="9"/>
    <x v="84"/>
    <n v="85.2"/>
    <n v="1482.99"/>
    <n v="175.92"/>
  </r>
  <r>
    <x v="10"/>
    <x v="84"/>
    <n v="85.2"/>
    <n v="1325.53"/>
    <n v="172.2"/>
  </r>
  <r>
    <x v="11"/>
    <x v="84"/>
    <n v="85.2"/>
    <n v="-795.6"/>
    <n v="-851.95"/>
  </r>
  <r>
    <x v="12"/>
    <x v="84"/>
    <n v="85.2"/>
    <n v="63.5"/>
    <n v="101.15"/>
  </r>
  <r>
    <x v="13"/>
    <x v="84"/>
    <n v="85.2"/>
    <n v="65.069999999999993"/>
    <n v="88.86"/>
  </r>
  <r>
    <x v="14"/>
    <x v="84"/>
    <n v="85.2"/>
    <n v="68.010000000000005"/>
    <n v="93.87"/>
  </r>
  <r>
    <x v="15"/>
    <x v="84"/>
    <n v="85.2"/>
    <n v="58.54"/>
    <n v="92.22"/>
  </r>
  <r>
    <x v="16"/>
    <x v="84"/>
    <n v="85.2"/>
    <n v="58.61"/>
    <n v="93.67"/>
  </r>
  <r>
    <x v="17"/>
    <x v="84"/>
    <n v="85.2"/>
    <n v="56.79"/>
    <n v="89.32"/>
  </r>
  <r>
    <x v="18"/>
    <x v="84"/>
    <n v="85.2"/>
    <n v="52.47"/>
    <n v="81.73"/>
  </r>
  <r>
    <x v="19"/>
    <x v="84"/>
    <n v="85.2"/>
    <n v="54.89"/>
    <n v="88.82"/>
  </r>
  <r>
    <x v="20"/>
    <x v="84"/>
    <n v="85.2"/>
    <n v="56.11"/>
    <n v="92.49"/>
  </r>
  <r>
    <x v="21"/>
    <x v="84"/>
    <n v="85.2"/>
    <n v="52.33"/>
    <n v="88.96"/>
  </r>
  <r>
    <x v="22"/>
    <x v="84"/>
    <n v="85.2"/>
    <n v="46.27"/>
    <n v="87.78"/>
  </r>
  <r>
    <x v="23"/>
    <x v="84"/>
    <n v="85.2"/>
    <n v="41.6"/>
    <n v="83.27"/>
  </r>
  <r>
    <x v="24"/>
    <x v="84"/>
    <n v="85.2"/>
    <n v="2457.65"/>
    <n v="301.26"/>
  </r>
  <r>
    <x v="25"/>
    <x v="84"/>
    <n v="85.2"/>
    <n v="1524.48"/>
    <n v="221.83"/>
  </r>
  <r>
    <x v="26"/>
    <x v="84"/>
    <n v="85.2"/>
    <n v="1370.62"/>
    <n v="216.52"/>
  </r>
  <r>
    <x v="27"/>
    <x v="84"/>
    <n v="85.2"/>
    <n v="1479.21"/>
    <n v="236.85"/>
  </r>
  <r>
    <x v="28"/>
    <x v="84"/>
    <n v="85.2"/>
    <n v="1449.85"/>
    <n v="221.39"/>
  </r>
  <r>
    <x v="29"/>
    <x v="84"/>
    <n v="85.2"/>
    <n v="1626.96"/>
    <n v="231"/>
  </r>
  <r>
    <x v="30"/>
    <x v="84"/>
    <n v="85.2"/>
    <n v="1450.27"/>
    <n v="217.69"/>
  </r>
  <r>
    <x v="31"/>
    <x v="84"/>
    <n v="85.2"/>
    <n v="1504.2"/>
    <n v="232.21"/>
  </r>
  <r>
    <x v="32"/>
    <x v="84"/>
    <n v="85.2"/>
    <n v="1629.77"/>
    <n v="220.91"/>
  </r>
  <r>
    <x v="33"/>
    <x v="84"/>
    <n v="85.2"/>
    <n v="1710.71"/>
    <n v="221.6"/>
  </r>
  <r>
    <x v="34"/>
    <x v="84"/>
    <n v="85.2"/>
    <n v="1572.33"/>
    <n v="234.5"/>
  </r>
  <r>
    <x v="35"/>
    <x v="84"/>
    <n v="85.2"/>
    <n v="1469.96"/>
    <n v="210"/>
  </r>
  <r>
    <x v="36"/>
    <x v="84"/>
    <n v="85.2"/>
    <n v="8043.91"/>
    <n v="403.8"/>
  </r>
  <r>
    <x v="37"/>
    <x v="84"/>
    <n v="85.2"/>
    <n v="4684.3900000000003"/>
    <n v="275.98"/>
  </r>
  <r>
    <x v="38"/>
    <x v="84"/>
    <n v="85.2"/>
    <n v="5147.5"/>
    <n v="333.11"/>
  </r>
  <r>
    <x v="39"/>
    <x v="84"/>
    <n v="85.2"/>
    <n v="4490"/>
    <n v="0"/>
  </r>
  <r>
    <x v="40"/>
    <x v="84"/>
    <n v="85.2"/>
    <n v="5607.85"/>
    <n v="0"/>
  </r>
  <r>
    <x v="41"/>
    <x v="84"/>
    <n v="85.2"/>
    <n v="5786.43"/>
    <n v="323.72000000000003"/>
  </r>
  <r>
    <x v="42"/>
    <x v="84"/>
    <n v="85.2"/>
    <n v="5305.6"/>
    <n v="0"/>
  </r>
  <r>
    <x v="43"/>
    <x v="84"/>
    <n v="85.2"/>
    <n v="4821.24"/>
    <n v="0"/>
  </r>
  <r>
    <x v="44"/>
    <x v="84"/>
    <n v="85.2"/>
    <n v="5730.37"/>
    <n v="0"/>
  </r>
  <r>
    <x v="45"/>
    <x v="84"/>
    <n v="85.2"/>
    <n v="5925.48"/>
    <n v="0"/>
  </r>
  <r>
    <x v="46"/>
    <x v="84"/>
    <n v="85.2"/>
    <n v="4232.53"/>
    <n v="0"/>
  </r>
  <r>
    <x v="47"/>
    <x v="84"/>
    <n v="85.2"/>
    <n v="4694.53"/>
    <n v="279.95"/>
  </r>
  <r>
    <x v="48"/>
    <x v="84"/>
    <n v="85.2"/>
    <n v="9683.0300000000007"/>
    <n v="440.46"/>
  </r>
  <r>
    <x v="49"/>
    <x v="84"/>
    <n v="85.2"/>
    <n v="6186.99"/>
    <n v="316.82"/>
  </r>
  <r>
    <x v="50"/>
    <x v="84"/>
    <n v="85.2"/>
    <n v="5408.86"/>
    <n v="306.47000000000003"/>
  </r>
  <r>
    <x v="51"/>
    <x v="84"/>
    <n v="85.2"/>
    <n v="5546.95"/>
    <n v="274.67"/>
  </r>
  <r>
    <x v="52"/>
    <x v="84"/>
    <n v="85.2"/>
    <n v="5652.93"/>
    <n v="270.36"/>
  </r>
  <r>
    <x v="53"/>
    <x v="84"/>
    <n v="85.2"/>
    <n v="5990.34"/>
    <n v="0"/>
  </r>
  <r>
    <x v="54"/>
    <x v="84"/>
    <n v="85.2"/>
    <n v="4500.96"/>
    <n v="0"/>
  </r>
  <r>
    <x v="55"/>
    <x v="84"/>
    <n v="85.2"/>
    <n v="5238.42"/>
    <n v="0"/>
  </r>
  <r>
    <x v="56"/>
    <x v="84"/>
    <n v="85.2"/>
    <n v="6244.89"/>
    <n v="0"/>
  </r>
  <r>
    <x v="57"/>
    <x v="84"/>
    <n v="85.2"/>
    <n v="6651.02"/>
    <n v="0"/>
  </r>
  <r>
    <x v="58"/>
    <x v="84"/>
    <n v="85.2"/>
    <n v="4296.1400000000003"/>
    <n v="0"/>
  </r>
  <r>
    <x v="59"/>
    <x v="84"/>
    <n v="85.2"/>
    <n v="5596.45"/>
    <n v="312.7"/>
  </r>
  <r>
    <x v="60"/>
    <x v="84"/>
    <n v="85.2"/>
    <n v="8733.98"/>
    <n v="375.59"/>
  </r>
  <r>
    <x v="61"/>
    <x v="84"/>
    <n v="85.2"/>
    <n v="6376.01"/>
    <n v="297.2"/>
  </r>
  <r>
    <x v="62"/>
    <x v="84"/>
    <n v="85.2"/>
    <n v="6161.96"/>
    <n v="334.81"/>
  </r>
  <r>
    <x v="63"/>
    <x v="84"/>
    <n v="85.2"/>
    <n v="5490.94"/>
    <n v="293.31"/>
  </r>
  <r>
    <x v="64"/>
    <x v="84"/>
    <n v="85.2"/>
    <n v="6360.89"/>
    <n v="0"/>
  </r>
  <r>
    <x v="65"/>
    <x v="84"/>
    <n v="85.2"/>
    <n v="6867.48"/>
    <n v="0"/>
  </r>
  <r>
    <x v="66"/>
    <x v="84"/>
    <n v="85.2"/>
    <n v="5548.13"/>
    <n v="0"/>
  </r>
  <r>
    <x v="67"/>
    <x v="84"/>
    <n v="85.2"/>
    <n v="5841.39"/>
    <n v="0"/>
  </r>
  <r>
    <x v="68"/>
    <x v="84"/>
    <n v="85.2"/>
    <n v="5663.74"/>
    <n v="0"/>
  </r>
  <r>
    <x v="69"/>
    <x v="84"/>
    <n v="85.2"/>
    <n v="6893.29"/>
    <n v="307.23"/>
  </r>
  <r>
    <x v="70"/>
    <x v="84"/>
    <n v="85.2"/>
    <n v="5955.17"/>
    <n v="336.11"/>
  </r>
  <r>
    <x v="71"/>
    <x v="84"/>
    <n v="85.2"/>
    <n v="6121.11"/>
    <n v="331.75"/>
  </r>
  <r>
    <x v="72"/>
    <x v="84"/>
    <n v="85.2"/>
    <n v="0"/>
    <n v="0"/>
  </r>
  <r>
    <x v="73"/>
    <x v="84"/>
    <n v="85.2"/>
    <n v="0"/>
    <n v="0"/>
  </r>
  <r>
    <x v="74"/>
    <x v="84"/>
    <n v="85.2"/>
    <n v="0"/>
    <n v="0"/>
  </r>
  <r>
    <x v="75"/>
    <x v="84"/>
    <n v="85.2"/>
    <n v="0"/>
    <n v="0"/>
  </r>
  <r>
    <x v="76"/>
    <x v="84"/>
    <n v="85.2"/>
    <n v="0"/>
    <n v="0"/>
  </r>
  <r>
    <x v="77"/>
    <x v="84"/>
    <n v="85.2"/>
    <n v="0"/>
    <n v="0"/>
  </r>
  <r>
    <x v="78"/>
    <x v="84"/>
    <n v="85.2"/>
    <n v="0"/>
    <n v="0"/>
  </r>
  <r>
    <x v="79"/>
    <x v="84"/>
    <n v="85.2"/>
    <n v="0"/>
    <n v="0"/>
  </r>
  <r>
    <x v="80"/>
    <x v="84"/>
    <n v="85.2"/>
    <n v="0"/>
    <n v="0"/>
  </r>
  <r>
    <x v="81"/>
    <x v="84"/>
    <n v="85.2"/>
    <n v="0"/>
    <n v="0"/>
  </r>
  <r>
    <x v="82"/>
    <x v="84"/>
    <n v="85.2"/>
    <n v="0"/>
    <n v="0"/>
  </r>
  <r>
    <x v="83"/>
    <x v="84"/>
    <n v="85.2"/>
    <n v="0"/>
    <n v="0"/>
  </r>
  <r>
    <x v="84"/>
    <x v="84"/>
    <n v="85.2"/>
    <n v="0"/>
    <n v="0"/>
  </r>
  <r>
    <x v="85"/>
    <x v="84"/>
    <n v="85.2"/>
    <n v="0"/>
    <n v="0"/>
  </r>
  <r>
    <x v="86"/>
    <x v="84"/>
    <n v="85.2"/>
    <n v="0"/>
    <n v="0"/>
  </r>
  <r>
    <x v="87"/>
    <x v="84"/>
    <n v="85.2"/>
    <n v="0"/>
    <n v="0"/>
  </r>
  <r>
    <x v="88"/>
    <x v="84"/>
    <n v="85.2"/>
    <n v="0"/>
    <n v="0"/>
  </r>
  <r>
    <x v="89"/>
    <x v="84"/>
    <n v="85.2"/>
    <n v="0"/>
    <n v="0"/>
  </r>
  <r>
    <x v="90"/>
    <x v="84"/>
    <n v="85.2"/>
    <n v="0"/>
    <n v="0"/>
  </r>
  <r>
    <x v="91"/>
    <x v="84"/>
    <n v="85.2"/>
    <n v="0"/>
    <n v="0"/>
  </r>
  <r>
    <x v="92"/>
    <x v="84"/>
    <n v="85.2"/>
    <n v="0"/>
    <n v="0"/>
  </r>
  <r>
    <x v="93"/>
    <x v="84"/>
    <n v="85.2"/>
    <n v="0"/>
    <n v="0"/>
  </r>
  <r>
    <x v="94"/>
    <x v="84"/>
    <n v="85.2"/>
    <n v="0"/>
    <n v="0"/>
  </r>
  <r>
    <x v="95"/>
    <x v="84"/>
    <n v="85.2"/>
    <n v="0"/>
    <n v="0"/>
  </r>
  <r>
    <x v="0"/>
    <x v="85"/>
    <n v="85.5"/>
    <n v="1261.23"/>
    <n v="225.08"/>
  </r>
  <r>
    <x v="1"/>
    <x v="85"/>
    <n v="85.5"/>
    <n v="931.62"/>
    <n v="177.03"/>
  </r>
  <r>
    <x v="2"/>
    <x v="85"/>
    <n v="85.5"/>
    <n v="835.12"/>
    <n v="175.1"/>
  </r>
  <r>
    <x v="3"/>
    <x v="85"/>
    <n v="85.5"/>
    <n v="801.98"/>
    <n v="176.24"/>
  </r>
  <r>
    <x v="4"/>
    <x v="85"/>
    <n v="85.5"/>
    <n v="864.81"/>
    <n v="176.27"/>
  </r>
  <r>
    <x v="5"/>
    <x v="85"/>
    <n v="85.5"/>
    <n v="930.81"/>
    <n v="179.95"/>
  </r>
  <r>
    <x v="6"/>
    <x v="85"/>
    <n v="85.5"/>
    <n v="863.27"/>
    <n v="163.19999999999999"/>
  </r>
  <r>
    <x v="7"/>
    <x v="85"/>
    <n v="85.5"/>
    <n v="911.84"/>
    <n v="182.93"/>
  </r>
  <r>
    <x v="8"/>
    <x v="85"/>
    <n v="85.5"/>
    <n v="1025.3"/>
    <n v="177.83"/>
  </r>
  <r>
    <x v="9"/>
    <x v="85"/>
    <n v="85.5"/>
    <n v="1005.59"/>
    <n v="173.71"/>
  </r>
  <r>
    <x v="10"/>
    <x v="85"/>
    <n v="85.5"/>
    <n v="889.06"/>
    <n v="170.36"/>
  </r>
  <r>
    <x v="11"/>
    <x v="85"/>
    <n v="85.5"/>
    <n v="-772.22"/>
    <n v="-790.5"/>
  </r>
  <r>
    <x v="12"/>
    <x v="85"/>
    <n v="85.5"/>
    <n v="60.36"/>
    <n v="101.56"/>
  </r>
  <r>
    <x v="13"/>
    <x v="85"/>
    <n v="85.5"/>
    <n v="62.23"/>
    <n v="88.94"/>
  </r>
  <r>
    <x v="14"/>
    <x v="85"/>
    <n v="85.5"/>
    <n v="64.94"/>
    <n v="93.66"/>
  </r>
  <r>
    <x v="15"/>
    <x v="85"/>
    <n v="85.5"/>
    <n v="55.71"/>
    <n v="92.32"/>
  </r>
  <r>
    <x v="16"/>
    <x v="85"/>
    <n v="85.5"/>
    <n v="55.72"/>
    <n v="94.23"/>
  </r>
  <r>
    <x v="17"/>
    <x v="85"/>
    <n v="85.5"/>
    <n v="54.03"/>
    <n v="89.2"/>
  </r>
  <r>
    <x v="18"/>
    <x v="85"/>
    <n v="85.5"/>
    <n v="49.88"/>
    <n v="81.69"/>
  </r>
  <r>
    <x v="19"/>
    <x v="85"/>
    <n v="85.5"/>
    <n v="52.19"/>
    <n v="89.05"/>
  </r>
  <r>
    <x v="20"/>
    <x v="85"/>
    <n v="85.5"/>
    <n v="53.35"/>
    <n v="92.77"/>
  </r>
  <r>
    <x v="21"/>
    <x v="85"/>
    <n v="85.5"/>
    <n v="49.72"/>
    <n v="89.21"/>
  </r>
  <r>
    <x v="22"/>
    <x v="85"/>
    <n v="85.5"/>
    <n v="43.97"/>
    <n v="87.87"/>
  </r>
  <r>
    <x v="23"/>
    <x v="85"/>
    <n v="85.5"/>
    <n v="38.619999999999997"/>
    <n v="83.02"/>
  </r>
  <r>
    <x v="24"/>
    <x v="85"/>
    <n v="85.5"/>
    <n v="1668.21"/>
    <n v="297.49"/>
  </r>
  <r>
    <x v="25"/>
    <x v="85"/>
    <n v="85.5"/>
    <n v="1046.53"/>
    <n v="220.22"/>
  </r>
  <r>
    <x v="26"/>
    <x v="85"/>
    <n v="85.5"/>
    <n v="937.67"/>
    <n v="214"/>
  </r>
  <r>
    <x v="27"/>
    <x v="85"/>
    <n v="85.5"/>
    <n v="1013.4"/>
    <n v="234.58"/>
  </r>
  <r>
    <x v="28"/>
    <x v="85"/>
    <n v="85.5"/>
    <n v="983.65"/>
    <n v="219.87"/>
  </r>
  <r>
    <x v="29"/>
    <x v="85"/>
    <n v="85.5"/>
    <n v="1121.23"/>
    <n v="229.18"/>
  </r>
  <r>
    <x v="30"/>
    <x v="85"/>
    <n v="85.5"/>
    <n v="994.89"/>
    <n v="216.3"/>
  </r>
  <r>
    <x v="31"/>
    <x v="85"/>
    <n v="85.5"/>
    <n v="1031.99"/>
    <n v="230.59"/>
  </r>
  <r>
    <x v="32"/>
    <x v="85"/>
    <n v="85.5"/>
    <n v="1113.69"/>
    <n v="219.67"/>
  </r>
  <r>
    <x v="33"/>
    <x v="85"/>
    <n v="85.5"/>
    <n v="1169.33"/>
    <n v="219.92"/>
  </r>
  <r>
    <x v="34"/>
    <x v="85"/>
    <n v="85.5"/>
    <n v="1075.3800000000001"/>
    <n v="233.38"/>
  </r>
  <r>
    <x v="35"/>
    <x v="85"/>
    <n v="85.5"/>
    <n v="1008.69"/>
    <n v="207.35"/>
  </r>
  <r>
    <x v="36"/>
    <x v="85"/>
    <n v="85.5"/>
    <n v="5562.25"/>
    <n v="399.84"/>
  </r>
  <r>
    <x v="37"/>
    <x v="85"/>
    <n v="85.5"/>
    <n v="3253.73"/>
    <n v="273.38"/>
  </r>
  <r>
    <x v="38"/>
    <x v="85"/>
    <n v="85.5"/>
    <n v="3508.99"/>
    <n v="330.07"/>
  </r>
  <r>
    <x v="39"/>
    <x v="85"/>
    <n v="85.5"/>
    <n v="3063.5"/>
    <n v="0"/>
  </r>
  <r>
    <x v="40"/>
    <x v="85"/>
    <n v="85.5"/>
    <n v="3884.55"/>
    <n v="0"/>
  </r>
  <r>
    <x v="41"/>
    <x v="85"/>
    <n v="85.5"/>
    <n v="4004.32"/>
    <n v="320.91000000000003"/>
  </r>
  <r>
    <x v="42"/>
    <x v="85"/>
    <n v="85.5"/>
    <n v="3655.91"/>
    <n v="0"/>
  </r>
  <r>
    <x v="43"/>
    <x v="85"/>
    <n v="85.5"/>
    <n v="3306.9"/>
    <n v="0"/>
  </r>
  <r>
    <x v="44"/>
    <x v="85"/>
    <n v="85.5"/>
    <n v="4021.85"/>
    <n v="0"/>
  </r>
  <r>
    <x v="45"/>
    <x v="85"/>
    <n v="85.5"/>
    <n v="4194.1899999999996"/>
    <n v="0"/>
  </r>
  <r>
    <x v="46"/>
    <x v="85"/>
    <n v="85.5"/>
    <n v="2878.62"/>
    <n v="0"/>
  </r>
  <r>
    <x v="47"/>
    <x v="85"/>
    <n v="85.5"/>
    <n v="3203.46"/>
    <n v="275.41000000000003"/>
  </r>
  <r>
    <x v="48"/>
    <x v="85"/>
    <n v="85.5"/>
    <n v="6864.44"/>
    <n v="435.49"/>
  </r>
  <r>
    <x v="49"/>
    <x v="85"/>
    <n v="85.5"/>
    <n v="4373.17"/>
    <n v="313.83999999999997"/>
  </r>
  <r>
    <x v="50"/>
    <x v="85"/>
    <n v="85.5"/>
    <n v="3720.43"/>
    <n v="304.54000000000002"/>
  </r>
  <r>
    <x v="51"/>
    <x v="85"/>
    <n v="85.5"/>
    <n v="3841.04"/>
    <n v="276.54000000000002"/>
  </r>
  <r>
    <x v="52"/>
    <x v="85"/>
    <n v="85.5"/>
    <n v="3976.23"/>
    <n v="272.39999999999998"/>
  </r>
  <r>
    <x v="53"/>
    <x v="85"/>
    <n v="85.5"/>
    <n v="4183.16"/>
    <n v="0"/>
  </r>
  <r>
    <x v="54"/>
    <x v="85"/>
    <n v="85.5"/>
    <n v="3096.22"/>
    <n v="0"/>
  </r>
  <r>
    <x v="55"/>
    <x v="85"/>
    <n v="85.5"/>
    <n v="3620.83"/>
    <n v="0"/>
  </r>
  <r>
    <x v="56"/>
    <x v="85"/>
    <n v="85.5"/>
    <n v="4430.16"/>
    <n v="0"/>
  </r>
  <r>
    <x v="57"/>
    <x v="85"/>
    <n v="85.5"/>
    <n v="4788.97"/>
    <n v="0"/>
  </r>
  <r>
    <x v="58"/>
    <x v="85"/>
    <n v="85.5"/>
    <n v="2888.98"/>
    <n v="0"/>
  </r>
  <r>
    <x v="59"/>
    <x v="85"/>
    <n v="85.5"/>
    <n v="3887.24"/>
    <n v="308.51"/>
  </r>
  <r>
    <x v="60"/>
    <x v="85"/>
    <n v="85.5"/>
    <n v="6379.86"/>
    <n v="371.18"/>
  </r>
  <r>
    <x v="61"/>
    <x v="85"/>
    <n v="85.5"/>
    <n v="4583.13"/>
    <n v="294.38"/>
  </r>
  <r>
    <x v="62"/>
    <x v="85"/>
    <n v="85.5"/>
    <n v="4322.53"/>
    <n v="331.9"/>
  </r>
  <r>
    <x v="63"/>
    <x v="85"/>
    <n v="85.5"/>
    <n v="3851.86"/>
    <n v="291.98"/>
  </r>
  <r>
    <x v="64"/>
    <x v="85"/>
    <n v="85.5"/>
    <n v="4495.8999999999996"/>
    <n v="0"/>
  </r>
  <r>
    <x v="65"/>
    <x v="85"/>
    <n v="85.5"/>
    <n v="4858.76"/>
    <n v="0"/>
  </r>
  <r>
    <x v="66"/>
    <x v="85"/>
    <n v="85.5"/>
    <n v="3860.76"/>
    <n v="0"/>
  </r>
  <r>
    <x v="67"/>
    <x v="85"/>
    <n v="85.5"/>
    <n v="4058.57"/>
    <n v="0"/>
  </r>
  <r>
    <x v="68"/>
    <x v="85"/>
    <n v="85.5"/>
    <n v="4061.11"/>
    <n v="0"/>
  </r>
  <r>
    <x v="69"/>
    <x v="85"/>
    <n v="85.5"/>
    <n v="4962.17"/>
    <n v="303.37"/>
  </r>
  <r>
    <x v="70"/>
    <x v="85"/>
    <n v="85.5"/>
    <n v="4134.4799999999996"/>
    <n v="333.03"/>
  </r>
  <r>
    <x v="71"/>
    <x v="85"/>
    <n v="85.5"/>
    <n v="4258.33"/>
    <n v="328.55"/>
  </r>
  <r>
    <x v="72"/>
    <x v="85"/>
    <n v="85.5"/>
    <n v="0"/>
    <n v="0"/>
  </r>
  <r>
    <x v="73"/>
    <x v="85"/>
    <n v="85.5"/>
    <n v="0"/>
    <n v="0"/>
  </r>
  <r>
    <x v="74"/>
    <x v="85"/>
    <n v="85.5"/>
    <n v="0"/>
    <n v="0"/>
  </r>
  <r>
    <x v="75"/>
    <x v="85"/>
    <n v="85.5"/>
    <n v="0"/>
    <n v="0"/>
  </r>
  <r>
    <x v="76"/>
    <x v="85"/>
    <n v="85.5"/>
    <n v="0"/>
    <n v="0"/>
  </r>
  <r>
    <x v="77"/>
    <x v="85"/>
    <n v="85.5"/>
    <n v="0"/>
    <n v="0"/>
  </r>
  <r>
    <x v="78"/>
    <x v="85"/>
    <n v="85.5"/>
    <n v="0"/>
    <n v="0"/>
  </r>
  <r>
    <x v="79"/>
    <x v="85"/>
    <n v="85.5"/>
    <n v="0"/>
    <n v="0"/>
  </r>
  <r>
    <x v="80"/>
    <x v="85"/>
    <n v="85.5"/>
    <n v="0"/>
    <n v="0"/>
  </r>
  <r>
    <x v="81"/>
    <x v="85"/>
    <n v="85.5"/>
    <n v="0"/>
    <n v="0"/>
  </r>
  <r>
    <x v="82"/>
    <x v="85"/>
    <n v="85.5"/>
    <n v="0"/>
    <n v="0"/>
  </r>
  <r>
    <x v="83"/>
    <x v="85"/>
    <n v="85.5"/>
    <n v="0"/>
    <n v="0"/>
  </r>
  <r>
    <x v="84"/>
    <x v="85"/>
    <n v="85.5"/>
    <n v="0"/>
    <n v="0"/>
  </r>
  <r>
    <x v="85"/>
    <x v="85"/>
    <n v="85.5"/>
    <n v="0"/>
    <n v="0"/>
  </r>
  <r>
    <x v="86"/>
    <x v="85"/>
    <n v="85.5"/>
    <n v="0"/>
    <n v="0"/>
  </r>
  <r>
    <x v="87"/>
    <x v="85"/>
    <n v="85.5"/>
    <n v="0"/>
    <n v="0"/>
  </r>
  <r>
    <x v="88"/>
    <x v="85"/>
    <n v="85.5"/>
    <n v="0"/>
    <n v="0"/>
  </r>
  <r>
    <x v="89"/>
    <x v="85"/>
    <n v="85.5"/>
    <n v="0"/>
    <n v="0"/>
  </r>
  <r>
    <x v="90"/>
    <x v="85"/>
    <n v="85.5"/>
    <n v="0"/>
    <n v="0"/>
  </r>
  <r>
    <x v="91"/>
    <x v="85"/>
    <n v="85.5"/>
    <n v="0"/>
    <n v="0"/>
  </r>
  <r>
    <x v="92"/>
    <x v="85"/>
    <n v="85.5"/>
    <n v="0"/>
    <n v="0"/>
  </r>
  <r>
    <x v="93"/>
    <x v="85"/>
    <n v="85.5"/>
    <n v="0"/>
    <n v="0"/>
  </r>
  <r>
    <x v="94"/>
    <x v="85"/>
    <n v="85.5"/>
    <n v="0"/>
    <n v="0"/>
  </r>
  <r>
    <x v="95"/>
    <x v="85"/>
    <n v="85.5"/>
    <n v="0"/>
    <n v="0"/>
  </r>
  <r>
    <x v="0"/>
    <x v="86"/>
    <n v="85.8"/>
    <n v="866.94"/>
    <n v="223.55"/>
  </r>
  <r>
    <x v="1"/>
    <x v="86"/>
    <n v="85.8"/>
    <n v="648.33000000000004"/>
    <n v="176.04"/>
  </r>
  <r>
    <x v="2"/>
    <x v="86"/>
    <n v="85.8"/>
    <n v="580.17999999999995"/>
    <n v="174.17"/>
  </r>
  <r>
    <x v="3"/>
    <x v="86"/>
    <n v="85.8"/>
    <n v="555.88"/>
    <n v="174.95"/>
  </r>
  <r>
    <x v="4"/>
    <x v="86"/>
    <n v="85.8"/>
    <n v="601.49"/>
    <n v="174.95"/>
  </r>
  <r>
    <x v="5"/>
    <x v="86"/>
    <n v="85.8"/>
    <n v="647.67999999999995"/>
    <n v="178.48"/>
  </r>
  <r>
    <x v="6"/>
    <x v="86"/>
    <n v="85.8"/>
    <n v="600.52"/>
    <n v="161.62"/>
  </r>
  <r>
    <x v="7"/>
    <x v="86"/>
    <n v="85.8"/>
    <n v="634.5"/>
    <n v="181.41"/>
  </r>
  <r>
    <x v="8"/>
    <x v="86"/>
    <n v="85.8"/>
    <n v="706.68"/>
    <n v="175.3"/>
  </r>
  <r>
    <x v="9"/>
    <x v="86"/>
    <n v="85.8"/>
    <n v="693.39"/>
    <n v="171.52"/>
  </r>
  <r>
    <x v="10"/>
    <x v="86"/>
    <n v="85.8"/>
    <n v="610.75"/>
    <n v="168.59"/>
  </r>
  <r>
    <x v="11"/>
    <x v="86"/>
    <n v="85.8"/>
    <n v="-749.83"/>
    <n v="-730.75"/>
  </r>
  <r>
    <x v="12"/>
    <x v="86"/>
    <n v="85.8"/>
    <n v="57.5"/>
    <n v="102.02"/>
  </r>
  <r>
    <x v="13"/>
    <x v="86"/>
    <n v="85.8"/>
    <n v="59.59"/>
    <n v="88.99"/>
  </r>
  <r>
    <x v="14"/>
    <x v="86"/>
    <n v="85.8"/>
    <n v="62.07"/>
    <n v="93.45"/>
  </r>
  <r>
    <x v="15"/>
    <x v="86"/>
    <n v="85.8"/>
    <n v="53.09"/>
    <n v="92.4"/>
  </r>
  <r>
    <x v="16"/>
    <x v="86"/>
    <n v="85.8"/>
    <n v="53.04"/>
    <n v="94.8"/>
  </r>
  <r>
    <x v="17"/>
    <x v="86"/>
    <n v="85.8"/>
    <n v="51.49"/>
    <n v="89.12"/>
  </r>
  <r>
    <x v="18"/>
    <x v="86"/>
    <n v="85.8"/>
    <n v="47.48"/>
    <n v="81.650000000000006"/>
  </r>
  <r>
    <x v="19"/>
    <x v="86"/>
    <n v="85.8"/>
    <n v="49.69"/>
    <n v="89.29"/>
  </r>
  <r>
    <x v="20"/>
    <x v="86"/>
    <n v="85.8"/>
    <n v="50.8"/>
    <n v="93.12"/>
  </r>
  <r>
    <x v="21"/>
    <x v="86"/>
    <n v="85.8"/>
    <n v="47.32"/>
    <n v="89.48"/>
  </r>
  <r>
    <x v="22"/>
    <x v="86"/>
    <n v="85.8"/>
    <n v="41.86"/>
    <n v="87.99"/>
  </r>
  <r>
    <x v="23"/>
    <x v="86"/>
    <n v="85.8"/>
    <n v="35.79"/>
    <n v="82.73"/>
  </r>
  <r>
    <x v="24"/>
    <x v="86"/>
    <n v="85.8"/>
    <n v="1158.75"/>
    <n v="293.86"/>
  </r>
  <r>
    <x v="25"/>
    <x v="86"/>
    <n v="85.8"/>
    <n v="736.72"/>
    <n v="218.69"/>
  </r>
  <r>
    <x v="26"/>
    <x v="86"/>
    <n v="85.8"/>
    <n v="658.65"/>
    <n v="211.63"/>
  </r>
  <r>
    <x v="27"/>
    <x v="86"/>
    <n v="85.8"/>
    <n v="713.39"/>
    <n v="232.48"/>
  </r>
  <r>
    <x v="28"/>
    <x v="86"/>
    <n v="85.8"/>
    <n v="684.89"/>
    <n v="218.52"/>
  </r>
  <r>
    <x v="29"/>
    <x v="86"/>
    <n v="85.8"/>
    <n v="791.05"/>
    <n v="227.43"/>
  </r>
  <r>
    <x v="30"/>
    <x v="86"/>
    <n v="85.8"/>
    <n v="699.8"/>
    <n v="214.95"/>
  </r>
  <r>
    <x v="31"/>
    <x v="86"/>
    <n v="85.8"/>
    <n v="726.23"/>
    <n v="229.02"/>
  </r>
  <r>
    <x v="32"/>
    <x v="86"/>
    <n v="85.8"/>
    <n v="777.19"/>
    <n v="218.44"/>
  </r>
  <r>
    <x v="33"/>
    <x v="86"/>
    <n v="85.8"/>
    <n v="815.48"/>
    <n v="218.31"/>
  </r>
  <r>
    <x v="34"/>
    <x v="86"/>
    <n v="85.8"/>
    <n v="755.35"/>
    <n v="232.28"/>
  </r>
  <r>
    <x v="35"/>
    <x v="86"/>
    <n v="85.8"/>
    <n v="708.64"/>
    <n v="204.79"/>
  </r>
  <r>
    <x v="36"/>
    <x v="86"/>
    <n v="85.8"/>
    <n v="3722.78"/>
    <n v="396.04"/>
  </r>
  <r>
    <x v="37"/>
    <x v="86"/>
    <n v="85.8"/>
    <n v="2206.12"/>
    <n v="270.91000000000003"/>
  </r>
  <r>
    <x v="38"/>
    <x v="86"/>
    <n v="85.8"/>
    <n v="2358.25"/>
    <n v="327.13"/>
  </r>
  <r>
    <x v="39"/>
    <x v="86"/>
    <n v="85.8"/>
    <n v="2058.66"/>
    <n v="0"/>
  </r>
  <r>
    <x v="40"/>
    <x v="86"/>
    <n v="85.8"/>
    <n v="2599.77"/>
    <n v="0"/>
  </r>
  <r>
    <x v="41"/>
    <x v="86"/>
    <n v="85.8"/>
    <n v="2679.57"/>
    <n v="318.29000000000002"/>
  </r>
  <r>
    <x v="42"/>
    <x v="86"/>
    <n v="85.8"/>
    <n v="2469.9699999999998"/>
    <n v="0"/>
  </r>
  <r>
    <x v="43"/>
    <x v="86"/>
    <n v="85.8"/>
    <n v="2228.3000000000002"/>
    <n v="0"/>
  </r>
  <r>
    <x v="44"/>
    <x v="86"/>
    <n v="85.8"/>
    <n v="2711.37"/>
    <n v="0"/>
  </r>
  <r>
    <x v="45"/>
    <x v="86"/>
    <n v="85.8"/>
    <n v="2842.09"/>
    <n v="0"/>
  </r>
  <r>
    <x v="46"/>
    <x v="86"/>
    <n v="85.8"/>
    <n v="1951.43"/>
    <n v="0"/>
  </r>
  <r>
    <x v="47"/>
    <x v="86"/>
    <n v="85.8"/>
    <n v="2150.9"/>
    <n v="270.83"/>
  </r>
  <r>
    <x v="48"/>
    <x v="86"/>
    <n v="85.8"/>
    <n v="4600.17"/>
    <n v="431.05"/>
  </r>
  <r>
    <x v="49"/>
    <x v="86"/>
    <n v="85.8"/>
    <n v="2962.54"/>
    <n v="310.92"/>
  </r>
  <r>
    <x v="50"/>
    <x v="86"/>
    <n v="85.8"/>
    <n v="2484.4299999999998"/>
    <n v="302.42"/>
  </r>
  <r>
    <x v="51"/>
    <x v="86"/>
    <n v="85.8"/>
    <n v="2570.2399999999998"/>
    <n v="278.42"/>
  </r>
  <r>
    <x v="52"/>
    <x v="86"/>
    <n v="85.8"/>
    <n v="2681.86"/>
    <n v="274.48"/>
  </r>
  <r>
    <x v="53"/>
    <x v="86"/>
    <n v="85.8"/>
    <n v="2780.59"/>
    <n v="0"/>
  </r>
  <r>
    <x v="54"/>
    <x v="86"/>
    <n v="85.8"/>
    <n v="2067.4699999999998"/>
    <n v="0"/>
  </r>
  <r>
    <x v="55"/>
    <x v="86"/>
    <n v="85.8"/>
    <n v="2447.46"/>
    <n v="0"/>
  </r>
  <r>
    <x v="56"/>
    <x v="86"/>
    <n v="85.8"/>
    <n v="2969.92"/>
    <n v="0"/>
  </r>
  <r>
    <x v="57"/>
    <x v="86"/>
    <n v="85.8"/>
    <n v="3241.03"/>
    <n v="0"/>
  </r>
  <r>
    <x v="58"/>
    <x v="86"/>
    <n v="85.8"/>
    <n v="1949.06"/>
    <n v="0"/>
  </r>
  <r>
    <x v="59"/>
    <x v="86"/>
    <n v="85.8"/>
    <n v="2602.89"/>
    <n v="304.17"/>
  </r>
  <r>
    <x v="60"/>
    <x v="86"/>
    <n v="85.8"/>
    <n v="4355.4399999999996"/>
    <n v="367"/>
  </r>
  <r>
    <x v="61"/>
    <x v="86"/>
    <n v="85.8"/>
    <n v="3097.18"/>
    <n v="291.77"/>
  </r>
  <r>
    <x v="62"/>
    <x v="86"/>
    <n v="85.8"/>
    <n v="2913.94"/>
    <n v="328.98"/>
  </r>
  <r>
    <x v="63"/>
    <x v="86"/>
    <n v="85.8"/>
    <n v="2594.19"/>
    <n v="290.49"/>
  </r>
  <r>
    <x v="64"/>
    <x v="86"/>
    <n v="85.8"/>
    <n v="3005.9"/>
    <n v="0"/>
  </r>
  <r>
    <x v="65"/>
    <x v="86"/>
    <n v="85.8"/>
    <n v="3250.98"/>
    <n v="0"/>
  </r>
  <r>
    <x v="66"/>
    <x v="86"/>
    <n v="85.8"/>
    <n v="2592.25"/>
    <n v="0"/>
  </r>
  <r>
    <x v="67"/>
    <x v="86"/>
    <n v="85.8"/>
    <n v="2721.86"/>
    <n v="0"/>
  </r>
  <r>
    <x v="68"/>
    <x v="86"/>
    <n v="85.8"/>
    <n v="2739.96"/>
    <n v="0"/>
  </r>
  <r>
    <x v="69"/>
    <x v="86"/>
    <n v="85.8"/>
    <n v="3331.35"/>
    <n v="300.3"/>
  </r>
  <r>
    <x v="70"/>
    <x v="86"/>
    <n v="85.8"/>
    <n v="2802.93"/>
    <n v="329.98"/>
  </r>
  <r>
    <x v="71"/>
    <x v="86"/>
    <n v="85.8"/>
    <n v="2856.22"/>
    <n v="325.45999999999998"/>
  </r>
  <r>
    <x v="72"/>
    <x v="86"/>
    <n v="85.8"/>
    <n v="0"/>
    <n v="0"/>
  </r>
  <r>
    <x v="73"/>
    <x v="86"/>
    <n v="85.8"/>
    <n v="0"/>
    <n v="0"/>
  </r>
  <r>
    <x v="74"/>
    <x v="86"/>
    <n v="85.8"/>
    <n v="0"/>
    <n v="0"/>
  </r>
  <r>
    <x v="75"/>
    <x v="86"/>
    <n v="85.8"/>
    <n v="0"/>
    <n v="0"/>
  </r>
  <r>
    <x v="76"/>
    <x v="86"/>
    <n v="85.8"/>
    <n v="0"/>
    <n v="0"/>
  </r>
  <r>
    <x v="77"/>
    <x v="86"/>
    <n v="85.8"/>
    <n v="0"/>
    <n v="0"/>
  </r>
  <r>
    <x v="78"/>
    <x v="86"/>
    <n v="85.8"/>
    <n v="0"/>
    <n v="0"/>
  </r>
  <r>
    <x v="79"/>
    <x v="86"/>
    <n v="85.8"/>
    <n v="0"/>
    <n v="0"/>
  </r>
  <r>
    <x v="80"/>
    <x v="86"/>
    <n v="85.8"/>
    <n v="0"/>
    <n v="0"/>
  </r>
  <r>
    <x v="81"/>
    <x v="86"/>
    <n v="85.8"/>
    <n v="0"/>
    <n v="0"/>
  </r>
  <r>
    <x v="82"/>
    <x v="86"/>
    <n v="85.8"/>
    <n v="0"/>
    <n v="0"/>
  </r>
  <r>
    <x v="83"/>
    <x v="86"/>
    <n v="85.8"/>
    <n v="0"/>
    <n v="0"/>
  </r>
  <r>
    <x v="84"/>
    <x v="86"/>
    <n v="85.8"/>
    <n v="0"/>
    <n v="0"/>
  </r>
  <r>
    <x v="85"/>
    <x v="86"/>
    <n v="85.8"/>
    <n v="0"/>
    <n v="0"/>
  </r>
  <r>
    <x v="86"/>
    <x v="86"/>
    <n v="85.8"/>
    <n v="0"/>
    <n v="0"/>
  </r>
  <r>
    <x v="87"/>
    <x v="86"/>
    <n v="85.8"/>
    <n v="0"/>
    <n v="0"/>
  </r>
  <r>
    <x v="88"/>
    <x v="86"/>
    <n v="85.8"/>
    <n v="0"/>
    <n v="0"/>
  </r>
  <r>
    <x v="89"/>
    <x v="86"/>
    <n v="85.8"/>
    <n v="0"/>
    <n v="0"/>
  </r>
  <r>
    <x v="90"/>
    <x v="86"/>
    <n v="85.8"/>
    <n v="0"/>
    <n v="0"/>
  </r>
  <r>
    <x v="91"/>
    <x v="86"/>
    <n v="85.8"/>
    <n v="0"/>
    <n v="0"/>
  </r>
  <r>
    <x v="92"/>
    <x v="86"/>
    <n v="85.8"/>
    <n v="0"/>
    <n v="0"/>
  </r>
  <r>
    <x v="93"/>
    <x v="86"/>
    <n v="85.8"/>
    <n v="0"/>
    <n v="0"/>
  </r>
  <r>
    <x v="94"/>
    <x v="86"/>
    <n v="85.8"/>
    <n v="0"/>
    <n v="0"/>
  </r>
  <r>
    <x v="95"/>
    <x v="86"/>
    <n v="85.8"/>
    <n v="0"/>
    <n v="0"/>
  </r>
  <r>
    <x v="0"/>
    <x v="87"/>
    <n v="86.1"/>
    <n v="613.91"/>
    <n v="222.15"/>
  </r>
  <r>
    <x v="1"/>
    <x v="87"/>
    <n v="86.1"/>
    <n v="464.35"/>
    <n v="175.08"/>
  </r>
  <r>
    <x v="2"/>
    <x v="87"/>
    <n v="86.1"/>
    <n v="415.34"/>
    <n v="173.29"/>
  </r>
  <r>
    <x v="3"/>
    <x v="87"/>
    <n v="86.1"/>
    <n v="397.4"/>
    <n v="173.73"/>
  </r>
  <r>
    <x v="4"/>
    <x v="87"/>
    <n v="86.1"/>
    <n v="430.67"/>
    <n v="173.69"/>
  </r>
  <r>
    <x v="5"/>
    <x v="87"/>
    <n v="86.1"/>
    <n v="463.59"/>
    <n v="177.1"/>
  </r>
  <r>
    <x v="6"/>
    <x v="87"/>
    <n v="86.1"/>
    <n v="429.88"/>
    <n v="160.15"/>
  </r>
  <r>
    <x v="7"/>
    <x v="87"/>
    <n v="86.1"/>
    <n v="454.26"/>
    <n v="179.96"/>
  </r>
  <r>
    <x v="8"/>
    <x v="87"/>
    <n v="86.1"/>
    <n v="500.38"/>
    <n v="172.81"/>
  </r>
  <r>
    <x v="9"/>
    <x v="87"/>
    <n v="86.1"/>
    <n v="490.95"/>
    <n v="169.37"/>
  </r>
  <r>
    <x v="10"/>
    <x v="87"/>
    <n v="86.1"/>
    <n v="432.81"/>
    <n v="166.9"/>
  </r>
  <r>
    <x v="11"/>
    <x v="87"/>
    <n v="86.1"/>
    <n v="-728.46"/>
    <n v="-672.95"/>
  </r>
  <r>
    <x v="12"/>
    <x v="87"/>
    <n v="86.1"/>
    <n v="54.89"/>
    <n v="102.56"/>
  </r>
  <r>
    <x v="13"/>
    <x v="87"/>
    <n v="86.1"/>
    <n v="57.14"/>
    <n v="88.98"/>
  </r>
  <r>
    <x v="14"/>
    <x v="87"/>
    <n v="86.1"/>
    <n v="59.41"/>
    <n v="93.25"/>
  </r>
  <r>
    <x v="15"/>
    <x v="87"/>
    <n v="86.1"/>
    <n v="50.68"/>
    <n v="92.46"/>
  </r>
  <r>
    <x v="16"/>
    <x v="87"/>
    <n v="86.1"/>
    <n v="50.56"/>
    <n v="95.36"/>
  </r>
  <r>
    <x v="17"/>
    <x v="87"/>
    <n v="86.1"/>
    <n v="49.16"/>
    <n v="89.06"/>
  </r>
  <r>
    <x v="18"/>
    <x v="87"/>
    <n v="86.1"/>
    <n v="45.27"/>
    <n v="81.599999999999994"/>
  </r>
  <r>
    <x v="19"/>
    <x v="87"/>
    <n v="86.1"/>
    <n v="47.39"/>
    <n v="89.51"/>
  </r>
  <r>
    <x v="20"/>
    <x v="87"/>
    <n v="86.1"/>
    <n v="48.44"/>
    <n v="93.49"/>
  </r>
  <r>
    <x v="21"/>
    <x v="87"/>
    <n v="86.1"/>
    <n v="45.11"/>
    <n v="89.73"/>
  </r>
  <r>
    <x v="22"/>
    <x v="87"/>
    <n v="86.1"/>
    <n v="39.93"/>
    <n v="88.12"/>
  </r>
  <r>
    <x v="23"/>
    <x v="87"/>
    <n v="86.1"/>
    <n v="33.11"/>
    <n v="82.42"/>
  </r>
  <r>
    <x v="24"/>
    <x v="87"/>
    <n v="86.1"/>
    <n v="828.54"/>
    <n v="290.39"/>
  </r>
  <r>
    <x v="25"/>
    <x v="87"/>
    <n v="86.1"/>
    <n v="534.25"/>
    <n v="217.24"/>
  </r>
  <r>
    <x v="26"/>
    <x v="87"/>
    <n v="86.1"/>
    <n v="476.77"/>
    <n v="209.4"/>
  </r>
  <r>
    <x v="27"/>
    <x v="87"/>
    <n v="86.1"/>
    <n v="517.98"/>
    <n v="230.49"/>
  </r>
  <r>
    <x v="28"/>
    <x v="87"/>
    <n v="86.1"/>
    <n v="491.84"/>
    <n v="217.27"/>
  </r>
  <r>
    <x v="29"/>
    <x v="87"/>
    <n v="86.1"/>
    <n v="574.15"/>
    <n v="225.76"/>
  </r>
  <r>
    <x v="30"/>
    <x v="87"/>
    <n v="86.1"/>
    <n v="506.84"/>
    <n v="213.65"/>
  </r>
  <r>
    <x v="31"/>
    <x v="87"/>
    <n v="86.1"/>
    <n v="526.45000000000005"/>
    <n v="227.51"/>
  </r>
  <r>
    <x v="32"/>
    <x v="87"/>
    <n v="86.1"/>
    <n v="557.63"/>
    <n v="217.24"/>
  </r>
  <r>
    <x v="33"/>
    <x v="87"/>
    <n v="86.1"/>
    <n v="584.32000000000005"/>
    <n v="216.78"/>
  </r>
  <r>
    <x v="34"/>
    <x v="87"/>
    <n v="86.1"/>
    <n v="546.9"/>
    <n v="231.21"/>
  </r>
  <r>
    <x v="35"/>
    <x v="87"/>
    <n v="86.1"/>
    <n v="511.95"/>
    <n v="202.34"/>
  </r>
  <r>
    <x v="36"/>
    <x v="87"/>
    <n v="86.1"/>
    <n v="2528.66"/>
    <n v="392.38"/>
  </r>
  <r>
    <x v="37"/>
    <x v="87"/>
    <n v="86.1"/>
    <n v="1517.88"/>
    <n v="268.56"/>
  </r>
  <r>
    <x v="38"/>
    <x v="87"/>
    <n v="86.1"/>
    <n v="1617.23"/>
    <n v="324.27999999999997"/>
  </r>
  <r>
    <x v="39"/>
    <x v="87"/>
    <n v="86.1"/>
    <n v="1410.71"/>
    <n v="0"/>
  </r>
  <r>
    <x v="40"/>
    <x v="87"/>
    <n v="86.1"/>
    <n v="1764.35"/>
    <n v="0"/>
  </r>
  <r>
    <x v="41"/>
    <x v="87"/>
    <n v="86.1"/>
    <n v="1818.86"/>
    <n v="315.79000000000002"/>
  </r>
  <r>
    <x v="42"/>
    <x v="87"/>
    <n v="86.1"/>
    <n v="1697.41"/>
    <n v="0"/>
  </r>
  <r>
    <x v="43"/>
    <x v="87"/>
    <n v="86.1"/>
    <n v="1528.79"/>
    <n v="0"/>
  </r>
  <r>
    <x v="44"/>
    <x v="87"/>
    <n v="86.1"/>
    <n v="1846.21"/>
    <n v="0"/>
  </r>
  <r>
    <x v="45"/>
    <x v="87"/>
    <n v="86.1"/>
    <n v="1940.15"/>
    <n v="0"/>
  </r>
  <r>
    <x v="46"/>
    <x v="87"/>
    <n v="86.1"/>
    <n v="1351.58"/>
    <n v="0"/>
  </r>
  <r>
    <x v="47"/>
    <x v="87"/>
    <n v="86.1"/>
    <n v="1471.6"/>
    <n v="266.49"/>
  </r>
  <r>
    <x v="48"/>
    <x v="87"/>
    <n v="86.1"/>
    <n v="3099.36"/>
    <n v="427.07"/>
  </r>
  <r>
    <x v="49"/>
    <x v="87"/>
    <n v="86.1"/>
    <n v="2024.54"/>
    <n v="308.12"/>
  </r>
  <r>
    <x v="50"/>
    <x v="87"/>
    <n v="86.1"/>
    <n v="1689.11"/>
    <n v="300.17"/>
  </r>
  <r>
    <x v="51"/>
    <x v="87"/>
    <n v="86.1"/>
    <n v="1745.16"/>
    <n v="280.14999999999998"/>
  </r>
  <r>
    <x v="52"/>
    <x v="87"/>
    <n v="86.1"/>
    <n v="1825.63"/>
    <n v="276.38"/>
  </r>
  <r>
    <x v="53"/>
    <x v="87"/>
    <n v="86.1"/>
    <n v="1849.8"/>
    <n v="0"/>
  </r>
  <r>
    <x v="54"/>
    <x v="87"/>
    <n v="86.1"/>
    <n v="1404.56"/>
    <n v="0"/>
  </r>
  <r>
    <x v="55"/>
    <x v="87"/>
    <n v="86.1"/>
    <n v="1680.46"/>
    <n v="0"/>
  </r>
  <r>
    <x v="56"/>
    <x v="87"/>
    <n v="86.1"/>
    <n v="2001.53"/>
    <n v="0"/>
  </r>
  <r>
    <x v="57"/>
    <x v="87"/>
    <n v="86.1"/>
    <n v="2192.91"/>
    <n v="0"/>
  </r>
  <r>
    <x v="58"/>
    <x v="87"/>
    <n v="86.1"/>
    <n v="1348.73"/>
    <n v="0"/>
  </r>
  <r>
    <x v="59"/>
    <x v="87"/>
    <n v="86.1"/>
    <n v="1764.73"/>
    <n v="299.68"/>
  </r>
  <r>
    <x v="60"/>
    <x v="87"/>
    <n v="86.1"/>
    <n v="2956.5"/>
    <n v="363.08"/>
  </r>
  <r>
    <x v="61"/>
    <x v="87"/>
    <n v="86.1"/>
    <n v="2094.2199999999998"/>
    <n v="289.39999999999998"/>
  </r>
  <r>
    <x v="62"/>
    <x v="87"/>
    <n v="86.1"/>
    <n v="1984.99"/>
    <n v="326.08"/>
  </r>
  <r>
    <x v="63"/>
    <x v="87"/>
    <n v="86.1"/>
    <n v="1764.03"/>
    <n v="288.88"/>
  </r>
  <r>
    <x v="64"/>
    <x v="87"/>
    <n v="86.1"/>
    <n v="2021.88"/>
    <n v="0"/>
  </r>
  <r>
    <x v="65"/>
    <x v="87"/>
    <n v="86.1"/>
    <n v="2187.77"/>
    <n v="0"/>
  </r>
  <r>
    <x v="66"/>
    <x v="87"/>
    <n v="86.1"/>
    <n v="1763.41"/>
    <n v="0"/>
  </r>
  <r>
    <x v="67"/>
    <x v="87"/>
    <n v="86.1"/>
    <n v="1849.56"/>
    <n v="0"/>
  </r>
  <r>
    <x v="68"/>
    <x v="87"/>
    <n v="86.1"/>
    <n v="1850.64"/>
    <n v="0"/>
  </r>
  <r>
    <x v="69"/>
    <x v="87"/>
    <n v="86.1"/>
    <n v="2224"/>
    <n v="297.92"/>
  </r>
  <r>
    <x v="70"/>
    <x v="87"/>
    <n v="86.1"/>
    <n v="1928.04"/>
    <n v="327.02"/>
  </r>
  <r>
    <x v="71"/>
    <x v="87"/>
    <n v="86.1"/>
    <n v="1939.21"/>
    <n v="322.58999999999997"/>
  </r>
  <r>
    <x v="72"/>
    <x v="87"/>
    <n v="86.1"/>
    <n v="0"/>
    <n v="0"/>
  </r>
  <r>
    <x v="73"/>
    <x v="87"/>
    <n v="86.1"/>
    <n v="0"/>
    <n v="0"/>
  </r>
  <r>
    <x v="74"/>
    <x v="87"/>
    <n v="86.1"/>
    <n v="0"/>
    <n v="0"/>
  </r>
  <r>
    <x v="75"/>
    <x v="87"/>
    <n v="86.1"/>
    <n v="0"/>
    <n v="0"/>
  </r>
  <r>
    <x v="76"/>
    <x v="87"/>
    <n v="86.1"/>
    <n v="0"/>
    <n v="0"/>
  </r>
  <r>
    <x v="77"/>
    <x v="87"/>
    <n v="86.1"/>
    <n v="0"/>
    <n v="0"/>
  </r>
  <r>
    <x v="78"/>
    <x v="87"/>
    <n v="86.1"/>
    <n v="0"/>
    <n v="0"/>
  </r>
  <r>
    <x v="79"/>
    <x v="87"/>
    <n v="86.1"/>
    <n v="0"/>
    <n v="0"/>
  </r>
  <r>
    <x v="80"/>
    <x v="87"/>
    <n v="86.1"/>
    <n v="0"/>
    <n v="0"/>
  </r>
  <r>
    <x v="81"/>
    <x v="87"/>
    <n v="86.1"/>
    <n v="0"/>
    <n v="0"/>
  </r>
  <r>
    <x v="82"/>
    <x v="87"/>
    <n v="86.1"/>
    <n v="0"/>
    <n v="0"/>
  </r>
  <r>
    <x v="83"/>
    <x v="87"/>
    <n v="86.1"/>
    <n v="0"/>
    <n v="0"/>
  </r>
  <r>
    <x v="84"/>
    <x v="87"/>
    <n v="86.1"/>
    <n v="0"/>
    <n v="0"/>
  </r>
  <r>
    <x v="85"/>
    <x v="87"/>
    <n v="86.1"/>
    <n v="0"/>
    <n v="0"/>
  </r>
  <r>
    <x v="86"/>
    <x v="87"/>
    <n v="86.1"/>
    <n v="0"/>
    <n v="0"/>
  </r>
  <r>
    <x v="87"/>
    <x v="87"/>
    <n v="86.1"/>
    <n v="0"/>
    <n v="0"/>
  </r>
  <r>
    <x v="88"/>
    <x v="87"/>
    <n v="86.1"/>
    <n v="0"/>
    <n v="0"/>
  </r>
  <r>
    <x v="89"/>
    <x v="87"/>
    <n v="86.1"/>
    <n v="0"/>
    <n v="0"/>
  </r>
  <r>
    <x v="90"/>
    <x v="87"/>
    <n v="86.1"/>
    <n v="0"/>
    <n v="0"/>
  </r>
  <r>
    <x v="91"/>
    <x v="87"/>
    <n v="86.1"/>
    <n v="0"/>
    <n v="0"/>
  </r>
  <r>
    <x v="92"/>
    <x v="87"/>
    <n v="86.1"/>
    <n v="0"/>
    <n v="0"/>
  </r>
  <r>
    <x v="93"/>
    <x v="87"/>
    <n v="86.1"/>
    <n v="0"/>
    <n v="0"/>
  </r>
  <r>
    <x v="94"/>
    <x v="87"/>
    <n v="86.1"/>
    <n v="0"/>
    <n v="0"/>
  </r>
  <r>
    <x v="95"/>
    <x v="87"/>
    <n v="86.1"/>
    <n v="0"/>
    <n v="0"/>
  </r>
  <r>
    <x v="0"/>
    <x v="88"/>
    <n v="86.4"/>
    <n v="448.61"/>
    <n v="220.87"/>
  </r>
  <r>
    <x v="1"/>
    <x v="88"/>
    <n v="86.4"/>
    <n v="342.83"/>
    <n v="174.14"/>
  </r>
  <r>
    <x v="2"/>
    <x v="88"/>
    <n v="86.4"/>
    <n v="306.64"/>
    <n v="172.44"/>
  </r>
  <r>
    <x v="3"/>
    <x v="88"/>
    <n v="86.4"/>
    <n v="293.19"/>
    <n v="172.57"/>
  </r>
  <r>
    <x v="4"/>
    <x v="88"/>
    <n v="86.4"/>
    <n v="317.93"/>
    <n v="172.5"/>
  </r>
  <r>
    <x v="5"/>
    <x v="88"/>
    <n v="86.4"/>
    <n v="341.83"/>
    <n v="175.79"/>
  </r>
  <r>
    <x v="6"/>
    <x v="88"/>
    <n v="86.4"/>
    <n v="317.19"/>
    <n v="158.79"/>
  </r>
  <r>
    <x v="7"/>
    <x v="88"/>
    <n v="86.4"/>
    <n v="335.1"/>
    <n v="178.6"/>
  </r>
  <r>
    <x v="8"/>
    <x v="88"/>
    <n v="86.4"/>
    <n v="365.14"/>
    <n v="170.38"/>
  </r>
  <r>
    <x v="9"/>
    <x v="88"/>
    <n v="86.4"/>
    <n v="358.07"/>
    <n v="167.27"/>
  </r>
  <r>
    <x v="10"/>
    <x v="88"/>
    <n v="86.4"/>
    <n v="316.95999999999998"/>
    <n v="165.28"/>
  </r>
  <r>
    <x v="11"/>
    <x v="88"/>
    <n v="86.4"/>
    <n v="-708.16"/>
    <n v="-617.32000000000005"/>
  </r>
  <r>
    <x v="12"/>
    <x v="88"/>
    <n v="86.4"/>
    <n v="52.52"/>
    <n v="103.2"/>
  </r>
  <r>
    <x v="13"/>
    <x v="88"/>
    <n v="86.4"/>
    <n v="54.88"/>
    <n v="88.94"/>
  </r>
  <r>
    <x v="14"/>
    <x v="88"/>
    <n v="86.4"/>
    <n v="56.96"/>
    <n v="93.05"/>
  </r>
  <r>
    <x v="15"/>
    <x v="88"/>
    <n v="86.4"/>
    <n v="48.46"/>
    <n v="92.5"/>
  </r>
  <r>
    <x v="16"/>
    <x v="88"/>
    <n v="86.4"/>
    <n v="48.28"/>
    <n v="95.89"/>
  </r>
  <r>
    <x v="17"/>
    <x v="88"/>
    <n v="86.4"/>
    <n v="47.01"/>
    <n v="89.01"/>
  </r>
  <r>
    <x v="18"/>
    <x v="88"/>
    <n v="86.4"/>
    <n v="43.24"/>
    <n v="81.55"/>
  </r>
  <r>
    <x v="19"/>
    <x v="88"/>
    <n v="86.4"/>
    <n v="45.26"/>
    <n v="89.72"/>
  </r>
  <r>
    <x v="20"/>
    <x v="88"/>
    <n v="86.4"/>
    <n v="46.28"/>
    <n v="93.85"/>
  </r>
  <r>
    <x v="21"/>
    <x v="88"/>
    <n v="86.4"/>
    <n v="43.1"/>
    <n v="89.96"/>
  </r>
  <r>
    <x v="22"/>
    <x v="88"/>
    <n v="86.4"/>
    <n v="38.18"/>
    <n v="88.27"/>
  </r>
  <r>
    <x v="23"/>
    <x v="88"/>
    <n v="86.4"/>
    <n v="30.58"/>
    <n v="82.07"/>
  </r>
  <r>
    <x v="24"/>
    <x v="88"/>
    <n v="86.4"/>
    <n v="610.62"/>
    <n v="287.12"/>
  </r>
  <r>
    <x v="25"/>
    <x v="88"/>
    <n v="86.4"/>
    <n v="399.29"/>
    <n v="215.88"/>
  </r>
  <r>
    <x v="26"/>
    <x v="88"/>
    <n v="86.4"/>
    <n v="355.7"/>
    <n v="207.32"/>
  </r>
  <r>
    <x v="27"/>
    <x v="88"/>
    <n v="86.4"/>
    <n v="387.93"/>
    <n v="228.59"/>
  </r>
  <r>
    <x v="28"/>
    <x v="88"/>
    <n v="86.4"/>
    <n v="364.54"/>
    <n v="216.06"/>
  </r>
  <r>
    <x v="29"/>
    <x v="88"/>
    <n v="86.4"/>
    <n v="429.06"/>
    <n v="224.18"/>
  </r>
  <r>
    <x v="30"/>
    <x v="88"/>
    <n v="86.4"/>
    <n v="378.19"/>
    <n v="212.4"/>
  </r>
  <r>
    <x v="31"/>
    <x v="88"/>
    <n v="86.4"/>
    <n v="393.33"/>
    <n v="226.06"/>
  </r>
  <r>
    <x v="32"/>
    <x v="88"/>
    <n v="86.4"/>
    <n v="412.12"/>
    <n v="216.09"/>
  </r>
  <r>
    <x v="33"/>
    <x v="88"/>
    <n v="86.4"/>
    <n v="431.05"/>
    <n v="215.33"/>
  </r>
  <r>
    <x v="34"/>
    <x v="88"/>
    <n v="86.4"/>
    <n v="408.25"/>
    <n v="230.18"/>
  </r>
  <r>
    <x v="35"/>
    <x v="88"/>
    <n v="86.4"/>
    <n v="380.43"/>
    <n v="200.02"/>
  </r>
  <r>
    <x v="36"/>
    <x v="88"/>
    <n v="86.4"/>
    <n v="1765.43"/>
    <n v="388.78"/>
  </r>
  <r>
    <x v="37"/>
    <x v="88"/>
    <n v="86.4"/>
    <n v="1071.8900000000001"/>
    <n v="266.27999999999997"/>
  </r>
  <r>
    <x v="38"/>
    <x v="88"/>
    <n v="86.4"/>
    <n v="1141.73"/>
    <n v="321.49"/>
  </r>
  <r>
    <x v="39"/>
    <x v="88"/>
    <n v="86.4"/>
    <n v="994.69"/>
    <n v="0"/>
  </r>
  <r>
    <x v="40"/>
    <x v="88"/>
    <n v="86.4"/>
    <n v="1231.07"/>
    <n v="0"/>
  </r>
  <r>
    <x v="41"/>
    <x v="88"/>
    <n v="86.4"/>
    <n v="1269.28"/>
    <n v="313.33999999999997"/>
  </r>
  <r>
    <x v="42"/>
    <x v="88"/>
    <n v="86.4"/>
    <n v="1198.74"/>
    <n v="0"/>
  </r>
  <r>
    <x v="43"/>
    <x v="88"/>
    <n v="86.4"/>
    <n v="1078.26"/>
    <n v="0"/>
  </r>
  <r>
    <x v="44"/>
    <x v="88"/>
    <n v="86.4"/>
    <n v="1289.74"/>
    <n v="0"/>
  </r>
  <r>
    <x v="45"/>
    <x v="88"/>
    <n v="86.4"/>
    <n v="1356.62"/>
    <n v="0"/>
  </r>
  <r>
    <x v="46"/>
    <x v="88"/>
    <n v="86.4"/>
    <n v="962.88"/>
    <n v="0"/>
  </r>
  <r>
    <x v="47"/>
    <x v="88"/>
    <n v="86.4"/>
    <n v="1035.28"/>
    <n v="262.70999999999998"/>
  </r>
  <r>
    <x v="48"/>
    <x v="88"/>
    <n v="86.4"/>
    <n v="2142.5700000000002"/>
    <n v="423.49"/>
  </r>
  <r>
    <x v="49"/>
    <x v="88"/>
    <n v="86.4"/>
    <n v="1419.09"/>
    <n v="305.44"/>
  </r>
  <r>
    <x v="50"/>
    <x v="88"/>
    <n v="86.4"/>
    <n v="1183.9100000000001"/>
    <n v="297.85000000000002"/>
  </r>
  <r>
    <x v="51"/>
    <x v="88"/>
    <n v="86.4"/>
    <n v="1218.57"/>
    <n v="281.60000000000002"/>
  </r>
  <r>
    <x v="52"/>
    <x v="88"/>
    <n v="86.4"/>
    <n v="1274.7"/>
    <n v="277.97000000000003"/>
  </r>
  <r>
    <x v="53"/>
    <x v="88"/>
    <n v="86.4"/>
    <n v="1256.46"/>
    <n v="0"/>
  </r>
  <r>
    <x v="54"/>
    <x v="88"/>
    <n v="86.4"/>
    <n v="982.62"/>
    <n v="0"/>
  </r>
  <r>
    <x v="55"/>
    <x v="88"/>
    <n v="86.4"/>
    <n v="1184.92"/>
    <n v="0"/>
  </r>
  <r>
    <x v="56"/>
    <x v="88"/>
    <n v="86.4"/>
    <n v="1384.42"/>
    <n v="0"/>
  </r>
  <r>
    <x v="57"/>
    <x v="88"/>
    <n v="86.4"/>
    <n v="1518.27"/>
    <n v="0"/>
  </r>
  <r>
    <x v="58"/>
    <x v="88"/>
    <n v="86.4"/>
    <n v="962.51"/>
    <n v="0"/>
  </r>
  <r>
    <x v="59"/>
    <x v="88"/>
    <n v="86.4"/>
    <n v="1229.06"/>
    <n v="295.01"/>
  </r>
  <r>
    <x v="60"/>
    <x v="88"/>
    <n v="86.4"/>
    <n v="2047.83"/>
    <n v="359.41"/>
  </r>
  <r>
    <x v="61"/>
    <x v="88"/>
    <n v="86.4"/>
    <n v="1450.3"/>
    <n v="287.22000000000003"/>
  </r>
  <r>
    <x v="62"/>
    <x v="88"/>
    <n v="86.4"/>
    <n v="1387.74"/>
    <n v="323.23"/>
  </r>
  <r>
    <x v="63"/>
    <x v="88"/>
    <n v="86.4"/>
    <n v="1230.5"/>
    <n v="287.17"/>
  </r>
  <r>
    <x v="64"/>
    <x v="88"/>
    <n v="86.4"/>
    <n v="1396.13"/>
    <n v="0"/>
  </r>
  <r>
    <x v="65"/>
    <x v="88"/>
    <n v="86.4"/>
    <n v="1510.88"/>
    <n v="0"/>
  </r>
  <r>
    <x v="66"/>
    <x v="88"/>
    <n v="86.4"/>
    <n v="1232.51"/>
    <n v="0"/>
  </r>
  <r>
    <x v="67"/>
    <x v="88"/>
    <n v="86.4"/>
    <n v="1291.3499999999999"/>
    <n v="0"/>
  </r>
  <r>
    <x v="68"/>
    <x v="88"/>
    <n v="86.4"/>
    <n v="1280.06"/>
    <n v="0"/>
  </r>
  <r>
    <x v="69"/>
    <x v="88"/>
    <n v="86.4"/>
    <n v="1518.65"/>
    <n v="296.08"/>
  </r>
  <r>
    <x v="70"/>
    <x v="88"/>
    <n v="86.4"/>
    <n v="1360.9"/>
    <n v="324.17"/>
  </r>
  <r>
    <x v="71"/>
    <x v="88"/>
    <n v="86.4"/>
    <n v="1351.85"/>
    <n v="320.02999999999997"/>
  </r>
  <r>
    <x v="72"/>
    <x v="88"/>
    <n v="86.4"/>
    <n v="0"/>
    <n v="0"/>
  </r>
  <r>
    <x v="73"/>
    <x v="88"/>
    <n v="86.4"/>
    <n v="0"/>
    <n v="0"/>
  </r>
  <r>
    <x v="74"/>
    <x v="88"/>
    <n v="86.4"/>
    <n v="0"/>
    <n v="0"/>
  </r>
  <r>
    <x v="75"/>
    <x v="88"/>
    <n v="86.4"/>
    <n v="0"/>
    <n v="0"/>
  </r>
  <r>
    <x v="76"/>
    <x v="88"/>
    <n v="86.4"/>
    <n v="0"/>
    <n v="0"/>
  </r>
  <r>
    <x v="77"/>
    <x v="88"/>
    <n v="86.4"/>
    <n v="0"/>
    <n v="0"/>
  </r>
  <r>
    <x v="78"/>
    <x v="88"/>
    <n v="86.4"/>
    <n v="0"/>
    <n v="0"/>
  </r>
  <r>
    <x v="79"/>
    <x v="88"/>
    <n v="86.4"/>
    <n v="0"/>
    <n v="0"/>
  </r>
  <r>
    <x v="80"/>
    <x v="88"/>
    <n v="86.4"/>
    <n v="0"/>
    <n v="0"/>
  </r>
  <r>
    <x v="81"/>
    <x v="88"/>
    <n v="86.4"/>
    <n v="0"/>
    <n v="0"/>
  </r>
  <r>
    <x v="82"/>
    <x v="88"/>
    <n v="86.4"/>
    <n v="0"/>
    <n v="0"/>
  </r>
  <r>
    <x v="83"/>
    <x v="88"/>
    <n v="86.4"/>
    <n v="0"/>
    <n v="0"/>
  </r>
  <r>
    <x v="84"/>
    <x v="88"/>
    <n v="86.4"/>
    <n v="0"/>
    <n v="0"/>
  </r>
  <r>
    <x v="85"/>
    <x v="88"/>
    <n v="86.4"/>
    <n v="0"/>
    <n v="0"/>
  </r>
  <r>
    <x v="86"/>
    <x v="88"/>
    <n v="86.4"/>
    <n v="0"/>
    <n v="0"/>
  </r>
  <r>
    <x v="87"/>
    <x v="88"/>
    <n v="86.4"/>
    <n v="0"/>
    <n v="0"/>
  </r>
  <r>
    <x v="88"/>
    <x v="88"/>
    <n v="86.4"/>
    <n v="0"/>
    <n v="0"/>
  </r>
  <r>
    <x v="89"/>
    <x v="88"/>
    <n v="86.4"/>
    <n v="0"/>
    <n v="0"/>
  </r>
  <r>
    <x v="90"/>
    <x v="88"/>
    <n v="86.4"/>
    <n v="0"/>
    <n v="0"/>
  </r>
  <r>
    <x v="91"/>
    <x v="88"/>
    <n v="86.4"/>
    <n v="0"/>
    <n v="0"/>
  </r>
  <r>
    <x v="92"/>
    <x v="88"/>
    <n v="86.4"/>
    <n v="0"/>
    <n v="0"/>
  </r>
  <r>
    <x v="93"/>
    <x v="88"/>
    <n v="86.4"/>
    <n v="0"/>
    <n v="0"/>
  </r>
  <r>
    <x v="94"/>
    <x v="88"/>
    <n v="86.4"/>
    <n v="0"/>
    <n v="0"/>
  </r>
  <r>
    <x v="95"/>
    <x v="88"/>
    <n v="86.4"/>
    <n v="0"/>
    <n v="0"/>
  </r>
  <r>
    <x v="0"/>
    <x v="89"/>
    <n v="86.7"/>
    <n v="337.99"/>
    <n v="219.71"/>
  </r>
  <r>
    <x v="1"/>
    <x v="89"/>
    <n v="86.7"/>
    <n v="260.70999999999998"/>
    <n v="173.24"/>
  </r>
  <r>
    <x v="2"/>
    <x v="89"/>
    <n v="86.7"/>
    <n v="233.26"/>
    <n v="171.63"/>
  </r>
  <r>
    <x v="3"/>
    <x v="89"/>
    <n v="86.7"/>
    <n v="222.98"/>
    <n v="171.48"/>
  </r>
  <r>
    <x v="4"/>
    <x v="89"/>
    <n v="86.7"/>
    <n v="241.83"/>
    <n v="171.37"/>
  </r>
  <r>
    <x v="5"/>
    <x v="89"/>
    <n v="86.7"/>
    <n v="259.45"/>
    <n v="174.57"/>
  </r>
  <r>
    <x v="6"/>
    <x v="89"/>
    <n v="86.7"/>
    <n v="241.05"/>
    <n v="157.53"/>
  </r>
  <r>
    <x v="7"/>
    <x v="89"/>
    <n v="86.7"/>
    <n v="254.53"/>
    <n v="177.31"/>
  </r>
  <r>
    <x v="8"/>
    <x v="89"/>
    <n v="86.7"/>
    <n v="274.56"/>
    <n v="168.03"/>
  </r>
  <r>
    <x v="9"/>
    <x v="89"/>
    <n v="86.7"/>
    <n v="269.02999999999997"/>
    <n v="165.24"/>
  </r>
  <r>
    <x v="10"/>
    <x v="89"/>
    <n v="86.7"/>
    <n v="239.74"/>
    <n v="163.74"/>
  </r>
  <r>
    <x v="11"/>
    <x v="89"/>
    <n v="86.7"/>
    <n v="-688.91"/>
    <n v="-564.03"/>
  </r>
  <r>
    <x v="12"/>
    <x v="89"/>
    <n v="86.7"/>
    <n v="50.37"/>
    <n v="103.92"/>
  </r>
  <r>
    <x v="13"/>
    <x v="89"/>
    <n v="86.7"/>
    <n v="52.8"/>
    <n v="88.85"/>
  </r>
  <r>
    <x v="14"/>
    <x v="89"/>
    <n v="86.7"/>
    <n v="54.7"/>
    <n v="92.85"/>
  </r>
  <r>
    <x v="15"/>
    <x v="89"/>
    <n v="86.7"/>
    <n v="46.43"/>
    <n v="92.52"/>
  </r>
  <r>
    <x v="16"/>
    <x v="89"/>
    <n v="86.7"/>
    <n v="46.2"/>
    <n v="96.39"/>
  </r>
  <r>
    <x v="17"/>
    <x v="89"/>
    <n v="86.7"/>
    <n v="45.05"/>
    <n v="88.94"/>
  </r>
  <r>
    <x v="18"/>
    <x v="89"/>
    <n v="86.7"/>
    <n v="41.39"/>
    <n v="81.489999999999995"/>
  </r>
  <r>
    <x v="19"/>
    <x v="89"/>
    <n v="86.7"/>
    <n v="43.31"/>
    <n v="89.89"/>
  </r>
  <r>
    <x v="20"/>
    <x v="89"/>
    <n v="86.7"/>
    <n v="44.3"/>
    <n v="94.19"/>
  </r>
  <r>
    <x v="21"/>
    <x v="89"/>
    <n v="86.7"/>
    <n v="41.25"/>
    <n v="90.15"/>
  </r>
  <r>
    <x v="22"/>
    <x v="89"/>
    <n v="86.7"/>
    <n v="36.590000000000003"/>
    <n v="88.41"/>
  </r>
  <r>
    <x v="23"/>
    <x v="89"/>
    <n v="86.7"/>
    <n v="28.18"/>
    <n v="81.709999999999994"/>
  </r>
  <r>
    <x v="24"/>
    <x v="89"/>
    <n v="86.7"/>
    <n v="462.95"/>
    <n v="284.05"/>
  </r>
  <r>
    <x v="25"/>
    <x v="89"/>
    <n v="86.7"/>
    <n v="307.12"/>
    <n v="214.61"/>
  </r>
  <r>
    <x v="26"/>
    <x v="89"/>
    <n v="86.7"/>
    <n v="273.10000000000002"/>
    <n v="205.39"/>
  </r>
  <r>
    <x v="27"/>
    <x v="89"/>
    <n v="86.7"/>
    <n v="299.19"/>
    <n v="226.75"/>
  </r>
  <r>
    <x v="28"/>
    <x v="89"/>
    <n v="86.7"/>
    <n v="278.52"/>
    <n v="214.83"/>
  </r>
  <r>
    <x v="29"/>
    <x v="89"/>
    <n v="86.7"/>
    <n v="329.75"/>
    <n v="222.69"/>
  </r>
  <r>
    <x v="30"/>
    <x v="89"/>
    <n v="86.7"/>
    <n v="290.39"/>
    <n v="211.2"/>
  </r>
  <r>
    <x v="31"/>
    <x v="89"/>
    <n v="86.7"/>
    <n v="302.52"/>
    <n v="224.7"/>
  </r>
  <r>
    <x v="32"/>
    <x v="89"/>
    <n v="86.7"/>
    <n v="313.55"/>
    <n v="214.98"/>
  </r>
  <r>
    <x v="33"/>
    <x v="89"/>
    <n v="86.7"/>
    <n v="327.24"/>
    <n v="213.98"/>
  </r>
  <r>
    <x v="34"/>
    <x v="89"/>
    <n v="86.7"/>
    <n v="313.73"/>
    <n v="229.2"/>
  </r>
  <r>
    <x v="35"/>
    <x v="89"/>
    <n v="86.7"/>
    <n v="290"/>
    <n v="197.83"/>
  </r>
  <r>
    <x v="36"/>
    <x v="89"/>
    <n v="86.7"/>
    <n v="1270.4000000000001"/>
    <n v="385.15"/>
  </r>
  <r>
    <x v="37"/>
    <x v="89"/>
    <n v="86.7"/>
    <n v="779.22"/>
    <n v="264.05"/>
  </r>
  <r>
    <x v="38"/>
    <x v="89"/>
    <n v="86.7"/>
    <n v="831.33"/>
    <n v="318.75"/>
  </r>
  <r>
    <x v="39"/>
    <x v="89"/>
    <n v="86.7"/>
    <n v="723.03"/>
    <n v="0"/>
  </r>
  <r>
    <x v="40"/>
    <x v="89"/>
    <n v="86.7"/>
    <n v="886.12"/>
    <n v="0"/>
  </r>
  <r>
    <x v="41"/>
    <x v="89"/>
    <n v="86.7"/>
    <n v="913.7"/>
    <n v="310.89999999999998"/>
  </r>
  <r>
    <x v="42"/>
    <x v="89"/>
    <n v="86.7"/>
    <n v="872.13"/>
    <n v="0"/>
  </r>
  <r>
    <x v="43"/>
    <x v="89"/>
    <n v="86.7"/>
    <n v="783.52"/>
    <n v="0"/>
  </r>
  <r>
    <x v="44"/>
    <x v="89"/>
    <n v="86.7"/>
    <n v="928.14"/>
    <n v="0"/>
  </r>
  <r>
    <x v="45"/>
    <x v="89"/>
    <n v="86.7"/>
    <n v="975.84"/>
    <n v="0"/>
  </r>
  <r>
    <x v="46"/>
    <x v="89"/>
    <n v="86.7"/>
    <n v="706.5"/>
    <n v="0"/>
  </r>
  <r>
    <x v="47"/>
    <x v="89"/>
    <n v="86.7"/>
    <n v="749.69"/>
    <n v="259.85000000000002"/>
  </r>
  <r>
    <x v="48"/>
    <x v="89"/>
    <n v="86.7"/>
    <n v="1526.64"/>
    <n v="420.22"/>
  </r>
  <r>
    <x v="49"/>
    <x v="89"/>
    <n v="86.7"/>
    <n v="1024.8"/>
    <n v="302.86"/>
  </r>
  <r>
    <x v="50"/>
    <x v="89"/>
    <n v="86.7"/>
    <n v="857.71"/>
    <n v="295.48"/>
  </r>
  <r>
    <x v="51"/>
    <x v="89"/>
    <n v="86.7"/>
    <n v="877.68"/>
    <n v="282.7"/>
  </r>
  <r>
    <x v="52"/>
    <x v="89"/>
    <n v="86.7"/>
    <n v="916.6"/>
    <n v="279.19"/>
  </r>
  <r>
    <x v="53"/>
    <x v="89"/>
    <n v="86.7"/>
    <n v="879.64"/>
    <n v="0"/>
  </r>
  <r>
    <x v="54"/>
    <x v="89"/>
    <n v="86.7"/>
    <n v="709.81"/>
    <n v="0"/>
  </r>
  <r>
    <x v="55"/>
    <x v="89"/>
    <n v="86.7"/>
    <n v="860.41"/>
    <n v="0"/>
  </r>
  <r>
    <x v="56"/>
    <x v="89"/>
    <n v="86.7"/>
    <n v="987.53"/>
    <n v="0"/>
  </r>
  <r>
    <x v="57"/>
    <x v="89"/>
    <n v="86.7"/>
    <n v="1082.1600000000001"/>
    <n v="0"/>
  </r>
  <r>
    <x v="58"/>
    <x v="89"/>
    <n v="86.7"/>
    <n v="708.81"/>
    <n v="0"/>
  </r>
  <r>
    <x v="59"/>
    <x v="89"/>
    <n v="86.7"/>
    <n v="882.44"/>
    <n v="290.17"/>
  </r>
  <r>
    <x v="60"/>
    <x v="89"/>
    <n v="86.7"/>
    <n v="1457.32"/>
    <n v="355.97"/>
  </r>
  <r>
    <x v="61"/>
    <x v="89"/>
    <n v="86.7"/>
    <n v="1034.8"/>
    <n v="285.19"/>
  </r>
  <r>
    <x v="62"/>
    <x v="89"/>
    <n v="86.7"/>
    <n v="999.62"/>
    <n v="320.44"/>
  </r>
  <r>
    <x v="63"/>
    <x v="89"/>
    <n v="86.7"/>
    <n v="884.27"/>
    <n v="285.39"/>
  </r>
  <r>
    <x v="64"/>
    <x v="89"/>
    <n v="86.7"/>
    <n v="994.4"/>
    <n v="0"/>
  </r>
  <r>
    <x v="65"/>
    <x v="89"/>
    <n v="86.7"/>
    <n v="1075.9000000000001"/>
    <n v="0"/>
  </r>
  <r>
    <x v="66"/>
    <x v="89"/>
    <n v="86.7"/>
    <n v="888.15"/>
    <n v="0"/>
  </r>
  <r>
    <x v="67"/>
    <x v="89"/>
    <n v="86.7"/>
    <n v="929.48"/>
    <n v="0"/>
  </r>
  <r>
    <x v="68"/>
    <x v="89"/>
    <n v="86.7"/>
    <n v="911.8"/>
    <n v="0"/>
  </r>
  <r>
    <x v="69"/>
    <x v="89"/>
    <n v="86.7"/>
    <n v="1070.0899999999999"/>
    <n v="294.61"/>
  </r>
  <r>
    <x v="70"/>
    <x v="89"/>
    <n v="86.7"/>
    <n v="988.54"/>
    <n v="321.41000000000003"/>
  </r>
  <r>
    <x v="71"/>
    <x v="89"/>
    <n v="86.7"/>
    <n v="970.99"/>
    <n v="317.91000000000003"/>
  </r>
  <r>
    <x v="72"/>
    <x v="89"/>
    <n v="86.7"/>
    <n v="0"/>
    <n v="0"/>
  </r>
  <r>
    <x v="73"/>
    <x v="89"/>
    <n v="86.7"/>
    <n v="0"/>
    <n v="0"/>
  </r>
  <r>
    <x v="74"/>
    <x v="89"/>
    <n v="86.7"/>
    <n v="0"/>
    <n v="0"/>
  </r>
  <r>
    <x v="75"/>
    <x v="89"/>
    <n v="86.7"/>
    <n v="0"/>
    <n v="0"/>
  </r>
  <r>
    <x v="76"/>
    <x v="89"/>
    <n v="86.7"/>
    <n v="0"/>
    <n v="0"/>
  </r>
  <r>
    <x v="77"/>
    <x v="89"/>
    <n v="86.7"/>
    <n v="0"/>
    <n v="0"/>
  </r>
  <r>
    <x v="78"/>
    <x v="89"/>
    <n v="86.7"/>
    <n v="0"/>
    <n v="0"/>
  </r>
  <r>
    <x v="79"/>
    <x v="89"/>
    <n v="86.7"/>
    <n v="0"/>
    <n v="0"/>
  </r>
  <r>
    <x v="80"/>
    <x v="89"/>
    <n v="86.7"/>
    <n v="0"/>
    <n v="0"/>
  </r>
  <r>
    <x v="81"/>
    <x v="89"/>
    <n v="86.7"/>
    <n v="0"/>
    <n v="0"/>
  </r>
  <r>
    <x v="82"/>
    <x v="89"/>
    <n v="86.7"/>
    <n v="0"/>
    <n v="0"/>
  </r>
  <r>
    <x v="83"/>
    <x v="89"/>
    <n v="86.7"/>
    <n v="0"/>
    <n v="0"/>
  </r>
  <r>
    <x v="84"/>
    <x v="89"/>
    <n v="86.7"/>
    <n v="0"/>
    <n v="0"/>
  </r>
  <r>
    <x v="85"/>
    <x v="89"/>
    <n v="86.7"/>
    <n v="0"/>
    <n v="0"/>
  </r>
  <r>
    <x v="86"/>
    <x v="89"/>
    <n v="86.7"/>
    <n v="0"/>
    <n v="0"/>
  </r>
  <r>
    <x v="87"/>
    <x v="89"/>
    <n v="86.7"/>
    <n v="0"/>
    <n v="0"/>
  </r>
  <r>
    <x v="88"/>
    <x v="89"/>
    <n v="86.7"/>
    <n v="0"/>
    <n v="0"/>
  </r>
  <r>
    <x v="89"/>
    <x v="89"/>
    <n v="86.7"/>
    <n v="0"/>
    <n v="0"/>
  </r>
  <r>
    <x v="90"/>
    <x v="89"/>
    <n v="86.7"/>
    <n v="0"/>
    <n v="0"/>
  </r>
  <r>
    <x v="91"/>
    <x v="89"/>
    <n v="86.7"/>
    <n v="0"/>
    <n v="0"/>
  </r>
  <r>
    <x v="92"/>
    <x v="89"/>
    <n v="86.7"/>
    <n v="0"/>
    <n v="0"/>
  </r>
  <r>
    <x v="93"/>
    <x v="89"/>
    <n v="86.7"/>
    <n v="0"/>
    <n v="0"/>
  </r>
  <r>
    <x v="94"/>
    <x v="89"/>
    <n v="86.7"/>
    <n v="0"/>
    <n v="0"/>
  </r>
  <r>
    <x v="95"/>
    <x v="89"/>
    <n v="86.7"/>
    <n v="0"/>
    <n v="0"/>
  </r>
  <r>
    <x v="0"/>
    <x v="90"/>
    <n v="87"/>
    <n v="262.05"/>
    <n v="218.66"/>
  </r>
  <r>
    <x v="1"/>
    <x v="90"/>
    <n v="87"/>
    <n v="203.89"/>
    <n v="172.36"/>
  </r>
  <r>
    <x v="2"/>
    <x v="90"/>
    <n v="87"/>
    <n v="182.53"/>
    <n v="170.85"/>
  </r>
  <r>
    <x v="3"/>
    <x v="90"/>
    <n v="87"/>
    <n v="174.53"/>
    <n v="170.45"/>
  </r>
  <r>
    <x v="4"/>
    <x v="90"/>
    <n v="87"/>
    <n v="189.24"/>
    <n v="170.31"/>
  </r>
  <r>
    <x v="5"/>
    <x v="90"/>
    <n v="87"/>
    <n v="202.38"/>
    <n v="173.43"/>
  </r>
  <r>
    <x v="6"/>
    <x v="90"/>
    <n v="87"/>
    <n v="188.32"/>
    <n v="156.37"/>
  </r>
  <r>
    <x v="7"/>
    <x v="90"/>
    <n v="87"/>
    <n v="198.75"/>
    <n v="176.09"/>
  </r>
  <r>
    <x v="8"/>
    <x v="90"/>
    <n v="87"/>
    <n v="212.3"/>
    <n v="165.77"/>
  </r>
  <r>
    <x v="9"/>
    <x v="90"/>
    <n v="87"/>
    <n v="207.93"/>
    <n v="163.28"/>
  </r>
  <r>
    <x v="10"/>
    <x v="90"/>
    <n v="87"/>
    <n v="186.92"/>
    <n v="162.27000000000001"/>
  </r>
  <r>
    <x v="11"/>
    <x v="90"/>
    <n v="87"/>
    <n v="-670.73"/>
    <n v="-513.20000000000005"/>
  </r>
  <r>
    <x v="12"/>
    <x v="90"/>
    <n v="87"/>
    <n v="48.41"/>
    <n v="104.72"/>
  </r>
  <r>
    <x v="13"/>
    <x v="90"/>
    <n v="87"/>
    <n v="50.9"/>
    <n v="88.74"/>
  </r>
  <r>
    <x v="14"/>
    <x v="90"/>
    <n v="87"/>
    <n v="52.63"/>
    <n v="92.65"/>
  </r>
  <r>
    <x v="15"/>
    <x v="90"/>
    <n v="87"/>
    <n v="44.58"/>
    <n v="92.53"/>
  </r>
  <r>
    <x v="16"/>
    <x v="90"/>
    <n v="87"/>
    <n v="44.29"/>
    <n v="96.83"/>
  </r>
  <r>
    <x v="17"/>
    <x v="90"/>
    <n v="87"/>
    <n v="43.26"/>
    <n v="88.84"/>
  </r>
  <r>
    <x v="18"/>
    <x v="90"/>
    <n v="87"/>
    <n v="39.700000000000003"/>
    <n v="81.430000000000007"/>
  </r>
  <r>
    <x v="19"/>
    <x v="90"/>
    <n v="87"/>
    <n v="41.53"/>
    <n v="90.03"/>
  </r>
  <r>
    <x v="20"/>
    <x v="90"/>
    <n v="87"/>
    <n v="42.5"/>
    <n v="94.47"/>
  </r>
  <r>
    <x v="21"/>
    <x v="90"/>
    <n v="87"/>
    <n v="39.58"/>
    <n v="90.3"/>
  </r>
  <r>
    <x v="22"/>
    <x v="90"/>
    <n v="87"/>
    <n v="35.14"/>
    <n v="88.54"/>
  </r>
  <r>
    <x v="23"/>
    <x v="90"/>
    <n v="87"/>
    <n v="25.92"/>
    <n v="81.31"/>
  </r>
  <r>
    <x v="24"/>
    <x v="90"/>
    <n v="87"/>
    <n v="359.3"/>
    <n v="281.2"/>
  </r>
  <r>
    <x v="25"/>
    <x v="90"/>
    <n v="87"/>
    <n v="242.56"/>
    <n v="213.42"/>
  </r>
  <r>
    <x v="26"/>
    <x v="90"/>
    <n v="87"/>
    <n v="215.32"/>
    <n v="203.6"/>
  </r>
  <r>
    <x v="27"/>
    <x v="90"/>
    <n v="87"/>
    <n v="237.06"/>
    <n v="224.95"/>
  </r>
  <r>
    <x v="28"/>
    <x v="90"/>
    <n v="87"/>
    <n v="218.94"/>
    <n v="213.57"/>
  </r>
  <r>
    <x v="29"/>
    <x v="90"/>
    <n v="87"/>
    <n v="260.12"/>
    <n v="221.3"/>
  </r>
  <r>
    <x v="30"/>
    <x v="90"/>
    <n v="87"/>
    <n v="228.99"/>
    <n v="210.07"/>
  </r>
  <r>
    <x v="31"/>
    <x v="90"/>
    <n v="87"/>
    <n v="239.01"/>
    <n v="223.41"/>
  </r>
  <r>
    <x v="32"/>
    <x v="90"/>
    <n v="87"/>
    <n v="245.16"/>
    <n v="213.92"/>
  </r>
  <r>
    <x v="33"/>
    <x v="90"/>
    <n v="87"/>
    <n v="255.25"/>
    <n v="212.72"/>
  </r>
  <r>
    <x v="34"/>
    <x v="90"/>
    <n v="87"/>
    <n v="247.64"/>
    <n v="228.27"/>
  </r>
  <r>
    <x v="35"/>
    <x v="90"/>
    <n v="87"/>
    <n v="225.47"/>
    <n v="195.79"/>
  </r>
  <r>
    <x v="36"/>
    <x v="90"/>
    <n v="87"/>
    <n v="941.65"/>
    <n v="381.4"/>
  </r>
  <r>
    <x v="37"/>
    <x v="90"/>
    <n v="87"/>
    <n v="583.02"/>
    <n v="261.85000000000002"/>
  </r>
  <r>
    <x v="38"/>
    <x v="90"/>
    <n v="87"/>
    <n v="623.83000000000004"/>
    <n v="316.02999999999997"/>
  </r>
  <r>
    <x v="39"/>
    <x v="90"/>
    <n v="87"/>
    <n v="541.37"/>
    <n v="0"/>
  </r>
  <r>
    <x v="40"/>
    <x v="90"/>
    <n v="87"/>
    <n v="657.77"/>
    <n v="0"/>
  </r>
  <r>
    <x v="41"/>
    <x v="90"/>
    <n v="87"/>
    <n v="678.33"/>
    <n v="308.45"/>
  </r>
  <r>
    <x v="42"/>
    <x v="90"/>
    <n v="87"/>
    <n v="653.36"/>
    <n v="0"/>
  </r>
  <r>
    <x v="43"/>
    <x v="90"/>
    <n v="87"/>
    <n v="586.20000000000005"/>
    <n v="0"/>
  </r>
  <r>
    <x v="44"/>
    <x v="90"/>
    <n v="87"/>
    <n v="688.07"/>
    <n v="0"/>
  </r>
  <r>
    <x v="45"/>
    <x v="90"/>
    <n v="87"/>
    <n v="722.32"/>
    <n v="0"/>
  </r>
  <r>
    <x v="46"/>
    <x v="90"/>
    <n v="87"/>
    <n v="533.41"/>
    <n v="0"/>
  </r>
  <r>
    <x v="47"/>
    <x v="90"/>
    <n v="87"/>
    <n v="556.87"/>
    <n v="258.11"/>
  </r>
  <r>
    <x v="48"/>
    <x v="90"/>
    <n v="87"/>
    <n v="1121.19"/>
    <n v="417.21"/>
  </r>
  <r>
    <x v="49"/>
    <x v="90"/>
    <n v="87"/>
    <n v="762.71"/>
    <n v="300.37"/>
  </r>
  <r>
    <x v="50"/>
    <x v="90"/>
    <n v="87"/>
    <n v="641.69000000000005"/>
    <n v="293.10000000000002"/>
  </r>
  <r>
    <x v="51"/>
    <x v="90"/>
    <n v="87"/>
    <n v="651.83000000000004"/>
    <n v="283.44"/>
  </r>
  <r>
    <x v="52"/>
    <x v="90"/>
    <n v="87"/>
    <n v="678.77"/>
    <n v="279.99"/>
  </r>
  <r>
    <x v="53"/>
    <x v="90"/>
    <n v="87"/>
    <n v="637.29999999999995"/>
    <n v="0"/>
  </r>
  <r>
    <x v="54"/>
    <x v="90"/>
    <n v="87"/>
    <n v="529.15"/>
    <n v="0"/>
  </r>
  <r>
    <x v="55"/>
    <x v="90"/>
    <n v="87"/>
    <n v="643.21"/>
    <n v="0"/>
  </r>
  <r>
    <x v="56"/>
    <x v="90"/>
    <n v="87"/>
    <n v="726.58"/>
    <n v="0"/>
  </r>
  <r>
    <x v="57"/>
    <x v="90"/>
    <n v="87"/>
    <n v="794.89"/>
    <n v="0"/>
  </r>
  <r>
    <x v="58"/>
    <x v="90"/>
    <n v="87"/>
    <n v="537.85"/>
    <n v="0"/>
  </r>
  <r>
    <x v="59"/>
    <x v="90"/>
    <n v="87"/>
    <n v="652.85"/>
    <n v="285.2"/>
  </r>
  <r>
    <x v="60"/>
    <x v="90"/>
    <n v="87"/>
    <n v="1066.82"/>
    <n v="352.75"/>
  </r>
  <r>
    <x v="61"/>
    <x v="90"/>
    <n v="87"/>
    <n v="761.27"/>
    <n v="283.27"/>
  </r>
  <r>
    <x v="62"/>
    <x v="90"/>
    <n v="87"/>
    <n v="741.92"/>
    <n v="317.7"/>
  </r>
  <r>
    <x v="63"/>
    <x v="90"/>
    <n v="87"/>
    <n v="654.79999999999995"/>
    <n v="283.56"/>
  </r>
  <r>
    <x v="64"/>
    <x v="90"/>
    <n v="87"/>
    <n v="730.72"/>
    <n v="0"/>
  </r>
  <r>
    <x v="65"/>
    <x v="90"/>
    <n v="87"/>
    <n v="790.26"/>
    <n v="0"/>
  </r>
  <r>
    <x v="66"/>
    <x v="90"/>
    <n v="87"/>
    <n v="659.75"/>
    <n v="0"/>
  </r>
  <r>
    <x v="67"/>
    <x v="90"/>
    <n v="87"/>
    <n v="689.52"/>
    <n v="0"/>
  </r>
  <r>
    <x v="68"/>
    <x v="90"/>
    <n v="87"/>
    <n v="669.27"/>
    <n v="0"/>
  </r>
  <r>
    <x v="69"/>
    <x v="90"/>
    <n v="87"/>
    <n v="779.55"/>
    <n v="293.33999999999997"/>
  </r>
  <r>
    <x v="70"/>
    <x v="90"/>
    <n v="87"/>
    <n v="738.73"/>
    <n v="318.72000000000003"/>
  </r>
  <r>
    <x v="71"/>
    <x v="90"/>
    <n v="87"/>
    <n v="718.42"/>
    <n v="316.36"/>
  </r>
  <r>
    <x v="72"/>
    <x v="90"/>
    <n v="87"/>
    <n v="0"/>
    <n v="0"/>
  </r>
  <r>
    <x v="73"/>
    <x v="90"/>
    <n v="87"/>
    <n v="0"/>
    <n v="0"/>
  </r>
  <r>
    <x v="74"/>
    <x v="90"/>
    <n v="87"/>
    <n v="0"/>
    <n v="0"/>
  </r>
  <r>
    <x v="75"/>
    <x v="90"/>
    <n v="87"/>
    <n v="0"/>
    <n v="0"/>
  </r>
  <r>
    <x v="76"/>
    <x v="90"/>
    <n v="87"/>
    <n v="0"/>
    <n v="0"/>
  </r>
  <r>
    <x v="77"/>
    <x v="90"/>
    <n v="87"/>
    <n v="0"/>
    <n v="0"/>
  </r>
  <r>
    <x v="78"/>
    <x v="90"/>
    <n v="87"/>
    <n v="0"/>
    <n v="0"/>
  </r>
  <r>
    <x v="79"/>
    <x v="90"/>
    <n v="87"/>
    <n v="0"/>
    <n v="0"/>
  </r>
  <r>
    <x v="80"/>
    <x v="90"/>
    <n v="87"/>
    <n v="0"/>
    <n v="0"/>
  </r>
  <r>
    <x v="81"/>
    <x v="90"/>
    <n v="87"/>
    <n v="0"/>
    <n v="0"/>
  </r>
  <r>
    <x v="82"/>
    <x v="90"/>
    <n v="87"/>
    <n v="0"/>
    <n v="0"/>
  </r>
  <r>
    <x v="83"/>
    <x v="90"/>
    <n v="87"/>
    <n v="0"/>
    <n v="0"/>
  </r>
  <r>
    <x v="84"/>
    <x v="90"/>
    <n v="87"/>
    <n v="0"/>
    <n v="0"/>
  </r>
  <r>
    <x v="85"/>
    <x v="90"/>
    <n v="87"/>
    <n v="0"/>
    <n v="0"/>
  </r>
  <r>
    <x v="86"/>
    <x v="90"/>
    <n v="87"/>
    <n v="0"/>
    <n v="0"/>
  </r>
  <r>
    <x v="87"/>
    <x v="90"/>
    <n v="87"/>
    <n v="0"/>
    <n v="0"/>
  </r>
  <r>
    <x v="88"/>
    <x v="90"/>
    <n v="87"/>
    <n v="0"/>
    <n v="0"/>
  </r>
  <r>
    <x v="89"/>
    <x v="90"/>
    <n v="87"/>
    <n v="0"/>
    <n v="0"/>
  </r>
  <r>
    <x v="90"/>
    <x v="90"/>
    <n v="87"/>
    <n v="0"/>
    <n v="0"/>
  </r>
  <r>
    <x v="91"/>
    <x v="90"/>
    <n v="87"/>
    <n v="0"/>
    <n v="0"/>
  </r>
  <r>
    <x v="92"/>
    <x v="90"/>
    <n v="87"/>
    <n v="0"/>
    <n v="0"/>
  </r>
  <r>
    <x v="93"/>
    <x v="90"/>
    <n v="87"/>
    <n v="0"/>
    <n v="0"/>
  </r>
  <r>
    <x v="94"/>
    <x v="90"/>
    <n v="87"/>
    <n v="0"/>
    <n v="0"/>
  </r>
  <r>
    <x v="95"/>
    <x v="90"/>
    <n v="87"/>
    <n v="0"/>
    <n v="0"/>
  </r>
  <r>
    <x v="0"/>
    <x v="91"/>
    <n v="87.3"/>
    <n v="208.6"/>
    <n v="217.72"/>
  </r>
  <r>
    <x v="1"/>
    <x v="91"/>
    <n v="87.3"/>
    <n v="163.66999999999999"/>
    <n v="171.52"/>
  </r>
  <r>
    <x v="2"/>
    <x v="91"/>
    <n v="87.3"/>
    <n v="146.66"/>
    <n v="170.1"/>
  </r>
  <r>
    <x v="3"/>
    <x v="91"/>
    <n v="87.3"/>
    <n v="140.30000000000001"/>
    <n v="169.49"/>
  </r>
  <r>
    <x v="4"/>
    <x v="91"/>
    <n v="87.3"/>
    <n v="152.07"/>
    <n v="169.33"/>
  </r>
  <r>
    <x v="5"/>
    <x v="91"/>
    <n v="87.3"/>
    <n v="161.91"/>
    <n v="172.37"/>
  </r>
  <r>
    <x v="6"/>
    <x v="91"/>
    <n v="87.3"/>
    <n v="150.9"/>
    <n v="155.31"/>
  </r>
  <r>
    <x v="7"/>
    <x v="91"/>
    <n v="87.3"/>
    <n v="159.28"/>
    <n v="174.96"/>
  </r>
  <r>
    <x v="8"/>
    <x v="91"/>
    <n v="87.3"/>
    <n v="168.22"/>
    <n v="163.63"/>
  </r>
  <r>
    <x v="9"/>
    <x v="91"/>
    <n v="87.3"/>
    <n v="164.88"/>
    <n v="161.41"/>
  </r>
  <r>
    <x v="10"/>
    <x v="91"/>
    <n v="87.3"/>
    <n v="149.75"/>
    <n v="160.88999999999999"/>
  </r>
  <r>
    <x v="11"/>
    <x v="91"/>
    <n v="87.3"/>
    <n v="-653.63"/>
    <n v="-464.93"/>
  </r>
  <r>
    <x v="12"/>
    <x v="91"/>
    <n v="87.3"/>
    <n v="46.64"/>
    <n v="105.57"/>
  </r>
  <r>
    <x v="13"/>
    <x v="91"/>
    <n v="87.3"/>
    <n v="49.15"/>
    <n v="88.6"/>
  </r>
  <r>
    <x v="14"/>
    <x v="91"/>
    <n v="87.3"/>
    <n v="50.74"/>
    <n v="92.46"/>
  </r>
  <r>
    <x v="15"/>
    <x v="91"/>
    <n v="87.3"/>
    <n v="42.9"/>
    <n v="92.52"/>
  </r>
  <r>
    <x v="16"/>
    <x v="91"/>
    <n v="87.3"/>
    <n v="42.55"/>
    <n v="97.21"/>
  </r>
  <r>
    <x v="17"/>
    <x v="91"/>
    <n v="87.3"/>
    <n v="41.63"/>
    <n v="88.71"/>
  </r>
  <r>
    <x v="18"/>
    <x v="91"/>
    <n v="87.3"/>
    <n v="38.17"/>
    <n v="81.38"/>
  </r>
  <r>
    <x v="19"/>
    <x v="91"/>
    <n v="87.3"/>
    <n v="39.909999999999997"/>
    <n v="90.13"/>
  </r>
  <r>
    <x v="20"/>
    <x v="91"/>
    <n v="87.3"/>
    <n v="40.85"/>
    <n v="94.7"/>
  </r>
  <r>
    <x v="21"/>
    <x v="91"/>
    <n v="87.3"/>
    <n v="38.06"/>
    <n v="90.39"/>
  </r>
  <r>
    <x v="22"/>
    <x v="91"/>
    <n v="87.3"/>
    <n v="33.840000000000003"/>
    <n v="88.65"/>
  </r>
  <r>
    <x v="23"/>
    <x v="91"/>
    <n v="87.3"/>
    <n v="23.81"/>
    <n v="80.900000000000006"/>
  </r>
  <r>
    <x v="24"/>
    <x v="91"/>
    <n v="87.3"/>
    <n v="283.25"/>
    <n v="278.58"/>
  </r>
  <r>
    <x v="25"/>
    <x v="91"/>
    <n v="87.3"/>
    <n v="196.19"/>
    <n v="212.33"/>
  </r>
  <r>
    <x v="26"/>
    <x v="91"/>
    <n v="87.3"/>
    <n v="173.89"/>
    <n v="201.93"/>
  </r>
  <r>
    <x v="27"/>
    <x v="91"/>
    <n v="87.3"/>
    <n v="192.45"/>
    <n v="223.17"/>
  </r>
  <r>
    <x v="28"/>
    <x v="91"/>
    <n v="87.3"/>
    <n v="176.65"/>
    <n v="212.25"/>
  </r>
  <r>
    <x v="29"/>
    <x v="91"/>
    <n v="87.3"/>
    <n v="210.12"/>
    <n v="220"/>
  </r>
  <r>
    <x v="30"/>
    <x v="91"/>
    <n v="87.3"/>
    <n v="184.98"/>
    <n v="209"/>
  </r>
  <r>
    <x v="31"/>
    <x v="91"/>
    <n v="87.3"/>
    <n v="193.48"/>
    <n v="222.2"/>
  </r>
  <r>
    <x v="32"/>
    <x v="91"/>
    <n v="87.3"/>
    <n v="196.56"/>
    <n v="212.93"/>
  </r>
  <r>
    <x v="33"/>
    <x v="91"/>
    <n v="87.3"/>
    <n v="204.11"/>
    <n v="211.56"/>
  </r>
  <r>
    <x v="34"/>
    <x v="91"/>
    <n v="87.3"/>
    <n v="200.25"/>
    <n v="227.4"/>
  </r>
  <r>
    <x v="35"/>
    <x v="91"/>
    <n v="87.3"/>
    <n v="177.34"/>
    <n v="193.89"/>
  </r>
  <r>
    <x v="36"/>
    <x v="91"/>
    <n v="87.3"/>
    <n v="717.54"/>
    <n v="377.48"/>
  </r>
  <r>
    <x v="37"/>
    <x v="91"/>
    <n v="87.3"/>
    <n v="448.29"/>
    <n v="259.66000000000003"/>
  </r>
  <r>
    <x v="38"/>
    <x v="91"/>
    <n v="87.3"/>
    <n v="481.51"/>
    <n v="313.32"/>
  </r>
  <r>
    <x v="39"/>
    <x v="91"/>
    <n v="87.3"/>
    <n v="416.77"/>
    <n v="0"/>
  </r>
  <r>
    <x v="40"/>
    <x v="91"/>
    <n v="87.3"/>
    <n v="502.58"/>
    <n v="0"/>
  </r>
  <r>
    <x v="41"/>
    <x v="91"/>
    <n v="87.3"/>
    <n v="518.39"/>
    <n v="305.97000000000003"/>
  </r>
  <r>
    <x v="42"/>
    <x v="91"/>
    <n v="87.3"/>
    <n v="503.16"/>
    <n v="0"/>
  </r>
  <r>
    <x v="43"/>
    <x v="91"/>
    <n v="87.3"/>
    <n v="450.72"/>
    <n v="0"/>
  </r>
  <r>
    <x v="44"/>
    <x v="91"/>
    <n v="87.3"/>
    <n v="524.61"/>
    <n v="0"/>
  </r>
  <r>
    <x v="45"/>
    <x v="91"/>
    <n v="87.3"/>
    <n v="549.44000000000005"/>
    <n v="0"/>
  </r>
  <r>
    <x v="46"/>
    <x v="91"/>
    <n v="87.3"/>
    <n v="413.57"/>
    <n v="0"/>
  </r>
  <r>
    <x v="47"/>
    <x v="91"/>
    <n v="87.3"/>
    <n v="421.46"/>
    <n v="257.36"/>
  </r>
  <r>
    <x v="48"/>
    <x v="91"/>
    <n v="87.3"/>
    <n v="847.19"/>
    <n v="414.39"/>
  </r>
  <r>
    <x v="49"/>
    <x v="91"/>
    <n v="87.3"/>
    <n v="584.17999999999995"/>
    <n v="297.94"/>
  </r>
  <r>
    <x v="50"/>
    <x v="91"/>
    <n v="87.3"/>
    <n v="494.62"/>
    <n v="290.73"/>
  </r>
  <r>
    <x v="51"/>
    <x v="91"/>
    <n v="87.3"/>
    <n v="498.3"/>
    <n v="283.83"/>
  </r>
  <r>
    <x v="52"/>
    <x v="91"/>
    <n v="87.3"/>
    <n v="516.74"/>
    <n v="280.39"/>
  </r>
  <r>
    <x v="53"/>
    <x v="91"/>
    <n v="87.3"/>
    <n v="477.88"/>
    <n v="0"/>
  </r>
  <r>
    <x v="54"/>
    <x v="91"/>
    <n v="87.3"/>
    <n v="406.28"/>
    <n v="0"/>
  </r>
  <r>
    <x v="55"/>
    <x v="91"/>
    <n v="87.3"/>
    <n v="494.21"/>
    <n v="0"/>
  </r>
  <r>
    <x v="56"/>
    <x v="91"/>
    <n v="87.3"/>
    <n v="550.44000000000005"/>
    <n v="0"/>
  </r>
  <r>
    <x v="57"/>
    <x v="91"/>
    <n v="87.3"/>
    <n v="601.07000000000005"/>
    <n v="0"/>
  </r>
  <r>
    <x v="58"/>
    <x v="91"/>
    <n v="87.3"/>
    <n v="419.55"/>
    <n v="0"/>
  </r>
  <r>
    <x v="59"/>
    <x v="91"/>
    <n v="87.3"/>
    <n v="496.28"/>
    <n v="280.14999999999998"/>
  </r>
  <r>
    <x v="60"/>
    <x v="91"/>
    <n v="87.3"/>
    <n v="802.52"/>
    <n v="349.75"/>
  </r>
  <r>
    <x v="61"/>
    <x v="91"/>
    <n v="87.3"/>
    <n v="576.64"/>
    <n v="281.39999999999998"/>
  </r>
  <r>
    <x v="62"/>
    <x v="91"/>
    <n v="87.3"/>
    <n v="566.51"/>
    <n v="315.02"/>
  </r>
  <r>
    <x v="63"/>
    <x v="91"/>
    <n v="87.3"/>
    <n v="498.82"/>
    <n v="281.70999999999998"/>
  </r>
  <r>
    <x v="64"/>
    <x v="91"/>
    <n v="87.3"/>
    <n v="553.04"/>
    <n v="0"/>
  </r>
  <r>
    <x v="65"/>
    <x v="91"/>
    <n v="87.3"/>
    <n v="597.83000000000004"/>
    <n v="0"/>
  </r>
  <r>
    <x v="66"/>
    <x v="91"/>
    <n v="87.3"/>
    <n v="504.39"/>
    <n v="0"/>
  </r>
  <r>
    <x v="67"/>
    <x v="91"/>
    <n v="87.3"/>
    <n v="526.29999999999995"/>
    <n v="0"/>
  </r>
  <r>
    <x v="68"/>
    <x v="91"/>
    <n v="87.3"/>
    <n v="505.54"/>
    <n v="0"/>
  </r>
  <r>
    <x v="69"/>
    <x v="91"/>
    <n v="87.3"/>
    <n v="586.29999999999995"/>
    <n v="292.14999999999998"/>
  </r>
  <r>
    <x v="70"/>
    <x v="91"/>
    <n v="87.3"/>
    <n v="567.04"/>
    <n v="316.10000000000002"/>
  </r>
  <r>
    <x v="71"/>
    <x v="91"/>
    <n v="87.3"/>
    <n v="546.53"/>
    <n v="315.47000000000003"/>
  </r>
  <r>
    <x v="72"/>
    <x v="91"/>
    <n v="87.3"/>
    <n v="0"/>
    <n v="0"/>
  </r>
  <r>
    <x v="73"/>
    <x v="91"/>
    <n v="87.3"/>
    <n v="0"/>
    <n v="0"/>
  </r>
  <r>
    <x v="74"/>
    <x v="91"/>
    <n v="87.3"/>
    <n v="0"/>
    <n v="0"/>
  </r>
  <r>
    <x v="75"/>
    <x v="91"/>
    <n v="87.3"/>
    <n v="0"/>
    <n v="0"/>
  </r>
  <r>
    <x v="76"/>
    <x v="91"/>
    <n v="87.3"/>
    <n v="0"/>
    <n v="0"/>
  </r>
  <r>
    <x v="77"/>
    <x v="91"/>
    <n v="87.3"/>
    <n v="0"/>
    <n v="0"/>
  </r>
  <r>
    <x v="78"/>
    <x v="91"/>
    <n v="87.3"/>
    <n v="0"/>
    <n v="0"/>
  </r>
  <r>
    <x v="79"/>
    <x v="91"/>
    <n v="87.3"/>
    <n v="0"/>
    <n v="0"/>
  </r>
  <r>
    <x v="80"/>
    <x v="91"/>
    <n v="87.3"/>
    <n v="0"/>
    <n v="0"/>
  </r>
  <r>
    <x v="81"/>
    <x v="91"/>
    <n v="87.3"/>
    <n v="0"/>
    <n v="0"/>
  </r>
  <r>
    <x v="82"/>
    <x v="91"/>
    <n v="87.3"/>
    <n v="0"/>
    <n v="0"/>
  </r>
  <r>
    <x v="83"/>
    <x v="91"/>
    <n v="87.3"/>
    <n v="0"/>
    <n v="0"/>
  </r>
  <r>
    <x v="84"/>
    <x v="91"/>
    <n v="87.3"/>
    <n v="0"/>
    <n v="0"/>
  </r>
  <r>
    <x v="85"/>
    <x v="91"/>
    <n v="87.3"/>
    <n v="0"/>
    <n v="0"/>
  </r>
  <r>
    <x v="86"/>
    <x v="91"/>
    <n v="87.3"/>
    <n v="0"/>
    <n v="0"/>
  </r>
  <r>
    <x v="87"/>
    <x v="91"/>
    <n v="87.3"/>
    <n v="0"/>
    <n v="0"/>
  </r>
  <r>
    <x v="88"/>
    <x v="91"/>
    <n v="87.3"/>
    <n v="0"/>
    <n v="0"/>
  </r>
  <r>
    <x v="89"/>
    <x v="91"/>
    <n v="87.3"/>
    <n v="0"/>
    <n v="0"/>
  </r>
  <r>
    <x v="90"/>
    <x v="91"/>
    <n v="87.3"/>
    <n v="0"/>
    <n v="0"/>
  </r>
  <r>
    <x v="91"/>
    <x v="91"/>
    <n v="87.3"/>
    <n v="0"/>
    <n v="0"/>
  </r>
  <r>
    <x v="92"/>
    <x v="91"/>
    <n v="87.3"/>
    <n v="0"/>
    <n v="0"/>
  </r>
  <r>
    <x v="93"/>
    <x v="91"/>
    <n v="87.3"/>
    <n v="0"/>
    <n v="0"/>
  </r>
  <r>
    <x v="94"/>
    <x v="91"/>
    <n v="87.3"/>
    <n v="0"/>
    <n v="0"/>
  </r>
  <r>
    <x v="95"/>
    <x v="91"/>
    <n v="87.3"/>
    <n v="0"/>
    <n v="0"/>
  </r>
  <r>
    <x v="0"/>
    <x v="92"/>
    <n v="87.6"/>
    <n v="170.07"/>
    <n v="216.88"/>
  </r>
  <r>
    <x v="1"/>
    <x v="92"/>
    <n v="87.6"/>
    <n v="134.63"/>
    <n v="170.71"/>
  </r>
  <r>
    <x v="2"/>
    <x v="92"/>
    <n v="87.6"/>
    <n v="120.78"/>
    <n v="169.38"/>
  </r>
  <r>
    <x v="3"/>
    <x v="92"/>
    <n v="87.6"/>
    <n v="115.57"/>
    <n v="168.59"/>
  </r>
  <r>
    <x v="4"/>
    <x v="92"/>
    <n v="87.6"/>
    <n v="125.28"/>
    <n v="168.4"/>
  </r>
  <r>
    <x v="5"/>
    <x v="92"/>
    <n v="87.6"/>
    <n v="132.56"/>
    <n v="171.39"/>
  </r>
  <r>
    <x v="6"/>
    <x v="92"/>
    <n v="87.6"/>
    <n v="123.75"/>
    <n v="154.34"/>
  </r>
  <r>
    <x v="7"/>
    <x v="92"/>
    <n v="87.6"/>
    <n v="130.78"/>
    <n v="173.9"/>
  </r>
  <r>
    <x v="8"/>
    <x v="92"/>
    <n v="87.6"/>
    <n v="135.82"/>
    <n v="161.61000000000001"/>
  </r>
  <r>
    <x v="9"/>
    <x v="92"/>
    <n v="87.6"/>
    <n v="133.63"/>
    <n v="159.63"/>
  </r>
  <r>
    <x v="10"/>
    <x v="92"/>
    <n v="87.6"/>
    <n v="122.73"/>
    <n v="159.6"/>
  </r>
  <r>
    <x v="11"/>
    <x v="92"/>
    <n v="87.6"/>
    <n v="-637.6"/>
    <n v="-419.26"/>
  </r>
  <r>
    <x v="12"/>
    <x v="92"/>
    <n v="87.6"/>
    <n v="45.04"/>
    <n v="106.45"/>
  </r>
  <r>
    <x v="13"/>
    <x v="92"/>
    <n v="87.6"/>
    <n v="47.57"/>
    <n v="88.45"/>
  </r>
  <r>
    <x v="14"/>
    <x v="92"/>
    <n v="87.6"/>
    <n v="49.02"/>
    <n v="92.26"/>
  </r>
  <r>
    <x v="15"/>
    <x v="92"/>
    <n v="87.6"/>
    <n v="41.37"/>
    <n v="92.5"/>
  </r>
  <r>
    <x v="16"/>
    <x v="92"/>
    <n v="87.6"/>
    <n v="40.98"/>
    <n v="97.53"/>
  </r>
  <r>
    <x v="17"/>
    <x v="92"/>
    <n v="87.6"/>
    <n v="40.15"/>
    <n v="88.55"/>
  </r>
  <r>
    <x v="18"/>
    <x v="92"/>
    <n v="87.6"/>
    <n v="36.770000000000003"/>
    <n v="81.319999999999993"/>
  </r>
  <r>
    <x v="19"/>
    <x v="92"/>
    <n v="87.6"/>
    <n v="38.44"/>
    <n v="90.19"/>
  </r>
  <r>
    <x v="20"/>
    <x v="92"/>
    <n v="87.6"/>
    <n v="39.36"/>
    <n v="94.88"/>
  </r>
  <r>
    <x v="21"/>
    <x v="92"/>
    <n v="87.6"/>
    <n v="36.68"/>
    <n v="90.44"/>
  </r>
  <r>
    <x v="22"/>
    <x v="92"/>
    <n v="87.6"/>
    <n v="32.67"/>
    <n v="88.75"/>
  </r>
  <r>
    <x v="23"/>
    <x v="92"/>
    <n v="87.6"/>
    <n v="21.83"/>
    <n v="80.459999999999994"/>
  </r>
  <r>
    <x v="24"/>
    <x v="92"/>
    <n v="87.6"/>
    <n v="224.62"/>
    <n v="276.17"/>
  </r>
  <r>
    <x v="25"/>
    <x v="92"/>
    <n v="87.6"/>
    <n v="162.09"/>
    <n v="211.33"/>
  </r>
  <r>
    <x v="26"/>
    <x v="92"/>
    <n v="87.6"/>
    <n v="143.47999999999999"/>
    <n v="200.36"/>
  </r>
  <r>
    <x v="27"/>
    <x v="92"/>
    <n v="87.6"/>
    <n v="159.66"/>
    <n v="221.43"/>
  </r>
  <r>
    <x v="28"/>
    <x v="92"/>
    <n v="87.6"/>
    <n v="145.94"/>
    <n v="210.89"/>
  </r>
  <r>
    <x v="29"/>
    <x v="92"/>
    <n v="87.6"/>
    <n v="173.43"/>
    <n v="218.79"/>
  </r>
  <r>
    <x v="30"/>
    <x v="92"/>
    <n v="87.6"/>
    <n v="152.66"/>
    <n v="208.01"/>
  </r>
  <r>
    <x v="31"/>
    <x v="92"/>
    <n v="87.6"/>
    <n v="160.04"/>
    <n v="221.07"/>
  </r>
  <r>
    <x v="32"/>
    <x v="92"/>
    <n v="87.6"/>
    <n v="161.19"/>
    <n v="212"/>
  </r>
  <r>
    <x v="33"/>
    <x v="92"/>
    <n v="87.6"/>
    <n v="166.92"/>
    <n v="210.48"/>
  </r>
  <r>
    <x v="34"/>
    <x v="92"/>
    <n v="87.6"/>
    <n v="165.45"/>
    <n v="226.59"/>
  </r>
  <r>
    <x v="35"/>
    <x v="92"/>
    <n v="87.6"/>
    <n v="139.88"/>
    <n v="192.15"/>
  </r>
  <r>
    <x v="36"/>
    <x v="92"/>
    <n v="87.6"/>
    <n v="560.71"/>
    <n v="373.35"/>
  </r>
  <r>
    <x v="37"/>
    <x v="92"/>
    <n v="87.6"/>
    <n v="353.48"/>
    <n v="257.48"/>
  </r>
  <r>
    <x v="38"/>
    <x v="92"/>
    <n v="87.6"/>
    <n v="381.35"/>
    <n v="310.61"/>
  </r>
  <r>
    <x v="39"/>
    <x v="92"/>
    <n v="87.6"/>
    <n v="329.12"/>
    <n v="0"/>
  </r>
  <r>
    <x v="40"/>
    <x v="92"/>
    <n v="87.6"/>
    <n v="394.29"/>
    <n v="0"/>
  </r>
  <r>
    <x v="41"/>
    <x v="92"/>
    <n v="87.6"/>
    <n v="406.77"/>
    <n v="303.48"/>
  </r>
  <r>
    <x v="42"/>
    <x v="92"/>
    <n v="87.6"/>
    <n v="397.43"/>
    <n v="0"/>
  </r>
  <r>
    <x v="43"/>
    <x v="92"/>
    <n v="87.6"/>
    <n v="355.3"/>
    <n v="0"/>
  </r>
  <r>
    <x v="44"/>
    <x v="92"/>
    <n v="87.6"/>
    <n v="410.36"/>
    <n v="0"/>
  </r>
  <r>
    <x v="45"/>
    <x v="92"/>
    <n v="87.6"/>
    <n v="428.6"/>
    <n v="0"/>
  </r>
  <r>
    <x v="46"/>
    <x v="92"/>
    <n v="87.6"/>
    <n v="328.5"/>
    <n v="0"/>
  </r>
  <r>
    <x v="47"/>
    <x v="92"/>
    <n v="87.6"/>
    <n v="322.5"/>
    <n v="256.91000000000003"/>
  </r>
  <r>
    <x v="48"/>
    <x v="92"/>
    <n v="87.6"/>
    <n v="657.09"/>
    <n v="411.73"/>
  </r>
  <r>
    <x v="49"/>
    <x v="92"/>
    <n v="87.6"/>
    <n v="459.48"/>
    <n v="295.57"/>
  </r>
  <r>
    <x v="50"/>
    <x v="92"/>
    <n v="87.6"/>
    <n v="391.75"/>
    <n v="288.38"/>
  </r>
  <r>
    <x v="51"/>
    <x v="92"/>
    <n v="87.6"/>
    <n v="391.19"/>
    <n v="283.88"/>
  </r>
  <r>
    <x v="52"/>
    <x v="92"/>
    <n v="87.6"/>
    <n v="403.46"/>
    <n v="280.42"/>
  </r>
  <r>
    <x v="53"/>
    <x v="92"/>
    <n v="87.6"/>
    <n v="370.05"/>
    <n v="0"/>
  </r>
  <r>
    <x v="54"/>
    <x v="92"/>
    <n v="87.6"/>
    <n v="320.44"/>
    <n v="0"/>
  </r>
  <r>
    <x v="55"/>
    <x v="92"/>
    <n v="87.6"/>
    <n v="389.4"/>
    <n v="0"/>
  </r>
  <r>
    <x v="56"/>
    <x v="92"/>
    <n v="87.6"/>
    <n v="428.33"/>
    <n v="0"/>
  </r>
  <r>
    <x v="57"/>
    <x v="92"/>
    <n v="87.6"/>
    <n v="466.92"/>
    <n v="0"/>
  </r>
  <r>
    <x v="58"/>
    <x v="92"/>
    <n v="87.6"/>
    <n v="335.53"/>
    <n v="0"/>
  </r>
  <r>
    <x v="59"/>
    <x v="92"/>
    <n v="87.6"/>
    <n v="385.7"/>
    <n v="275.13"/>
  </r>
  <r>
    <x v="60"/>
    <x v="92"/>
    <n v="87.6"/>
    <n v="619.19000000000005"/>
    <n v="346.96"/>
  </r>
  <r>
    <x v="61"/>
    <x v="92"/>
    <n v="87.6"/>
    <n v="448.72"/>
    <n v="279.56"/>
  </r>
  <r>
    <x v="62"/>
    <x v="92"/>
    <n v="87.6"/>
    <n v="444.04"/>
    <n v="312.38"/>
  </r>
  <r>
    <x v="63"/>
    <x v="92"/>
    <n v="87.6"/>
    <n v="390"/>
    <n v="279.85000000000002"/>
  </r>
  <r>
    <x v="64"/>
    <x v="92"/>
    <n v="87.6"/>
    <n v="430.08"/>
    <n v="0"/>
  </r>
  <r>
    <x v="65"/>
    <x v="92"/>
    <n v="87.6"/>
    <n v="464.78"/>
    <n v="0"/>
  </r>
  <r>
    <x v="66"/>
    <x v="92"/>
    <n v="87.6"/>
    <n v="396.02"/>
    <n v="0"/>
  </r>
  <r>
    <x v="67"/>
    <x v="92"/>
    <n v="87.6"/>
    <n v="412.41"/>
    <n v="0"/>
  </r>
  <r>
    <x v="68"/>
    <x v="92"/>
    <n v="87.6"/>
    <n v="392.13"/>
    <n v="0"/>
  </r>
  <r>
    <x v="69"/>
    <x v="92"/>
    <n v="87.6"/>
    <n v="454"/>
    <n v="290.97000000000003"/>
  </r>
  <r>
    <x v="70"/>
    <x v="92"/>
    <n v="87.6"/>
    <n v="446.14"/>
    <n v="313.52"/>
  </r>
  <r>
    <x v="71"/>
    <x v="92"/>
    <n v="87.6"/>
    <n v="426.43"/>
    <n v="315.31"/>
  </r>
  <r>
    <x v="72"/>
    <x v="92"/>
    <n v="87.6"/>
    <n v="0"/>
    <n v="0"/>
  </r>
  <r>
    <x v="73"/>
    <x v="92"/>
    <n v="87.6"/>
    <n v="0"/>
    <n v="0"/>
  </r>
  <r>
    <x v="74"/>
    <x v="92"/>
    <n v="87.6"/>
    <n v="0"/>
    <n v="0"/>
  </r>
  <r>
    <x v="75"/>
    <x v="92"/>
    <n v="87.6"/>
    <n v="0"/>
    <n v="0"/>
  </r>
  <r>
    <x v="76"/>
    <x v="92"/>
    <n v="87.6"/>
    <n v="0"/>
    <n v="0"/>
  </r>
  <r>
    <x v="77"/>
    <x v="92"/>
    <n v="87.6"/>
    <n v="0"/>
    <n v="0"/>
  </r>
  <r>
    <x v="78"/>
    <x v="92"/>
    <n v="87.6"/>
    <n v="0"/>
    <n v="0"/>
  </r>
  <r>
    <x v="79"/>
    <x v="92"/>
    <n v="87.6"/>
    <n v="0"/>
    <n v="0"/>
  </r>
  <r>
    <x v="80"/>
    <x v="92"/>
    <n v="87.6"/>
    <n v="0"/>
    <n v="0"/>
  </r>
  <r>
    <x v="81"/>
    <x v="92"/>
    <n v="87.6"/>
    <n v="0"/>
    <n v="0"/>
  </r>
  <r>
    <x v="82"/>
    <x v="92"/>
    <n v="87.6"/>
    <n v="0"/>
    <n v="0"/>
  </r>
  <r>
    <x v="83"/>
    <x v="92"/>
    <n v="87.6"/>
    <n v="0"/>
    <n v="0"/>
  </r>
  <r>
    <x v="84"/>
    <x v="92"/>
    <n v="87.6"/>
    <n v="0"/>
    <n v="0"/>
  </r>
  <r>
    <x v="85"/>
    <x v="92"/>
    <n v="87.6"/>
    <n v="0"/>
    <n v="0"/>
  </r>
  <r>
    <x v="86"/>
    <x v="92"/>
    <n v="87.6"/>
    <n v="0"/>
    <n v="0"/>
  </r>
  <r>
    <x v="87"/>
    <x v="92"/>
    <n v="87.6"/>
    <n v="0"/>
    <n v="0"/>
  </r>
  <r>
    <x v="88"/>
    <x v="92"/>
    <n v="87.6"/>
    <n v="0"/>
    <n v="0"/>
  </r>
  <r>
    <x v="89"/>
    <x v="92"/>
    <n v="87.6"/>
    <n v="0"/>
    <n v="0"/>
  </r>
  <r>
    <x v="90"/>
    <x v="92"/>
    <n v="87.6"/>
    <n v="0"/>
    <n v="0"/>
  </r>
  <r>
    <x v="91"/>
    <x v="92"/>
    <n v="87.6"/>
    <n v="0"/>
    <n v="0"/>
  </r>
  <r>
    <x v="92"/>
    <x v="92"/>
    <n v="87.6"/>
    <n v="0"/>
    <n v="0"/>
  </r>
  <r>
    <x v="93"/>
    <x v="92"/>
    <n v="87.6"/>
    <n v="0"/>
    <n v="0"/>
  </r>
  <r>
    <x v="94"/>
    <x v="92"/>
    <n v="87.6"/>
    <n v="0"/>
    <n v="0"/>
  </r>
  <r>
    <x v="95"/>
    <x v="92"/>
    <n v="87.6"/>
    <n v="0"/>
    <n v="0"/>
  </r>
  <r>
    <x v="0"/>
    <x v="93"/>
    <n v="87.9"/>
    <n v="141.66"/>
    <n v="216.14"/>
  </r>
  <r>
    <x v="1"/>
    <x v="93"/>
    <n v="87.9"/>
    <n v="113.24"/>
    <n v="169.94"/>
  </r>
  <r>
    <x v="2"/>
    <x v="93"/>
    <n v="87.9"/>
    <n v="101.74"/>
    <n v="168.7"/>
  </r>
  <r>
    <x v="3"/>
    <x v="93"/>
    <n v="87.9"/>
    <n v="97.3"/>
    <n v="167.75"/>
  </r>
  <r>
    <x v="4"/>
    <x v="93"/>
    <n v="87.9"/>
    <n v="105.61"/>
    <n v="167.55"/>
  </r>
  <r>
    <x v="5"/>
    <x v="93"/>
    <n v="87.9"/>
    <n v="110.82"/>
    <n v="170.48"/>
  </r>
  <r>
    <x v="6"/>
    <x v="93"/>
    <n v="87.9"/>
    <n v="103.62"/>
    <n v="153.47"/>
  </r>
  <r>
    <x v="7"/>
    <x v="93"/>
    <n v="87.9"/>
    <n v="109.81"/>
    <n v="172.92"/>
  </r>
  <r>
    <x v="8"/>
    <x v="93"/>
    <n v="87.9"/>
    <n v="110.86"/>
    <n v="159.71"/>
  </r>
  <r>
    <x v="9"/>
    <x v="93"/>
    <n v="87.9"/>
    <n v="110.07"/>
    <n v="157.94999999999999"/>
  </r>
  <r>
    <x v="10"/>
    <x v="93"/>
    <n v="87.9"/>
    <n v="102.29"/>
    <n v="158.38999999999999"/>
  </r>
  <r>
    <x v="11"/>
    <x v="93"/>
    <n v="87.9"/>
    <n v="-622.66"/>
    <n v="-376.23"/>
  </r>
  <r>
    <x v="12"/>
    <x v="93"/>
    <n v="87.9"/>
    <n v="43.59"/>
    <n v="107.33"/>
  </r>
  <r>
    <x v="13"/>
    <x v="93"/>
    <n v="87.9"/>
    <n v="46.12"/>
    <n v="88.28"/>
  </r>
  <r>
    <x v="14"/>
    <x v="93"/>
    <n v="87.9"/>
    <n v="47.44"/>
    <n v="92.06"/>
  </r>
  <r>
    <x v="15"/>
    <x v="93"/>
    <n v="87.9"/>
    <n v="39.99"/>
    <n v="92.47"/>
  </r>
  <r>
    <x v="16"/>
    <x v="93"/>
    <n v="87.9"/>
    <n v="39.56"/>
    <n v="97.78"/>
  </r>
  <r>
    <x v="17"/>
    <x v="93"/>
    <n v="87.9"/>
    <n v="38.81"/>
    <n v="88.38"/>
  </r>
  <r>
    <x v="18"/>
    <x v="93"/>
    <n v="87.9"/>
    <n v="35.51"/>
    <n v="81.260000000000005"/>
  </r>
  <r>
    <x v="19"/>
    <x v="93"/>
    <n v="87.9"/>
    <n v="37.1"/>
    <n v="90.22"/>
  </r>
  <r>
    <x v="20"/>
    <x v="93"/>
    <n v="87.9"/>
    <n v="38"/>
    <n v="95.01"/>
  </r>
  <r>
    <x v="21"/>
    <x v="93"/>
    <n v="87.9"/>
    <n v="35.44"/>
    <n v="90.43"/>
  </r>
  <r>
    <x v="22"/>
    <x v="93"/>
    <n v="87.9"/>
    <n v="31.61"/>
    <n v="88.84"/>
  </r>
  <r>
    <x v="23"/>
    <x v="93"/>
    <n v="87.9"/>
    <n v="19.98"/>
    <n v="80"/>
  </r>
  <r>
    <x v="24"/>
    <x v="93"/>
    <n v="87.9"/>
    <n v="177.44"/>
    <n v="273.99"/>
  </r>
  <r>
    <x v="25"/>
    <x v="93"/>
    <n v="87.9"/>
    <n v="136.44999999999999"/>
    <n v="210.43"/>
  </r>
  <r>
    <x v="26"/>
    <x v="93"/>
    <n v="87.9"/>
    <n v="120.64"/>
    <n v="198.89"/>
  </r>
  <r>
    <x v="27"/>
    <x v="93"/>
    <n v="87.9"/>
    <n v="135.01"/>
    <n v="219.71"/>
  </r>
  <r>
    <x v="28"/>
    <x v="93"/>
    <n v="87.9"/>
    <n v="123.13"/>
    <n v="209.5"/>
  </r>
  <r>
    <x v="29"/>
    <x v="93"/>
    <n v="87.9"/>
    <n v="145.93"/>
    <n v="217.68"/>
  </r>
  <r>
    <x v="30"/>
    <x v="93"/>
    <n v="87.9"/>
    <n v="128.38"/>
    <n v="207.09"/>
  </r>
  <r>
    <x v="31"/>
    <x v="93"/>
    <n v="87.9"/>
    <n v="134.93"/>
    <n v="220.04"/>
  </r>
  <r>
    <x v="32"/>
    <x v="93"/>
    <n v="87.9"/>
    <n v="134.88"/>
    <n v="211.14"/>
  </r>
  <r>
    <x v="33"/>
    <x v="93"/>
    <n v="87.9"/>
    <n v="139.26"/>
    <n v="209.51"/>
  </r>
  <r>
    <x v="34"/>
    <x v="93"/>
    <n v="87.9"/>
    <n v="139.30000000000001"/>
    <n v="225.85"/>
  </r>
  <r>
    <x v="35"/>
    <x v="93"/>
    <n v="87.9"/>
    <n v="109.83"/>
    <n v="190.55"/>
  </r>
  <r>
    <x v="36"/>
    <x v="93"/>
    <n v="87.9"/>
    <n v="448.07"/>
    <n v="369.03"/>
  </r>
  <r>
    <x v="37"/>
    <x v="93"/>
    <n v="87.9"/>
    <n v="285.14999999999998"/>
    <n v="255.3"/>
  </r>
  <r>
    <x v="38"/>
    <x v="93"/>
    <n v="87.9"/>
    <n v="309.08999999999997"/>
    <n v="307.92"/>
  </r>
  <r>
    <x v="39"/>
    <x v="93"/>
    <n v="87.9"/>
    <n v="265.98"/>
    <n v="0"/>
  </r>
  <r>
    <x v="40"/>
    <x v="93"/>
    <n v="87.9"/>
    <n v="316.77"/>
    <n v="0"/>
  </r>
  <r>
    <x v="41"/>
    <x v="93"/>
    <n v="87.9"/>
    <n v="326.87"/>
    <n v="300.99"/>
  </r>
  <r>
    <x v="42"/>
    <x v="93"/>
    <n v="87.9"/>
    <n v="321.2"/>
    <n v="0"/>
  </r>
  <r>
    <x v="43"/>
    <x v="93"/>
    <n v="87.9"/>
    <n v="286.42"/>
    <n v="0"/>
  </r>
  <r>
    <x v="44"/>
    <x v="93"/>
    <n v="87.9"/>
    <n v="328.45"/>
    <n v="0"/>
  </r>
  <r>
    <x v="45"/>
    <x v="93"/>
    <n v="87.9"/>
    <n v="342.05"/>
    <n v="0"/>
  </r>
  <r>
    <x v="46"/>
    <x v="93"/>
    <n v="87.9"/>
    <n v="266.63"/>
    <n v="0"/>
  </r>
  <r>
    <x v="47"/>
    <x v="93"/>
    <n v="87.9"/>
    <n v="247.97"/>
    <n v="255.58"/>
  </r>
  <r>
    <x v="48"/>
    <x v="93"/>
    <n v="87.9"/>
    <n v="521.86"/>
    <n v="409.21"/>
  </r>
  <r>
    <x v="49"/>
    <x v="93"/>
    <n v="87.9"/>
    <n v="370.2"/>
    <n v="293.24"/>
  </r>
  <r>
    <x v="50"/>
    <x v="93"/>
    <n v="87.9"/>
    <n v="317.92"/>
    <n v="286.07"/>
  </r>
  <r>
    <x v="51"/>
    <x v="93"/>
    <n v="87.9"/>
    <n v="314.56"/>
    <n v="283.64999999999998"/>
  </r>
  <r>
    <x v="52"/>
    <x v="93"/>
    <n v="87.9"/>
    <n v="322.27999999999997"/>
    <n v="280.13"/>
  </r>
  <r>
    <x v="53"/>
    <x v="93"/>
    <n v="87.9"/>
    <n v="294.95"/>
    <n v="0"/>
  </r>
  <r>
    <x v="54"/>
    <x v="93"/>
    <n v="87.9"/>
    <n v="258.93"/>
    <n v="0"/>
  </r>
  <r>
    <x v="55"/>
    <x v="93"/>
    <n v="87.9"/>
    <n v="313.83999999999997"/>
    <n v="0"/>
  </r>
  <r>
    <x v="56"/>
    <x v="93"/>
    <n v="87.9"/>
    <n v="341.48"/>
    <n v="0"/>
  </r>
  <r>
    <x v="57"/>
    <x v="93"/>
    <n v="87.9"/>
    <n v="371.69"/>
    <n v="0"/>
  </r>
  <r>
    <x v="58"/>
    <x v="93"/>
    <n v="87.9"/>
    <n v="274.35000000000002"/>
    <n v="0"/>
  </r>
  <r>
    <x v="59"/>
    <x v="93"/>
    <n v="87.9"/>
    <n v="304.44"/>
    <n v="270.24"/>
  </r>
  <r>
    <x v="60"/>
    <x v="93"/>
    <n v="87.9"/>
    <n v="488.95"/>
    <n v="344.38"/>
  </r>
  <r>
    <x v="61"/>
    <x v="93"/>
    <n v="87.9"/>
    <n v="357.84"/>
    <n v="277.72000000000003"/>
  </r>
  <r>
    <x v="62"/>
    <x v="93"/>
    <n v="87.9"/>
    <n v="356.41"/>
    <n v="309.79000000000002"/>
  </r>
  <r>
    <x v="63"/>
    <x v="93"/>
    <n v="87.9"/>
    <n v="312.14"/>
    <n v="278"/>
  </r>
  <r>
    <x v="64"/>
    <x v="93"/>
    <n v="87.9"/>
    <n v="342.8"/>
    <n v="0"/>
  </r>
  <r>
    <x v="65"/>
    <x v="93"/>
    <n v="87.9"/>
    <n v="370.43"/>
    <n v="0"/>
  </r>
  <r>
    <x v="66"/>
    <x v="93"/>
    <n v="87.9"/>
    <n v="318.55"/>
    <n v="0"/>
  </r>
  <r>
    <x v="67"/>
    <x v="93"/>
    <n v="87.9"/>
    <n v="330.96"/>
    <n v="0"/>
  </r>
  <r>
    <x v="68"/>
    <x v="93"/>
    <n v="87.9"/>
    <n v="311.61"/>
    <n v="0"/>
  </r>
  <r>
    <x v="69"/>
    <x v="93"/>
    <n v="87.9"/>
    <n v="360.82"/>
    <n v="289.75"/>
  </r>
  <r>
    <x v="70"/>
    <x v="93"/>
    <n v="87.9"/>
    <n v="358.98"/>
    <n v="310.95999999999998"/>
  </r>
  <r>
    <x v="71"/>
    <x v="93"/>
    <n v="87.9"/>
    <n v="340.18"/>
    <n v="315.85000000000002"/>
  </r>
  <r>
    <x v="72"/>
    <x v="93"/>
    <n v="87.9"/>
    <n v="0"/>
    <n v="0"/>
  </r>
  <r>
    <x v="73"/>
    <x v="93"/>
    <n v="87.9"/>
    <n v="0"/>
    <n v="0"/>
  </r>
  <r>
    <x v="74"/>
    <x v="93"/>
    <n v="87.9"/>
    <n v="0"/>
    <n v="0"/>
  </r>
  <r>
    <x v="75"/>
    <x v="93"/>
    <n v="87.9"/>
    <n v="0"/>
    <n v="0"/>
  </r>
  <r>
    <x v="76"/>
    <x v="93"/>
    <n v="87.9"/>
    <n v="0"/>
    <n v="0"/>
  </r>
  <r>
    <x v="77"/>
    <x v="93"/>
    <n v="87.9"/>
    <n v="0"/>
    <n v="0"/>
  </r>
  <r>
    <x v="78"/>
    <x v="93"/>
    <n v="87.9"/>
    <n v="0"/>
    <n v="0"/>
  </r>
  <r>
    <x v="79"/>
    <x v="93"/>
    <n v="87.9"/>
    <n v="0"/>
    <n v="0"/>
  </r>
  <r>
    <x v="80"/>
    <x v="93"/>
    <n v="87.9"/>
    <n v="0"/>
    <n v="0"/>
  </r>
  <r>
    <x v="81"/>
    <x v="93"/>
    <n v="87.9"/>
    <n v="0"/>
    <n v="0"/>
  </r>
  <r>
    <x v="82"/>
    <x v="93"/>
    <n v="87.9"/>
    <n v="0"/>
    <n v="0"/>
  </r>
  <r>
    <x v="83"/>
    <x v="93"/>
    <n v="87.9"/>
    <n v="0"/>
    <n v="0"/>
  </r>
  <r>
    <x v="84"/>
    <x v="93"/>
    <n v="87.9"/>
    <n v="0"/>
    <n v="0"/>
  </r>
  <r>
    <x v="85"/>
    <x v="93"/>
    <n v="87.9"/>
    <n v="0"/>
    <n v="0"/>
  </r>
  <r>
    <x v="86"/>
    <x v="93"/>
    <n v="87.9"/>
    <n v="0"/>
    <n v="0"/>
  </r>
  <r>
    <x v="87"/>
    <x v="93"/>
    <n v="87.9"/>
    <n v="0"/>
    <n v="0"/>
  </r>
  <r>
    <x v="88"/>
    <x v="93"/>
    <n v="87.9"/>
    <n v="0"/>
    <n v="0"/>
  </r>
  <r>
    <x v="89"/>
    <x v="93"/>
    <n v="87.9"/>
    <n v="0"/>
    <n v="0"/>
  </r>
  <r>
    <x v="90"/>
    <x v="93"/>
    <n v="87.9"/>
    <n v="0"/>
    <n v="0"/>
  </r>
  <r>
    <x v="91"/>
    <x v="93"/>
    <n v="87.9"/>
    <n v="0"/>
    <n v="0"/>
  </r>
  <r>
    <x v="92"/>
    <x v="93"/>
    <n v="87.9"/>
    <n v="0"/>
    <n v="0"/>
  </r>
  <r>
    <x v="93"/>
    <x v="93"/>
    <n v="87.9"/>
    <n v="0"/>
    <n v="0"/>
  </r>
  <r>
    <x v="94"/>
    <x v="93"/>
    <n v="87.9"/>
    <n v="0"/>
    <n v="0"/>
  </r>
  <r>
    <x v="95"/>
    <x v="93"/>
    <n v="87.9"/>
    <n v="0"/>
    <n v="0"/>
  </r>
  <r>
    <x v="0"/>
    <x v="94"/>
    <n v="88.2"/>
    <n v="120.25"/>
    <n v="215.49"/>
  </r>
  <r>
    <x v="1"/>
    <x v="94"/>
    <n v="88.2"/>
    <n v="97.21"/>
    <n v="169.21"/>
  </r>
  <r>
    <x v="2"/>
    <x v="94"/>
    <n v="88.2"/>
    <n v="87.43"/>
    <n v="168.04"/>
  </r>
  <r>
    <x v="3"/>
    <x v="94"/>
    <n v="88.2"/>
    <n v="83.49"/>
    <n v="166.99"/>
  </r>
  <r>
    <x v="4"/>
    <x v="94"/>
    <n v="88.2"/>
    <n v="90.92"/>
    <n v="166.76"/>
  </r>
  <r>
    <x v="5"/>
    <x v="94"/>
    <n v="88.2"/>
    <n v="94.37"/>
    <n v="169.66"/>
  </r>
  <r>
    <x v="6"/>
    <x v="94"/>
    <n v="88.2"/>
    <n v="88.38"/>
    <n v="152.68"/>
  </r>
  <r>
    <x v="7"/>
    <x v="94"/>
    <n v="88.2"/>
    <n v="94.13"/>
    <n v="172.01"/>
  </r>
  <r>
    <x v="8"/>
    <x v="94"/>
    <n v="88.2"/>
    <n v="90.56"/>
    <n v="157.94999999999999"/>
  </r>
  <r>
    <x v="9"/>
    <x v="94"/>
    <n v="88.2"/>
    <n v="91.45"/>
    <n v="156.38"/>
  </r>
  <r>
    <x v="10"/>
    <x v="94"/>
    <n v="88.2"/>
    <n v="86.09"/>
    <n v="157.27000000000001"/>
  </r>
  <r>
    <x v="11"/>
    <x v="94"/>
    <n v="88.2"/>
    <n v="-608.79999999999995"/>
    <n v="-335.82"/>
  </r>
  <r>
    <x v="12"/>
    <x v="94"/>
    <n v="88.2"/>
    <n v="42.28"/>
    <n v="108.19"/>
  </r>
  <r>
    <x v="13"/>
    <x v="94"/>
    <n v="88.2"/>
    <n v="44.82"/>
    <n v="88.1"/>
  </r>
  <r>
    <x v="14"/>
    <x v="94"/>
    <n v="88.2"/>
    <n v="46.02"/>
    <n v="91.87"/>
  </r>
  <r>
    <x v="15"/>
    <x v="94"/>
    <n v="88.2"/>
    <n v="38.74"/>
    <n v="92.43"/>
  </r>
  <r>
    <x v="16"/>
    <x v="94"/>
    <n v="88.2"/>
    <n v="38.270000000000003"/>
    <n v="97.96"/>
  </r>
  <r>
    <x v="17"/>
    <x v="94"/>
    <n v="88.2"/>
    <n v="37.590000000000003"/>
    <n v="88.19"/>
  </r>
  <r>
    <x v="18"/>
    <x v="94"/>
    <n v="88.2"/>
    <n v="34.369999999999997"/>
    <n v="81.209999999999994"/>
  </r>
  <r>
    <x v="19"/>
    <x v="94"/>
    <n v="88.2"/>
    <n v="35.89"/>
    <n v="90.22"/>
  </r>
  <r>
    <x v="20"/>
    <x v="94"/>
    <n v="88.2"/>
    <n v="36.78"/>
    <n v="95.1"/>
  </r>
  <r>
    <x v="21"/>
    <x v="94"/>
    <n v="88.2"/>
    <n v="34.32"/>
    <n v="90.38"/>
  </r>
  <r>
    <x v="22"/>
    <x v="94"/>
    <n v="88.2"/>
    <n v="30.66"/>
    <n v="88.91"/>
  </r>
  <r>
    <x v="23"/>
    <x v="94"/>
    <n v="88.2"/>
    <n v="18.27"/>
    <n v="79.52"/>
  </r>
  <r>
    <x v="24"/>
    <x v="94"/>
    <n v="88.2"/>
    <n v="138.52000000000001"/>
    <n v="272.02"/>
  </r>
  <r>
    <x v="25"/>
    <x v="94"/>
    <n v="88.2"/>
    <n v="116.79"/>
    <n v="209.61"/>
  </r>
  <r>
    <x v="26"/>
    <x v="94"/>
    <n v="88.2"/>
    <n v="103.14"/>
    <n v="197.5"/>
  </r>
  <r>
    <x v="27"/>
    <x v="94"/>
    <n v="88.2"/>
    <n v="116.11"/>
    <n v="218.05"/>
  </r>
  <r>
    <x v="28"/>
    <x v="94"/>
    <n v="88.2"/>
    <n v="105.81"/>
    <n v="208.1"/>
  </r>
  <r>
    <x v="29"/>
    <x v="94"/>
    <n v="88.2"/>
    <n v="124.93"/>
    <n v="216.66"/>
  </r>
  <r>
    <x v="30"/>
    <x v="94"/>
    <n v="88.2"/>
    <n v="109.72"/>
    <n v="206.24"/>
  </r>
  <r>
    <x v="31"/>
    <x v="94"/>
    <n v="88.2"/>
    <n v="115.68"/>
    <n v="219.08"/>
  </r>
  <r>
    <x v="32"/>
    <x v="94"/>
    <n v="88.2"/>
    <n v="114.87"/>
    <n v="210.34"/>
  </r>
  <r>
    <x v="33"/>
    <x v="94"/>
    <n v="88.2"/>
    <n v="118.23"/>
    <n v="208.62"/>
  </r>
  <r>
    <x v="34"/>
    <x v="94"/>
    <n v="88.2"/>
    <n v="119.25"/>
    <n v="225.17"/>
  </r>
  <r>
    <x v="35"/>
    <x v="94"/>
    <n v="88.2"/>
    <n v="85.42"/>
    <n v="189.09"/>
  </r>
  <r>
    <x v="36"/>
    <x v="94"/>
    <n v="88.2"/>
    <n v="364.95"/>
    <n v="364.58"/>
  </r>
  <r>
    <x v="37"/>
    <x v="94"/>
    <n v="88.2"/>
    <n v="234.77"/>
    <n v="253.15"/>
  </r>
  <r>
    <x v="38"/>
    <x v="94"/>
    <n v="88.2"/>
    <n v="255.73"/>
    <n v="305.27"/>
  </r>
  <r>
    <x v="39"/>
    <x v="94"/>
    <n v="88.2"/>
    <n v="219.45"/>
    <n v="0"/>
  </r>
  <r>
    <x v="40"/>
    <x v="94"/>
    <n v="88.2"/>
    <n v="259.94"/>
    <n v="0"/>
  </r>
  <r>
    <x v="41"/>
    <x v="94"/>
    <n v="88.2"/>
    <n v="268.27999999999997"/>
    <n v="298.52999999999997"/>
  </r>
  <r>
    <x v="42"/>
    <x v="94"/>
    <n v="88.2"/>
    <n v="264.95"/>
    <n v="0"/>
  </r>
  <r>
    <x v="43"/>
    <x v="94"/>
    <n v="88.2"/>
    <n v="235.55"/>
    <n v="0"/>
  </r>
  <r>
    <x v="44"/>
    <x v="94"/>
    <n v="88.2"/>
    <n v="268.33"/>
    <n v="0"/>
  </r>
  <r>
    <x v="45"/>
    <x v="94"/>
    <n v="88.2"/>
    <n v="278.62"/>
    <n v="0"/>
  </r>
  <r>
    <x v="46"/>
    <x v="94"/>
    <n v="88.2"/>
    <n v="220.62"/>
    <n v="0"/>
  </r>
  <r>
    <x v="47"/>
    <x v="94"/>
    <n v="88.2"/>
    <n v="191.12"/>
    <n v="252.04"/>
  </r>
  <r>
    <x v="48"/>
    <x v="94"/>
    <n v="88.2"/>
    <n v="423.43"/>
    <n v="406.8"/>
  </r>
  <r>
    <x v="49"/>
    <x v="94"/>
    <n v="88.2"/>
    <n v="304.77"/>
    <n v="290.95999999999998"/>
  </r>
  <r>
    <x v="50"/>
    <x v="94"/>
    <n v="88.2"/>
    <n v="263.64"/>
    <n v="283.82"/>
  </r>
  <r>
    <x v="51"/>
    <x v="94"/>
    <n v="88.2"/>
    <n v="258.43"/>
    <n v="283.18"/>
  </r>
  <r>
    <x v="52"/>
    <x v="94"/>
    <n v="88.2"/>
    <n v="262.73"/>
    <n v="279.56"/>
  </r>
  <r>
    <x v="53"/>
    <x v="94"/>
    <n v="88.2"/>
    <n v="241.1"/>
    <n v="0"/>
  </r>
  <r>
    <x v="54"/>
    <x v="94"/>
    <n v="88.2"/>
    <n v="213.79"/>
    <n v="0"/>
  </r>
  <r>
    <x v="55"/>
    <x v="94"/>
    <n v="88.2"/>
    <n v="258.10000000000002"/>
    <n v="0"/>
  </r>
  <r>
    <x v="56"/>
    <x v="94"/>
    <n v="88.2"/>
    <n v="278.22000000000003"/>
    <n v="0"/>
  </r>
  <r>
    <x v="57"/>
    <x v="94"/>
    <n v="88.2"/>
    <n v="302.45999999999998"/>
    <n v="0"/>
  </r>
  <r>
    <x v="58"/>
    <x v="94"/>
    <n v="88.2"/>
    <n v="228.76"/>
    <n v="0"/>
  </r>
  <r>
    <x v="59"/>
    <x v="94"/>
    <n v="88.2"/>
    <n v="242.34"/>
    <n v="265.57"/>
  </r>
  <r>
    <x v="60"/>
    <x v="94"/>
    <n v="88.2"/>
    <n v="394.35"/>
    <n v="341.99"/>
  </r>
  <r>
    <x v="61"/>
    <x v="94"/>
    <n v="88.2"/>
    <n v="291.75"/>
    <n v="275.88"/>
  </r>
  <r>
    <x v="62"/>
    <x v="94"/>
    <n v="88.2"/>
    <n v="292.22000000000003"/>
    <n v="307.25"/>
  </r>
  <r>
    <x v="63"/>
    <x v="94"/>
    <n v="88.2"/>
    <n v="255.1"/>
    <n v="276.17"/>
  </r>
  <r>
    <x v="64"/>
    <x v="94"/>
    <n v="88.2"/>
    <n v="279.35000000000002"/>
    <n v="0"/>
  </r>
  <r>
    <x v="65"/>
    <x v="94"/>
    <n v="88.2"/>
    <n v="301.89999999999998"/>
    <n v="0"/>
  </r>
  <r>
    <x v="66"/>
    <x v="94"/>
    <n v="88.2"/>
    <n v="261.88"/>
    <n v="0"/>
  </r>
  <r>
    <x v="67"/>
    <x v="94"/>
    <n v="88.2"/>
    <n v="271.35000000000002"/>
    <n v="0"/>
  </r>
  <r>
    <x v="68"/>
    <x v="94"/>
    <n v="88.2"/>
    <n v="253.09"/>
    <n v="0"/>
  </r>
  <r>
    <x v="69"/>
    <x v="94"/>
    <n v="88.2"/>
    <n v="293.41000000000003"/>
    <n v="288.48"/>
  </r>
  <r>
    <x v="70"/>
    <x v="94"/>
    <n v="88.2"/>
    <n v="294.75"/>
    <n v="308.44"/>
  </r>
  <r>
    <x v="71"/>
    <x v="94"/>
    <n v="88.2"/>
    <n v="276.41000000000003"/>
    <n v="316.98"/>
  </r>
  <r>
    <x v="72"/>
    <x v="94"/>
    <n v="88.2"/>
    <n v="0"/>
    <n v="0"/>
  </r>
  <r>
    <x v="73"/>
    <x v="94"/>
    <n v="88.2"/>
    <n v="0"/>
    <n v="0"/>
  </r>
  <r>
    <x v="74"/>
    <x v="94"/>
    <n v="88.2"/>
    <n v="0"/>
    <n v="0"/>
  </r>
  <r>
    <x v="75"/>
    <x v="94"/>
    <n v="88.2"/>
    <n v="0"/>
    <n v="0"/>
  </r>
  <r>
    <x v="76"/>
    <x v="94"/>
    <n v="88.2"/>
    <n v="0"/>
    <n v="0"/>
  </r>
  <r>
    <x v="77"/>
    <x v="94"/>
    <n v="88.2"/>
    <n v="0"/>
    <n v="0"/>
  </r>
  <r>
    <x v="78"/>
    <x v="94"/>
    <n v="88.2"/>
    <n v="0"/>
    <n v="0"/>
  </r>
  <r>
    <x v="79"/>
    <x v="94"/>
    <n v="88.2"/>
    <n v="0"/>
    <n v="0"/>
  </r>
  <r>
    <x v="80"/>
    <x v="94"/>
    <n v="88.2"/>
    <n v="0"/>
    <n v="0"/>
  </r>
  <r>
    <x v="81"/>
    <x v="94"/>
    <n v="88.2"/>
    <n v="0"/>
    <n v="0"/>
  </r>
  <r>
    <x v="82"/>
    <x v="94"/>
    <n v="88.2"/>
    <n v="0"/>
    <n v="0"/>
  </r>
  <r>
    <x v="83"/>
    <x v="94"/>
    <n v="88.2"/>
    <n v="0"/>
    <n v="0"/>
  </r>
  <r>
    <x v="84"/>
    <x v="94"/>
    <n v="88.2"/>
    <n v="0"/>
    <n v="0"/>
  </r>
  <r>
    <x v="85"/>
    <x v="94"/>
    <n v="88.2"/>
    <n v="0"/>
    <n v="0"/>
  </r>
  <r>
    <x v="86"/>
    <x v="94"/>
    <n v="88.2"/>
    <n v="0"/>
    <n v="0"/>
  </r>
  <r>
    <x v="87"/>
    <x v="94"/>
    <n v="88.2"/>
    <n v="0"/>
    <n v="0"/>
  </r>
  <r>
    <x v="88"/>
    <x v="94"/>
    <n v="88.2"/>
    <n v="0"/>
    <n v="0"/>
  </r>
  <r>
    <x v="89"/>
    <x v="94"/>
    <n v="88.2"/>
    <n v="0"/>
    <n v="0"/>
  </r>
  <r>
    <x v="90"/>
    <x v="94"/>
    <n v="88.2"/>
    <n v="0"/>
    <n v="0"/>
  </r>
  <r>
    <x v="91"/>
    <x v="94"/>
    <n v="88.2"/>
    <n v="0"/>
    <n v="0"/>
  </r>
  <r>
    <x v="92"/>
    <x v="94"/>
    <n v="88.2"/>
    <n v="0"/>
    <n v="0"/>
  </r>
  <r>
    <x v="93"/>
    <x v="94"/>
    <n v="88.2"/>
    <n v="0"/>
    <n v="0"/>
  </r>
  <r>
    <x v="94"/>
    <x v="94"/>
    <n v="88.2"/>
    <n v="0"/>
    <n v="0"/>
  </r>
  <r>
    <x v="95"/>
    <x v="94"/>
    <n v="88.2"/>
    <n v="0"/>
    <n v="0"/>
  </r>
  <r>
    <x v="0"/>
    <x v="95"/>
    <n v="88.5"/>
    <n v="103.77"/>
    <n v="214.93"/>
  </r>
  <r>
    <x v="1"/>
    <x v="95"/>
    <n v="88.5"/>
    <n v="84.94"/>
    <n v="168.53"/>
  </r>
  <r>
    <x v="2"/>
    <x v="95"/>
    <n v="88.5"/>
    <n v="76.459999999999994"/>
    <n v="167.43"/>
  </r>
  <r>
    <x v="3"/>
    <x v="95"/>
    <n v="88.5"/>
    <n v="72.790000000000006"/>
    <n v="166.28"/>
  </r>
  <r>
    <x v="4"/>
    <x v="95"/>
    <n v="88.5"/>
    <n v="79.75"/>
    <n v="166.04"/>
  </r>
  <r>
    <x v="5"/>
    <x v="95"/>
    <n v="88.5"/>
    <n v="81.67"/>
    <n v="168.92"/>
  </r>
  <r>
    <x v="6"/>
    <x v="95"/>
    <n v="88.5"/>
    <n v="76.61"/>
    <n v="151.97999999999999"/>
  </r>
  <r>
    <x v="7"/>
    <x v="95"/>
    <n v="88.5"/>
    <n v="82.18"/>
    <n v="171.18"/>
  </r>
  <r>
    <x v="8"/>
    <x v="95"/>
    <n v="88.5"/>
    <n v="73.239999999999995"/>
    <n v="156.32"/>
  </r>
  <r>
    <x v="9"/>
    <x v="95"/>
    <n v="88.5"/>
    <n v="75.989999999999995"/>
    <n v="154.91"/>
  </r>
  <r>
    <x v="10"/>
    <x v="95"/>
    <n v="88.5"/>
    <n v="72.63"/>
    <n v="156.24"/>
  </r>
  <r>
    <x v="11"/>
    <x v="95"/>
    <n v="88.5"/>
    <n v="-596"/>
    <n v="-297.99"/>
  </r>
  <r>
    <x v="12"/>
    <x v="95"/>
    <n v="88.5"/>
    <n v="41.1"/>
    <n v="109"/>
  </r>
  <r>
    <x v="13"/>
    <x v="95"/>
    <n v="88.5"/>
    <n v="43.63"/>
    <n v="87.91"/>
  </r>
  <r>
    <x v="14"/>
    <x v="95"/>
    <n v="88.5"/>
    <n v="44.73"/>
    <n v="91.69"/>
  </r>
  <r>
    <x v="15"/>
    <x v="95"/>
    <n v="88.5"/>
    <n v="37.61"/>
    <n v="92.39"/>
  </r>
  <r>
    <x v="16"/>
    <x v="95"/>
    <n v="88.5"/>
    <n v="37.11"/>
    <n v="98.08"/>
  </r>
  <r>
    <x v="17"/>
    <x v="95"/>
    <n v="88.5"/>
    <n v="36.5"/>
    <n v="88"/>
  </r>
  <r>
    <x v="18"/>
    <x v="95"/>
    <n v="88.5"/>
    <n v="33.35"/>
    <n v="81.17"/>
  </r>
  <r>
    <x v="19"/>
    <x v="95"/>
    <n v="88.5"/>
    <n v="34.799999999999997"/>
    <n v="90.19"/>
  </r>
  <r>
    <x v="20"/>
    <x v="95"/>
    <n v="88.5"/>
    <n v="35.67"/>
    <n v="95.16"/>
  </r>
  <r>
    <x v="21"/>
    <x v="95"/>
    <n v="88.5"/>
    <n v="33.32"/>
    <n v="90.28"/>
  </r>
  <r>
    <x v="22"/>
    <x v="95"/>
    <n v="88.5"/>
    <n v="29.81"/>
    <n v="88.96"/>
  </r>
  <r>
    <x v="23"/>
    <x v="95"/>
    <n v="88.5"/>
    <n v="16.68"/>
    <n v="79.02"/>
  </r>
  <r>
    <x v="24"/>
    <x v="95"/>
    <n v="88.5"/>
    <n v="106.23"/>
    <n v="270.25"/>
  </r>
  <r>
    <x v="25"/>
    <x v="95"/>
    <n v="88.5"/>
    <n v="101.44"/>
    <n v="208.88"/>
  </r>
  <r>
    <x v="26"/>
    <x v="95"/>
    <n v="88.5"/>
    <n v="89.46"/>
    <n v="196.18"/>
  </r>
  <r>
    <x v="27"/>
    <x v="95"/>
    <n v="88.5"/>
    <n v="101.35"/>
    <n v="216.44"/>
  </r>
  <r>
    <x v="28"/>
    <x v="95"/>
    <n v="88.5"/>
    <n v="92.39"/>
    <n v="206.7"/>
  </r>
  <r>
    <x v="29"/>
    <x v="95"/>
    <n v="88.5"/>
    <n v="108.6"/>
    <n v="215.73"/>
  </r>
  <r>
    <x v="30"/>
    <x v="95"/>
    <n v="88.5"/>
    <n v="95.12"/>
    <n v="205.46"/>
  </r>
  <r>
    <x v="31"/>
    <x v="95"/>
    <n v="88.5"/>
    <n v="100.66"/>
    <n v="218.21"/>
  </r>
  <r>
    <x v="32"/>
    <x v="95"/>
    <n v="88.5"/>
    <n v="99.36"/>
    <n v="209.62"/>
  </r>
  <r>
    <x v="33"/>
    <x v="95"/>
    <n v="88.5"/>
    <n v="101.92"/>
    <n v="207.82"/>
  </r>
  <r>
    <x v="34"/>
    <x v="95"/>
    <n v="88.5"/>
    <n v="103.58"/>
    <n v="224.56"/>
  </r>
  <r>
    <x v="35"/>
    <x v="95"/>
    <n v="88.5"/>
    <n v="65.66"/>
    <n v="187.78"/>
  </r>
  <r>
    <x v="36"/>
    <x v="95"/>
    <n v="88.5"/>
    <n v="301.74"/>
    <n v="360.08"/>
  </r>
  <r>
    <x v="37"/>
    <x v="95"/>
    <n v="88.5"/>
    <n v="196.84"/>
    <n v="251.04"/>
  </r>
  <r>
    <x v="38"/>
    <x v="95"/>
    <n v="88.5"/>
    <n v="215.46"/>
    <n v="302.66000000000003"/>
  </r>
  <r>
    <x v="39"/>
    <x v="95"/>
    <n v="88.5"/>
    <n v="184.45"/>
    <n v="0"/>
  </r>
  <r>
    <x v="40"/>
    <x v="95"/>
    <n v="88.5"/>
    <n v="217.36"/>
    <n v="0"/>
  </r>
  <r>
    <x v="41"/>
    <x v="95"/>
    <n v="88.5"/>
    <n v="224.39"/>
    <n v="296.13"/>
  </r>
  <r>
    <x v="42"/>
    <x v="95"/>
    <n v="88.5"/>
    <n v="222.55"/>
    <n v="0"/>
  </r>
  <r>
    <x v="43"/>
    <x v="95"/>
    <n v="88.5"/>
    <n v="197.2"/>
    <n v="0"/>
  </r>
  <r>
    <x v="44"/>
    <x v="95"/>
    <n v="88.5"/>
    <n v="223.22"/>
    <n v="0"/>
  </r>
  <r>
    <x v="45"/>
    <x v="95"/>
    <n v="88.5"/>
    <n v="231.12"/>
    <n v="0"/>
  </r>
  <r>
    <x v="46"/>
    <x v="95"/>
    <n v="88.5"/>
    <n v="185.7"/>
    <n v="0"/>
  </r>
  <r>
    <x v="47"/>
    <x v="95"/>
    <n v="88.5"/>
    <n v="147.84"/>
    <n v="245.41"/>
  </r>
  <r>
    <x v="48"/>
    <x v="95"/>
    <n v="88.5"/>
    <n v="350.29"/>
    <n v="404.5"/>
  </r>
  <r>
    <x v="49"/>
    <x v="95"/>
    <n v="88.5"/>
    <n v="255.76"/>
    <n v="288.73"/>
  </r>
  <r>
    <x v="50"/>
    <x v="95"/>
    <n v="88.5"/>
    <n v="222.82"/>
    <n v="281.64"/>
  </r>
  <r>
    <x v="51"/>
    <x v="95"/>
    <n v="88.5"/>
    <n v="216.42"/>
    <n v="282.51"/>
  </r>
  <r>
    <x v="52"/>
    <x v="95"/>
    <n v="88.5"/>
    <n v="218.13"/>
    <n v="278.79000000000002"/>
  </r>
  <r>
    <x v="53"/>
    <x v="95"/>
    <n v="88.5"/>
    <n v="201.45"/>
    <n v="0"/>
  </r>
  <r>
    <x v="54"/>
    <x v="95"/>
    <n v="88.5"/>
    <n v="179.96"/>
    <n v="0"/>
  </r>
  <r>
    <x v="55"/>
    <x v="95"/>
    <n v="88.5"/>
    <n v="216.1"/>
    <n v="0"/>
  </r>
  <r>
    <x v="56"/>
    <x v="95"/>
    <n v="88.5"/>
    <n v="231.09"/>
    <n v="0"/>
  </r>
  <r>
    <x v="57"/>
    <x v="95"/>
    <n v="88.5"/>
    <n v="250.99"/>
    <n v="0"/>
  </r>
  <r>
    <x v="58"/>
    <x v="95"/>
    <n v="88.5"/>
    <n v="194.06"/>
    <n v="0"/>
  </r>
  <r>
    <x v="59"/>
    <x v="95"/>
    <n v="88.5"/>
    <n v="193.41"/>
    <n v="261.2"/>
  </r>
  <r>
    <x v="60"/>
    <x v="95"/>
    <n v="88.5"/>
    <n v="324.26"/>
    <n v="339.8"/>
  </r>
  <r>
    <x v="61"/>
    <x v="95"/>
    <n v="88.5"/>
    <n v="242.63"/>
    <n v="274.06"/>
  </r>
  <r>
    <x v="62"/>
    <x v="95"/>
    <n v="88.5"/>
    <n v="244.15"/>
    <n v="304.79000000000002"/>
  </r>
  <r>
    <x v="63"/>
    <x v="95"/>
    <n v="88.5"/>
    <n v="212.4"/>
    <n v="274.38"/>
  </r>
  <r>
    <x v="64"/>
    <x v="95"/>
    <n v="88.5"/>
    <n v="232.18"/>
    <n v="0"/>
  </r>
  <r>
    <x v="65"/>
    <x v="95"/>
    <n v="88.5"/>
    <n v="250.99"/>
    <n v="0"/>
  </r>
  <r>
    <x v="66"/>
    <x v="95"/>
    <n v="88.5"/>
    <n v="219.49"/>
    <n v="0"/>
  </r>
  <r>
    <x v="67"/>
    <x v="95"/>
    <n v="88.5"/>
    <n v="226.76"/>
    <n v="0"/>
  </r>
  <r>
    <x v="68"/>
    <x v="95"/>
    <n v="88.5"/>
    <n v="209.64"/>
    <n v="0"/>
  </r>
  <r>
    <x v="69"/>
    <x v="95"/>
    <n v="88.5"/>
    <n v="243.43"/>
    <n v="287.16000000000003"/>
  </r>
  <r>
    <x v="70"/>
    <x v="95"/>
    <n v="88.5"/>
    <n v="246.42"/>
    <n v="305.95999999999998"/>
  </r>
  <r>
    <x v="71"/>
    <x v="95"/>
    <n v="88.5"/>
    <n v="227.82"/>
    <n v="318.41000000000003"/>
  </r>
  <r>
    <x v="72"/>
    <x v="95"/>
    <n v="88.5"/>
    <n v="0"/>
    <n v="0"/>
  </r>
  <r>
    <x v="73"/>
    <x v="95"/>
    <n v="88.5"/>
    <n v="0"/>
    <n v="0"/>
  </r>
  <r>
    <x v="74"/>
    <x v="95"/>
    <n v="88.5"/>
    <n v="0"/>
    <n v="0"/>
  </r>
  <r>
    <x v="75"/>
    <x v="95"/>
    <n v="88.5"/>
    <n v="0"/>
    <n v="0"/>
  </r>
  <r>
    <x v="76"/>
    <x v="95"/>
    <n v="88.5"/>
    <n v="0"/>
    <n v="0"/>
  </r>
  <r>
    <x v="77"/>
    <x v="95"/>
    <n v="88.5"/>
    <n v="0"/>
    <n v="0"/>
  </r>
  <r>
    <x v="78"/>
    <x v="95"/>
    <n v="88.5"/>
    <n v="0"/>
    <n v="0"/>
  </r>
  <r>
    <x v="79"/>
    <x v="95"/>
    <n v="88.5"/>
    <n v="0"/>
    <n v="0"/>
  </r>
  <r>
    <x v="80"/>
    <x v="95"/>
    <n v="88.5"/>
    <n v="0"/>
    <n v="0"/>
  </r>
  <r>
    <x v="81"/>
    <x v="95"/>
    <n v="88.5"/>
    <n v="0"/>
    <n v="0"/>
  </r>
  <r>
    <x v="82"/>
    <x v="95"/>
    <n v="88.5"/>
    <n v="0"/>
    <n v="0"/>
  </r>
  <r>
    <x v="83"/>
    <x v="95"/>
    <n v="88.5"/>
    <n v="0"/>
    <n v="0"/>
  </r>
  <r>
    <x v="84"/>
    <x v="95"/>
    <n v="88.5"/>
    <n v="0"/>
    <n v="0"/>
  </r>
  <r>
    <x v="85"/>
    <x v="95"/>
    <n v="88.5"/>
    <n v="0"/>
    <n v="0"/>
  </r>
  <r>
    <x v="86"/>
    <x v="95"/>
    <n v="88.5"/>
    <n v="0"/>
    <n v="0"/>
  </r>
  <r>
    <x v="87"/>
    <x v="95"/>
    <n v="88.5"/>
    <n v="0"/>
    <n v="0"/>
  </r>
  <r>
    <x v="88"/>
    <x v="95"/>
    <n v="88.5"/>
    <n v="0"/>
    <n v="0"/>
  </r>
  <r>
    <x v="89"/>
    <x v="95"/>
    <n v="88.5"/>
    <n v="0"/>
    <n v="0"/>
  </r>
  <r>
    <x v="90"/>
    <x v="95"/>
    <n v="88.5"/>
    <n v="0"/>
    <n v="0"/>
  </r>
  <r>
    <x v="91"/>
    <x v="95"/>
    <n v="88.5"/>
    <n v="0"/>
    <n v="0"/>
  </r>
  <r>
    <x v="92"/>
    <x v="95"/>
    <n v="88.5"/>
    <n v="0"/>
    <n v="0"/>
  </r>
  <r>
    <x v="93"/>
    <x v="95"/>
    <n v="88.5"/>
    <n v="0"/>
    <n v="0"/>
  </r>
  <r>
    <x v="94"/>
    <x v="95"/>
    <n v="88.5"/>
    <n v="0"/>
    <n v="0"/>
  </r>
  <r>
    <x v="95"/>
    <x v="95"/>
    <n v="88.5"/>
    <n v="0"/>
    <n v="0"/>
  </r>
  <r>
    <x v="0"/>
    <x v="96"/>
    <n v="88.8"/>
    <n v="90.82"/>
    <n v="214.45"/>
  </r>
  <r>
    <x v="1"/>
    <x v="96"/>
    <n v="88.8"/>
    <n v="75.34"/>
    <n v="167.89"/>
  </r>
  <r>
    <x v="2"/>
    <x v="96"/>
    <n v="88.8"/>
    <n v="67.849999999999994"/>
    <n v="166.85"/>
  </r>
  <r>
    <x v="3"/>
    <x v="96"/>
    <n v="88.8"/>
    <n v="64.31"/>
    <n v="165.64"/>
  </r>
  <r>
    <x v="4"/>
    <x v="96"/>
    <n v="88.8"/>
    <n v="71.09"/>
    <n v="165.39"/>
  </r>
  <r>
    <x v="5"/>
    <x v="96"/>
    <n v="88.8"/>
    <n v="71.67"/>
    <n v="168.24"/>
  </r>
  <r>
    <x v="6"/>
    <x v="96"/>
    <n v="88.8"/>
    <n v="67.34"/>
    <n v="151.35"/>
  </r>
  <r>
    <x v="7"/>
    <x v="96"/>
    <n v="88.8"/>
    <n v="72.900000000000006"/>
    <n v="170.43"/>
  </r>
  <r>
    <x v="8"/>
    <x v="96"/>
    <n v="88.8"/>
    <n v="58.03"/>
    <n v="154.82"/>
  </r>
  <r>
    <x v="9"/>
    <x v="96"/>
    <n v="88.8"/>
    <n v="62.63"/>
    <n v="153.55000000000001"/>
  </r>
  <r>
    <x v="10"/>
    <x v="96"/>
    <n v="88.8"/>
    <n v="61"/>
    <n v="155.30000000000001"/>
  </r>
  <r>
    <x v="11"/>
    <x v="96"/>
    <n v="88.8"/>
    <n v="-584.26"/>
    <n v="-262.69"/>
  </r>
  <r>
    <x v="12"/>
    <x v="96"/>
    <n v="88.8"/>
    <n v="40.04"/>
    <n v="109.76"/>
  </r>
  <r>
    <x v="13"/>
    <x v="96"/>
    <n v="88.8"/>
    <n v="42.56"/>
    <n v="87.73"/>
  </r>
  <r>
    <x v="14"/>
    <x v="96"/>
    <n v="88.8"/>
    <n v="43.56"/>
    <n v="91.52"/>
  </r>
  <r>
    <x v="15"/>
    <x v="96"/>
    <n v="88.8"/>
    <n v="36.6"/>
    <n v="92.35"/>
  </r>
  <r>
    <x v="16"/>
    <x v="96"/>
    <n v="88.8"/>
    <n v="36.07"/>
    <n v="98.14"/>
  </r>
  <r>
    <x v="17"/>
    <x v="96"/>
    <n v="88.8"/>
    <n v="35.51"/>
    <n v="87.81"/>
  </r>
  <r>
    <x v="18"/>
    <x v="96"/>
    <n v="88.8"/>
    <n v="32.42"/>
    <n v="81.13"/>
  </r>
  <r>
    <x v="19"/>
    <x v="96"/>
    <n v="88.8"/>
    <n v="33.82"/>
    <n v="90.15"/>
  </r>
  <r>
    <x v="20"/>
    <x v="96"/>
    <n v="88.8"/>
    <n v="34.68"/>
    <n v="95.2"/>
  </r>
  <r>
    <x v="21"/>
    <x v="96"/>
    <n v="88.8"/>
    <n v="32.42"/>
    <n v="90.14"/>
  </r>
  <r>
    <x v="22"/>
    <x v="96"/>
    <n v="88.8"/>
    <n v="29.06"/>
    <n v="89"/>
  </r>
  <r>
    <x v="23"/>
    <x v="96"/>
    <n v="88.8"/>
    <n v="15.21"/>
    <n v="78.5"/>
  </r>
  <r>
    <x v="24"/>
    <x v="96"/>
    <n v="88.8"/>
    <n v="79.73"/>
    <n v="268.68"/>
  </r>
  <r>
    <x v="25"/>
    <x v="96"/>
    <n v="88.8"/>
    <n v="89.27"/>
    <n v="208.23"/>
  </r>
  <r>
    <x v="26"/>
    <x v="96"/>
    <n v="88.8"/>
    <n v="78.59"/>
    <n v="194.94"/>
  </r>
  <r>
    <x v="27"/>
    <x v="96"/>
    <n v="88.8"/>
    <n v="89.65"/>
    <n v="214.92"/>
  </r>
  <r>
    <x v="28"/>
    <x v="96"/>
    <n v="88.8"/>
    <n v="81.81"/>
    <n v="205.33"/>
  </r>
  <r>
    <x v="29"/>
    <x v="96"/>
    <n v="88.8"/>
    <n v="95.68"/>
    <n v="214.9"/>
  </r>
  <r>
    <x v="30"/>
    <x v="96"/>
    <n v="88.8"/>
    <n v="83.49"/>
    <n v="204.76"/>
  </r>
  <r>
    <x v="31"/>
    <x v="96"/>
    <n v="88.8"/>
    <n v="88.73"/>
    <n v="217.43"/>
  </r>
  <r>
    <x v="32"/>
    <x v="96"/>
    <n v="88.8"/>
    <n v="87.12"/>
    <n v="208.97"/>
  </r>
  <r>
    <x v="33"/>
    <x v="96"/>
    <n v="88.8"/>
    <n v="89.04"/>
    <n v="207.11"/>
  </r>
  <r>
    <x v="34"/>
    <x v="96"/>
    <n v="88.8"/>
    <n v="91.12"/>
    <n v="224.01"/>
  </r>
  <r>
    <x v="35"/>
    <x v="96"/>
    <n v="88.8"/>
    <n v="49.89"/>
    <n v="186.6"/>
  </r>
  <r>
    <x v="36"/>
    <x v="96"/>
    <n v="88.8"/>
    <n v="252.07"/>
    <n v="355.6"/>
  </r>
  <r>
    <x v="37"/>
    <x v="96"/>
    <n v="88.8"/>
    <n v="167.72"/>
    <n v="248.99"/>
  </r>
  <r>
    <x v="38"/>
    <x v="96"/>
    <n v="88.8"/>
    <n v="184.48"/>
    <n v="300.13"/>
  </r>
  <r>
    <x v="39"/>
    <x v="96"/>
    <n v="88.8"/>
    <n v="157.6"/>
    <n v="0"/>
  </r>
  <r>
    <x v="40"/>
    <x v="96"/>
    <n v="88.8"/>
    <n v="184.83"/>
    <n v="0"/>
  </r>
  <r>
    <x v="41"/>
    <x v="96"/>
    <n v="88.8"/>
    <n v="190.85"/>
    <n v="293.8"/>
  </r>
  <r>
    <x v="42"/>
    <x v="96"/>
    <n v="88.8"/>
    <n v="189.96"/>
    <n v="0"/>
  </r>
  <r>
    <x v="43"/>
    <x v="96"/>
    <n v="88.8"/>
    <n v="167.75"/>
    <n v="0"/>
  </r>
  <r>
    <x v="44"/>
    <x v="96"/>
    <n v="88.8"/>
    <n v="188.73"/>
    <n v="0"/>
  </r>
  <r>
    <x v="45"/>
    <x v="96"/>
    <n v="88.8"/>
    <n v="194.86"/>
    <n v="0"/>
  </r>
  <r>
    <x v="46"/>
    <x v="96"/>
    <n v="88.8"/>
    <n v="158.69999999999999"/>
    <n v="0"/>
  </r>
  <r>
    <x v="47"/>
    <x v="96"/>
    <n v="88.8"/>
    <n v="115.27"/>
    <n v="235.8"/>
  </r>
  <r>
    <x v="48"/>
    <x v="96"/>
    <n v="88.8"/>
    <n v="294.89"/>
    <n v="402.3"/>
  </r>
  <r>
    <x v="49"/>
    <x v="96"/>
    <n v="88.8"/>
    <n v="218.31"/>
    <n v="286.57"/>
  </r>
  <r>
    <x v="50"/>
    <x v="96"/>
    <n v="88.8"/>
    <n v="191.49"/>
    <n v="279.54000000000002"/>
  </r>
  <r>
    <x v="51"/>
    <x v="96"/>
    <n v="88.8"/>
    <n v="184.34"/>
    <n v="281.69"/>
  </r>
  <r>
    <x v="52"/>
    <x v="96"/>
    <n v="88.8"/>
    <n v="184.08"/>
    <n v="277.86"/>
  </r>
  <r>
    <x v="53"/>
    <x v="96"/>
    <n v="88.8"/>
    <n v="171.54"/>
    <n v="0"/>
  </r>
  <r>
    <x v="54"/>
    <x v="96"/>
    <n v="88.8"/>
    <n v="154.09"/>
    <n v="0"/>
  </r>
  <r>
    <x v="55"/>
    <x v="96"/>
    <n v="88.8"/>
    <n v="183.83"/>
    <n v="0"/>
  </r>
  <r>
    <x v="56"/>
    <x v="96"/>
    <n v="88.8"/>
    <n v="195.27"/>
    <n v="0"/>
  </r>
  <r>
    <x v="57"/>
    <x v="96"/>
    <n v="88.8"/>
    <n v="211.95"/>
    <n v="0"/>
  </r>
  <r>
    <x v="58"/>
    <x v="96"/>
    <n v="88.8"/>
    <n v="167.15"/>
    <n v="0"/>
  </r>
  <r>
    <x v="59"/>
    <x v="96"/>
    <n v="88.8"/>
    <n v="154.19999999999999"/>
    <n v="257.19"/>
  </r>
  <r>
    <x v="60"/>
    <x v="96"/>
    <n v="88.8"/>
    <n v="271.39"/>
    <n v="337.79"/>
  </r>
  <r>
    <x v="61"/>
    <x v="96"/>
    <n v="88.8"/>
    <n v="205.38"/>
    <n v="272.26"/>
  </r>
  <r>
    <x v="62"/>
    <x v="96"/>
    <n v="88.8"/>
    <n v="207.42"/>
    <n v="302.41000000000003"/>
  </r>
  <r>
    <x v="63"/>
    <x v="96"/>
    <n v="88.8"/>
    <n v="179.78"/>
    <n v="272.64999999999998"/>
  </r>
  <r>
    <x v="64"/>
    <x v="96"/>
    <n v="88.8"/>
    <n v="196.38"/>
    <n v="0"/>
  </r>
  <r>
    <x v="65"/>
    <x v="96"/>
    <n v="88.8"/>
    <n v="212.38"/>
    <n v="0"/>
  </r>
  <r>
    <x v="66"/>
    <x v="96"/>
    <n v="88.8"/>
    <n v="187.11"/>
    <n v="0"/>
  </r>
  <r>
    <x v="67"/>
    <x v="96"/>
    <n v="88.8"/>
    <n v="192.73"/>
    <n v="0"/>
  </r>
  <r>
    <x v="68"/>
    <x v="96"/>
    <n v="88.8"/>
    <n v="176.73"/>
    <n v="0"/>
  </r>
  <r>
    <x v="69"/>
    <x v="96"/>
    <n v="88.8"/>
    <n v="205.54"/>
    <n v="285.81"/>
  </r>
  <r>
    <x v="70"/>
    <x v="96"/>
    <n v="88.8"/>
    <n v="209.36"/>
    <n v="303.52"/>
  </r>
  <r>
    <x v="71"/>
    <x v="96"/>
    <n v="88.8"/>
    <n v="189.71"/>
    <n v="319.70999999999998"/>
  </r>
  <r>
    <x v="72"/>
    <x v="96"/>
    <n v="88.8"/>
    <n v="0"/>
    <n v="0"/>
  </r>
  <r>
    <x v="73"/>
    <x v="96"/>
    <n v="88.8"/>
    <n v="0"/>
    <n v="0"/>
  </r>
  <r>
    <x v="74"/>
    <x v="96"/>
    <n v="88.8"/>
    <n v="0"/>
    <n v="0"/>
  </r>
  <r>
    <x v="75"/>
    <x v="96"/>
    <n v="88.8"/>
    <n v="0"/>
    <n v="0"/>
  </r>
  <r>
    <x v="76"/>
    <x v="96"/>
    <n v="88.8"/>
    <n v="0"/>
    <n v="0"/>
  </r>
  <r>
    <x v="77"/>
    <x v="96"/>
    <n v="88.8"/>
    <n v="0"/>
    <n v="0"/>
  </r>
  <r>
    <x v="78"/>
    <x v="96"/>
    <n v="88.8"/>
    <n v="0"/>
    <n v="0"/>
  </r>
  <r>
    <x v="79"/>
    <x v="96"/>
    <n v="88.8"/>
    <n v="0"/>
    <n v="0"/>
  </r>
  <r>
    <x v="80"/>
    <x v="96"/>
    <n v="88.8"/>
    <n v="0"/>
    <n v="0"/>
  </r>
  <r>
    <x v="81"/>
    <x v="96"/>
    <n v="88.8"/>
    <n v="0"/>
    <n v="0"/>
  </r>
  <r>
    <x v="82"/>
    <x v="96"/>
    <n v="88.8"/>
    <n v="0"/>
    <n v="0"/>
  </r>
  <r>
    <x v="83"/>
    <x v="96"/>
    <n v="88.8"/>
    <n v="0"/>
    <n v="0"/>
  </r>
  <r>
    <x v="84"/>
    <x v="96"/>
    <n v="88.8"/>
    <n v="0"/>
    <n v="0"/>
  </r>
  <r>
    <x v="85"/>
    <x v="96"/>
    <n v="88.8"/>
    <n v="0"/>
    <n v="0"/>
  </r>
  <r>
    <x v="86"/>
    <x v="96"/>
    <n v="88.8"/>
    <n v="0"/>
    <n v="0"/>
  </r>
  <r>
    <x v="87"/>
    <x v="96"/>
    <n v="88.8"/>
    <n v="0"/>
    <n v="0"/>
  </r>
  <r>
    <x v="88"/>
    <x v="96"/>
    <n v="88.8"/>
    <n v="0"/>
    <n v="0"/>
  </r>
  <r>
    <x v="89"/>
    <x v="96"/>
    <n v="88.8"/>
    <n v="0"/>
    <n v="0"/>
  </r>
  <r>
    <x v="90"/>
    <x v="96"/>
    <n v="88.8"/>
    <n v="0"/>
    <n v="0"/>
  </r>
  <r>
    <x v="91"/>
    <x v="96"/>
    <n v="88.8"/>
    <n v="0"/>
    <n v="0"/>
  </r>
  <r>
    <x v="92"/>
    <x v="96"/>
    <n v="88.8"/>
    <n v="0"/>
    <n v="0"/>
  </r>
  <r>
    <x v="93"/>
    <x v="96"/>
    <n v="88.8"/>
    <n v="0"/>
    <n v="0"/>
  </r>
  <r>
    <x v="94"/>
    <x v="96"/>
    <n v="88.8"/>
    <n v="0"/>
    <n v="0"/>
  </r>
  <r>
    <x v="95"/>
    <x v="96"/>
    <n v="88.8"/>
    <n v="0"/>
    <n v="0"/>
  </r>
  <r>
    <x v="0"/>
    <x v="97"/>
    <n v="89.1"/>
    <n v="80.45"/>
    <n v="214.05"/>
  </r>
  <r>
    <x v="1"/>
    <x v="97"/>
    <n v="89.1"/>
    <n v="67.67"/>
    <n v="167.3"/>
  </r>
  <r>
    <x v="2"/>
    <x v="97"/>
    <n v="89.1"/>
    <n v="60.94"/>
    <n v="166.32"/>
  </r>
  <r>
    <x v="3"/>
    <x v="97"/>
    <n v="89.1"/>
    <n v="57.45"/>
    <n v="165.06"/>
  </r>
  <r>
    <x v="4"/>
    <x v="97"/>
    <n v="89.1"/>
    <n v="64.23"/>
    <n v="164.8"/>
  </r>
  <r>
    <x v="5"/>
    <x v="97"/>
    <n v="89.1"/>
    <n v="63.65"/>
    <n v="167.64"/>
  </r>
  <r>
    <x v="6"/>
    <x v="97"/>
    <n v="89.1"/>
    <n v="59.9"/>
    <n v="150.80000000000001"/>
  </r>
  <r>
    <x v="7"/>
    <x v="97"/>
    <n v="89.1"/>
    <n v="65.55"/>
    <n v="169.75"/>
  </r>
  <r>
    <x v="8"/>
    <x v="97"/>
    <n v="89.1"/>
    <n v="44.58"/>
    <n v="153.44999999999999"/>
  </r>
  <r>
    <x v="9"/>
    <x v="97"/>
    <n v="89.1"/>
    <n v="50.83"/>
    <n v="152.30000000000001"/>
  </r>
  <r>
    <x v="10"/>
    <x v="97"/>
    <n v="89.1"/>
    <n v="50.72"/>
    <n v="154.43"/>
  </r>
  <r>
    <x v="11"/>
    <x v="97"/>
    <n v="89.1"/>
    <n v="-573.53"/>
    <n v="-229.84"/>
  </r>
  <r>
    <x v="12"/>
    <x v="97"/>
    <n v="89.1"/>
    <n v="39.090000000000003"/>
    <n v="110.45"/>
  </r>
  <r>
    <x v="13"/>
    <x v="97"/>
    <n v="89.1"/>
    <n v="41.6"/>
    <n v="87.56"/>
  </r>
  <r>
    <x v="14"/>
    <x v="97"/>
    <n v="89.1"/>
    <n v="42.51"/>
    <n v="91.35"/>
  </r>
  <r>
    <x v="15"/>
    <x v="97"/>
    <n v="89.1"/>
    <n v="35.69"/>
    <n v="92.32"/>
  </r>
  <r>
    <x v="16"/>
    <x v="97"/>
    <n v="89.1"/>
    <n v="35.130000000000003"/>
    <n v="98.15"/>
  </r>
  <r>
    <x v="17"/>
    <x v="97"/>
    <n v="89.1"/>
    <n v="34.619999999999997"/>
    <n v="87.62"/>
  </r>
  <r>
    <x v="18"/>
    <x v="97"/>
    <n v="89.1"/>
    <n v="31.59"/>
    <n v="81.09"/>
  </r>
  <r>
    <x v="19"/>
    <x v="97"/>
    <n v="89.1"/>
    <n v="32.94"/>
    <n v="90.09"/>
  </r>
  <r>
    <x v="20"/>
    <x v="97"/>
    <n v="89.1"/>
    <n v="33.78"/>
    <n v="95.22"/>
  </r>
  <r>
    <x v="21"/>
    <x v="97"/>
    <n v="89.1"/>
    <n v="31.61"/>
    <n v="89.98"/>
  </r>
  <r>
    <x v="22"/>
    <x v="97"/>
    <n v="89.1"/>
    <n v="28.39"/>
    <n v="89.03"/>
  </r>
  <r>
    <x v="23"/>
    <x v="97"/>
    <n v="89.1"/>
    <n v="13.86"/>
    <n v="77.959999999999994"/>
  </r>
  <r>
    <x v="24"/>
    <x v="97"/>
    <n v="89.1"/>
    <n v="58.42"/>
    <n v="267.3"/>
  </r>
  <r>
    <x v="25"/>
    <x v="97"/>
    <n v="89.1"/>
    <n v="79.489999999999995"/>
    <n v="207.66"/>
  </r>
  <r>
    <x v="26"/>
    <x v="97"/>
    <n v="89.1"/>
    <n v="69.849999999999994"/>
    <n v="193.77"/>
  </r>
  <r>
    <x v="27"/>
    <x v="97"/>
    <n v="89.1"/>
    <n v="80.25"/>
    <n v="213.47"/>
  </r>
  <r>
    <x v="28"/>
    <x v="97"/>
    <n v="89.1"/>
    <n v="73.33"/>
    <n v="204.02"/>
  </r>
  <r>
    <x v="29"/>
    <x v="97"/>
    <n v="89.1"/>
    <n v="85.33"/>
    <n v="214.14"/>
  </r>
  <r>
    <x v="30"/>
    <x v="97"/>
    <n v="89.1"/>
    <n v="74.11"/>
    <n v="204.12"/>
  </r>
  <r>
    <x v="31"/>
    <x v="97"/>
    <n v="89.1"/>
    <n v="79.150000000000006"/>
    <n v="216.72"/>
  </r>
  <r>
    <x v="32"/>
    <x v="97"/>
    <n v="89.1"/>
    <n v="77.319999999999993"/>
    <n v="208.38"/>
  </r>
  <r>
    <x v="33"/>
    <x v="97"/>
    <n v="89.1"/>
    <n v="78.7"/>
    <n v="206.48"/>
  </r>
  <r>
    <x v="34"/>
    <x v="97"/>
    <n v="89.1"/>
    <n v="81.069999999999993"/>
    <n v="223.53"/>
  </r>
  <r>
    <x v="35"/>
    <x v="97"/>
    <n v="89.1"/>
    <n v="37.56"/>
    <n v="185.54"/>
  </r>
  <r>
    <x v="36"/>
    <x v="97"/>
    <n v="89.1"/>
    <n v="211.76"/>
    <n v="351.24"/>
  </r>
  <r>
    <x v="37"/>
    <x v="97"/>
    <n v="89.1"/>
    <n v="144.99"/>
    <n v="247.03"/>
  </r>
  <r>
    <x v="38"/>
    <x v="97"/>
    <n v="89.1"/>
    <n v="160.24"/>
    <n v="297.69"/>
  </r>
  <r>
    <x v="39"/>
    <x v="97"/>
    <n v="89.1"/>
    <n v="136.66999999999999"/>
    <n v="0"/>
  </r>
  <r>
    <x v="40"/>
    <x v="97"/>
    <n v="89.1"/>
    <n v="159.53"/>
    <n v="0"/>
  </r>
  <r>
    <x v="41"/>
    <x v="97"/>
    <n v="89.1"/>
    <n v="164.78"/>
    <n v="291.57"/>
  </r>
  <r>
    <x v="42"/>
    <x v="97"/>
    <n v="89.1"/>
    <n v="164.47"/>
    <n v="0"/>
  </r>
  <r>
    <x v="43"/>
    <x v="97"/>
    <n v="89.1"/>
    <n v="144.78"/>
    <n v="0"/>
  </r>
  <r>
    <x v="44"/>
    <x v="97"/>
    <n v="89.1"/>
    <n v="161.91999999999999"/>
    <n v="0"/>
  </r>
  <r>
    <x v="45"/>
    <x v="97"/>
    <n v="89.1"/>
    <n v="166.7"/>
    <n v="0"/>
  </r>
  <r>
    <x v="46"/>
    <x v="97"/>
    <n v="89.1"/>
    <n v="137.49"/>
    <n v="0"/>
  </r>
  <r>
    <x v="47"/>
    <x v="97"/>
    <n v="89.1"/>
    <n v="91.1"/>
    <n v="224.52"/>
  </r>
  <r>
    <x v="48"/>
    <x v="97"/>
    <n v="89.1"/>
    <n v="252.18"/>
    <n v="400.22"/>
  </r>
  <r>
    <x v="49"/>
    <x v="97"/>
    <n v="89.1"/>
    <n v="189.17"/>
    <n v="284.48"/>
  </r>
  <r>
    <x v="50"/>
    <x v="97"/>
    <n v="89.1"/>
    <n v="167"/>
    <n v="277.54000000000002"/>
  </r>
  <r>
    <x v="51"/>
    <x v="97"/>
    <n v="89.1"/>
    <n v="159.4"/>
    <n v="280.77"/>
  </r>
  <r>
    <x v="52"/>
    <x v="97"/>
    <n v="89.1"/>
    <n v="157.63"/>
    <n v="276.82"/>
  </r>
  <r>
    <x v="53"/>
    <x v="97"/>
    <n v="89.1"/>
    <n v="148.47999999999999"/>
    <n v="0"/>
  </r>
  <r>
    <x v="54"/>
    <x v="97"/>
    <n v="89.1"/>
    <n v="133.97"/>
    <n v="0"/>
  </r>
  <r>
    <x v="55"/>
    <x v="97"/>
    <n v="89.1"/>
    <n v="158.63"/>
    <n v="0"/>
  </r>
  <r>
    <x v="56"/>
    <x v="97"/>
    <n v="89.1"/>
    <n v="167.54"/>
    <n v="0"/>
  </r>
  <r>
    <x v="57"/>
    <x v="97"/>
    <n v="89.1"/>
    <n v="181.81"/>
    <n v="0"/>
  </r>
  <r>
    <x v="58"/>
    <x v="97"/>
    <n v="89.1"/>
    <n v="145.93"/>
    <n v="0"/>
  </r>
  <r>
    <x v="59"/>
    <x v="97"/>
    <n v="89.1"/>
    <n v="122.68"/>
    <n v="253.58"/>
  </r>
  <r>
    <x v="60"/>
    <x v="97"/>
    <n v="89.1"/>
    <n v="230.9"/>
    <n v="335.97"/>
  </r>
  <r>
    <x v="61"/>
    <x v="97"/>
    <n v="89.1"/>
    <n v="176.63"/>
    <n v="270.51"/>
  </r>
  <r>
    <x v="62"/>
    <x v="97"/>
    <n v="89.1"/>
    <n v="178.84"/>
    <n v="300.13"/>
  </r>
  <r>
    <x v="63"/>
    <x v="97"/>
    <n v="89.1"/>
    <n v="154.43"/>
    <n v="271"/>
  </r>
  <r>
    <x v="64"/>
    <x v="97"/>
    <n v="89.1"/>
    <n v="168.68"/>
    <n v="0"/>
  </r>
  <r>
    <x v="65"/>
    <x v="97"/>
    <n v="89.1"/>
    <n v="182.53"/>
    <n v="0"/>
  </r>
  <r>
    <x v="66"/>
    <x v="97"/>
    <n v="89.1"/>
    <n v="161.91"/>
    <n v="0"/>
  </r>
  <r>
    <x v="67"/>
    <x v="97"/>
    <n v="89.1"/>
    <n v="166.3"/>
    <n v="0"/>
  </r>
  <r>
    <x v="68"/>
    <x v="97"/>
    <n v="89.1"/>
    <n v="151.38"/>
    <n v="0"/>
  </r>
  <r>
    <x v="69"/>
    <x v="97"/>
    <n v="89.1"/>
    <n v="176.25"/>
    <n v="284.45"/>
  </r>
  <r>
    <x v="70"/>
    <x v="97"/>
    <n v="89.1"/>
    <n v="180.46"/>
    <n v="301.14999999999998"/>
  </r>
  <r>
    <x v="71"/>
    <x v="97"/>
    <n v="89.1"/>
    <n v="159.15"/>
    <n v="320.32"/>
  </r>
  <r>
    <x v="72"/>
    <x v="97"/>
    <n v="89.1"/>
    <n v="0"/>
    <n v="0"/>
  </r>
  <r>
    <x v="73"/>
    <x v="97"/>
    <n v="89.1"/>
    <n v="0"/>
    <n v="0"/>
  </r>
  <r>
    <x v="74"/>
    <x v="97"/>
    <n v="89.1"/>
    <n v="0"/>
    <n v="0"/>
  </r>
  <r>
    <x v="75"/>
    <x v="97"/>
    <n v="89.1"/>
    <n v="0"/>
    <n v="0"/>
  </r>
  <r>
    <x v="76"/>
    <x v="97"/>
    <n v="89.1"/>
    <n v="0"/>
    <n v="0"/>
  </r>
  <r>
    <x v="77"/>
    <x v="97"/>
    <n v="89.1"/>
    <n v="0"/>
    <n v="0"/>
  </r>
  <r>
    <x v="78"/>
    <x v="97"/>
    <n v="89.1"/>
    <n v="0"/>
    <n v="0"/>
  </r>
  <r>
    <x v="79"/>
    <x v="97"/>
    <n v="89.1"/>
    <n v="0"/>
    <n v="0"/>
  </r>
  <r>
    <x v="80"/>
    <x v="97"/>
    <n v="89.1"/>
    <n v="0"/>
    <n v="0"/>
  </r>
  <r>
    <x v="81"/>
    <x v="97"/>
    <n v="89.1"/>
    <n v="0"/>
    <n v="0"/>
  </r>
  <r>
    <x v="82"/>
    <x v="97"/>
    <n v="89.1"/>
    <n v="0"/>
    <n v="0"/>
  </r>
  <r>
    <x v="83"/>
    <x v="97"/>
    <n v="89.1"/>
    <n v="0"/>
    <n v="0"/>
  </r>
  <r>
    <x v="84"/>
    <x v="97"/>
    <n v="89.1"/>
    <n v="0"/>
    <n v="0"/>
  </r>
  <r>
    <x v="85"/>
    <x v="97"/>
    <n v="89.1"/>
    <n v="0"/>
    <n v="0"/>
  </r>
  <r>
    <x v="86"/>
    <x v="97"/>
    <n v="89.1"/>
    <n v="0"/>
    <n v="0"/>
  </r>
  <r>
    <x v="87"/>
    <x v="97"/>
    <n v="89.1"/>
    <n v="0"/>
    <n v="0"/>
  </r>
  <r>
    <x v="88"/>
    <x v="97"/>
    <n v="89.1"/>
    <n v="0"/>
    <n v="0"/>
  </r>
  <r>
    <x v="89"/>
    <x v="97"/>
    <n v="89.1"/>
    <n v="0"/>
    <n v="0"/>
  </r>
  <r>
    <x v="90"/>
    <x v="97"/>
    <n v="89.1"/>
    <n v="0"/>
    <n v="0"/>
  </r>
  <r>
    <x v="91"/>
    <x v="97"/>
    <n v="89.1"/>
    <n v="0"/>
    <n v="0"/>
  </r>
  <r>
    <x v="92"/>
    <x v="97"/>
    <n v="89.1"/>
    <n v="0"/>
    <n v="0"/>
  </r>
  <r>
    <x v="93"/>
    <x v="97"/>
    <n v="89.1"/>
    <n v="0"/>
    <n v="0"/>
  </r>
  <r>
    <x v="94"/>
    <x v="97"/>
    <n v="89.1"/>
    <n v="0"/>
    <n v="0"/>
  </r>
  <r>
    <x v="95"/>
    <x v="97"/>
    <n v="89.1"/>
    <n v="0"/>
    <n v="0"/>
  </r>
  <r>
    <x v="0"/>
    <x v="98"/>
    <n v="89.4"/>
    <n v="72.03"/>
    <n v="213.72"/>
  </r>
  <r>
    <x v="1"/>
    <x v="98"/>
    <n v="89.4"/>
    <n v="61.4"/>
    <n v="166.76"/>
  </r>
  <r>
    <x v="2"/>
    <x v="98"/>
    <n v="89.4"/>
    <n v="55.28"/>
    <n v="165.82"/>
  </r>
  <r>
    <x v="3"/>
    <x v="98"/>
    <n v="89.4"/>
    <n v="51.81"/>
    <n v="164.55"/>
  </r>
  <r>
    <x v="4"/>
    <x v="98"/>
    <n v="89.4"/>
    <n v="58.69"/>
    <n v="164.28"/>
  </r>
  <r>
    <x v="5"/>
    <x v="98"/>
    <n v="89.4"/>
    <n v="57.14"/>
    <n v="167.12"/>
  </r>
  <r>
    <x v="6"/>
    <x v="98"/>
    <n v="89.4"/>
    <n v="53.84"/>
    <n v="150.31"/>
  </r>
  <r>
    <x v="7"/>
    <x v="98"/>
    <n v="89.4"/>
    <n v="59.6"/>
    <n v="169.13"/>
  </r>
  <r>
    <x v="8"/>
    <x v="98"/>
    <n v="89.4"/>
    <n v="32.82"/>
    <n v="152.21"/>
  </r>
  <r>
    <x v="9"/>
    <x v="98"/>
    <n v="89.4"/>
    <n v="40.369999999999997"/>
    <n v="151.15"/>
  </r>
  <r>
    <x v="10"/>
    <x v="98"/>
    <n v="89.4"/>
    <n v="41.57"/>
    <n v="153.65"/>
  </r>
  <r>
    <x v="11"/>
    <x v="98"/>
    <n v="89.4"/>
    <n v="-563.78"/>
    <n v="-199.36"/>
  </r>
  <r>
    <x v="12"/>
    <x v="98"/>
    <n v="89.4"/>
    <n v="38.229999999999997"/>
    <n v="111.07"/>
  </r>
  <r>
    <x v="13"/>
    <x v="98"/>
    <n v="89.4"/>
    <n v="40.729999999999997"/>
    <n v="87.4"/>
  </r>
  <r>
    <x v="14"/>
    <x v="98"/>
    <n v="89.4"/>
    <n v="41.56"/>
    <n v="91.2"/>
  </r>
  <r>
    <x v="15"/>
    <x v="98"/>
    <n v="89.4"/>
    <n v="34.880000000000003"/>
    <n v="92.28"/>
  </r>
  <r>
    <x v="16"/>
    <x v="98"/>
    <n v="89.4"/>
    <n v="34.29"/>
    <n v="98.13"/>
  </r>
  <r>
    <x v="17"/>
    <x v="98"/>
    <n v="89.4"/>
    <n v="33.83"/>
    <n v="87.45"/>
  </r>
  <r>
    <x v="18"/>
    <x v="98"/>
    <n v="89.4"/>
    <n v="30.85"/>
    <n v="81.069999999999993"/>
  </r>
  <r>
    <x v="19"/>
    <x v="98"/>
    <n v="89.4"/>
    <n v="32.15"/>
    <n v="90.03"/>
  </r>
  <r>
    <x v="20"/>
    <x v="98"/>
    <n v="89.4"/>
    <n v="32.979999999999997"/>
    <n v="95.24"/>
  </r>
  <r>
    <x v="21"/>
    <x v="98"/>
    <n v="89.4"/>
    <n v="30.9"/>
    <n v="89.79"/>
  </r>
  <r>
    <x v="22"/>
    <x v="98"/>
    <n v="89.4"/>
    <n v="27.79"/>
    <n v="89.06"/>
  </r>
  <r>
    <x v="23"/>
    <x v="98"/>
    <n v="89.4"/>
    <n v="12.61"/>
    <n v="77.42"/>
  </r>
  <r>
    <x v="24"/>
    <x v="98"/>
    <n v="89.4"/>
    <n v="41.73"/>
    <n v="266.08999999999997"/>
  </r>
  <r>
    <x v="25"/>
    <x v="98"/>
    <n v="89.4"/>
    <n v="71.56"/>
    <n v="207.17"/>
  </r>
  <r>
    <x v="26"/>
    <x v="98"/>
    <n v="89.4"/>
    <n v="62.74"/>
    <n v="192.68"/>
  </r>
  <r>
    <x v="27"/>
    <x v="98"/>
    <n v="89.4"/>
    <n v="72.61"/>
    <n v="212.13"/>
  </r>
  <r>
    <x v="28"/>
    <x v="98"/>
    <n v="89.4"/>
    <n v="66.44"/>
    <n v="202.76"/>
  </r>
  <r>
    <x v="29"/>
    <x v="98"/>
    <n v="89.4"/>
    <n v="76.94"/>
    <n v="213.47"/>
  </r>
  <r>
    <x v="30"/>
    <x v="98"/>
    <n v="89.4"/>
    <n v="66.459999999999994"/>
    <n v="203.56"/>
  </r>
  <r>
    <x v="31"/>
    <x v="98"/>
    <n v="89.4"/>
    <n v="71.36"/>
    <n v="216.09"/>
  </r>
  <r>
    <x v="32"/>
    <x v="98"/>
    <n v="89.4"/>
    <n v="69.38"/>
    <n v="207.87"/>
  </r>
  <r>
    <x v="33"/>
    <x v="98"/>
    <n v="89.4"/>
    <n v="70.31"/>
    <n v="205.93"/>
  </r>
  <r>
    <x v="34"/>
    <x v="98"/>
    <n v="89.4"/>
    <n v="72.88"/>
    <n v="223.11"/>
  </r>
  <r>
    <x v="35"/>
    <x v="98"/>
    <n v="89.4"/>
    <n v="28.13"/>
    <n v="184.61"/>
  </r>
  <r>
    <x v="36"/>
    <x v="98"/>
    <n v="89.4"/>
    <n v="178.22"/>
    <n v="347.07"/>
  </r>
  <r>
    <x v="37"/>
    <x v="98"/>
    <n v="89.4"/>
    <n v="126.98"/>
    <n v="245.17"/>
  </r>
  <r>
    <x v="38"/>
    <x v="98"/>
    <n v="89.4"/>
    <n v="141"/>
    <n v="295.37"/>
  </r>
  <r>
    <x v="39"/>
    <x v="98"/>
    <n v="89.4"/>
    <n v="120.12"/>
    <n v="0"/>
  </r>
  <r>
    <x v="40"/>
    <x v="98"/>
    <n v="89.4"/>
    <n v="139.59"/>
    <n v="0"/>
  </r>
  <r>
    <x v="41"/>
    <x v="98"/>
    <n v="89.4"/>
    <n v="144.21"/>
    <n v="289.48"/>
  </r>
  <r>
    <x v="42"/>
    <x v="98"/>
    <n v="89.4"/>
    <n v="144.25"/>
    <n v="0"/>
  </r>
  <r>
    <x v="43"/>
    <x v="98"/>
    <n v="89.4"/>
    <n v="126.61"/>
    <n v="0"/>
  </r>
  <r>
    <x v="44"/>
    <x v="98"/>
    <n v="89.4"/>
    <n v="140.78"/>
    <n v="0"/>
  </r>
  <r>
    <x v="45"/>
    <x v="98"/>
    <n v="89.4"/>
    <n v="144.52000000000001"/>
    <n v="0"/>
  </r>
  <r>
    <x v="46"/>
    <x v="98"/>
    <n v="89.4"/>
    <n v="120.6"/>
    <n v="0"/>
  </r>
  <r>
    <x v="47"/>
    <x v="98"/>
    <n v="89.4"/>
    <n v="73.37"/>
    <n v="213.64"/>
  </r>
  <r>
    <x v="48"/>
    <x v="98"/>
    <n v="89.4"/>
    <n v="218.73"/>
    <n v="398.25"/>
  </r>
  <r>
    <x v="49"/>
    <x v="98"/>
    <n v="89.4"/>
    <n v="166.15"/>
    <n v="282.49"/>
  </r>
  <r>
    <x v="50"/>
    <x v="98"/>
    <n v="89.4"/>
    <n v="147.56"/>
    <n v="275.64999999999998"/>
  </r>
  <r>
    <x v="51"/>
    <x v="98"/>
    <n v="89.4"/>
    <n v="139.72999999999999"/>
    <n v="279.79000000000002"/>
  </r>
  <r>
    <x v="52"/>
    <x v="98"/>
    <n v="89.4"/>
    <n v="136.79"/>
    <n v="275.72000000000003"/>
  </r>
  <r>
    <x v="53"/>
    <x v="98"/>
    <n v="89.4"/>
    <n v="130.38"/>
    <n v="0"/>
  </r>
  <r>
    <x v="54"/>
    <x v="98"/>
    <n v="89.4"/>
    <n v="118.08"/>
    <n v="0"/>
  </r>
  <r>
    <x v="55"/>
    <x v="98"/>
    <n v="89.4"/>
    <n v="138.69"/>
    <n v="0"/>
  </r>
  <r>
    <x v="56"/>
    <x v="98"/>
    <n v="89.4"/>
    <n v="145.72999999999999"/>
    <n v="0"/>
  </r>
  <r>
    <x v="57"/>
    <x v="98"/>
    <n v="89.4"/>
    <n v="158.18"/>
    <n v="0"/>
  </r>
  <r>
    <x v="58"/>
    <x v="98"/>
    <n v="89.4"/>
    <n v="128.99"/>
    <n v="0"/>
  </r>
  <r>
    <x v="59"/>
    <x v="98"/>
    <n v="89.4"/>
    <n v="97.51"/>
    <n v="250.36"/>
  </r>
  <r>
    <x v="60"/>
    <x v="98"/>
    <n v="89.4"/>
    <n v="199.45"/>
    <n v="334.32"/>
  </r>
  <r>
    <x v="61"/>
    <x v="98"/>
    <n v="89.4"/>
    <n v="154.08000000000001"/>
    <n v="268.82"/>
  </r>
  <r>
    <x v="62"/>
    <x v="98"/>
    <n v="89.4"/>
    <n v="156.27000000000001"/>
    <n v="297.97000000000003"/>
  </r>
  <r>
    <x v="63"/>
    <x v="98"/>
    <n v="89.4"/>
    <n v="134.43"/>
    <n v="269.42"/>
  </r>
  <r>
    <x v="64"/>
    <x v="98"/>
    <n v="89.4"/>
    <n v="146.91"/>
    <n v="0"/>
  </r>
  <r>
    <x v="65"/>
    <x v="98"/>
    <n v="89.4"/>
    <n v="159.07"/>
    <n v="0"/>
  </r>
  <r>
    <x v="66"/>
    <x v="98"/>
    <n v="89.4"/>
    <n v="141.97999999999999"/>
    <n v="0"/>
  </r>
  <r>
    <x v="67"/>
    <x v="98"/>
    <n v="89.4"/>
    <n v="145.44999999999999"/>
    <n v="0"/>
  </r>
  <r>
    <x v="68"/>
    <x v="98"/>
    <n v="89.4"/>
    <n v="131.54"/>
    <n v="0"/>
  </r>
  <r>
    <x v="69"/>
    <x v="98"/>
    <n v="89.4"/>
    <n v="153.22"/>
    <n v="283.13"/>
  </r>
  <r>
    <x v="70"/>
    <x v="98"/>
    <n v="89.4"/>
    <n v="157.59"/>
    <n v="298.86"/>
  </r>
  <r>
    <x v="71"/>
    <x v="98"/>
    <n v="89.4"/>
    <n v="134.29"/>
    <n v="319.61"/>
  </r>
  <r>
    <x v="72"/>
    <x v="98"/>
    <n v="89.4"/>
    <n v="0"/>
    <n v="0"/>
  </r>
  <r>
    <x v="73"/>
    <x v="98"/>
    <n v="89.4"/>
    <n v="0"/>
    <n v="0"/>
  </r>
  <r>
    <x v="74"/>
    <x v="98"/>
    <n v="89.4"/>
    <n v="0"/>
    <n v="0"/>
  </r>
  <r>
    <x v="75"/>
    <x v="98"/>
    <n v="89.4"/>
    <n v="0"/>
    <n v="0"/>
  </r>
  <r>
    <x v="76"/>
    <x v="98"/>
    <n v="89.4"/>
    <n v="0"/>
    <n v="0"/>
  </r>
  <r>
    <x v="77"/>
    <x v="98"/>
    <n v="89.4"/>
    <n v="0"/>
    <n v="0"/>
  </r>
  <r>
    <x v="78"/>
    <x v="98"/>
    <n v="89.4"/>
    <n v="0"/>
    <n v="0"/>
  </r>
  <r>
    <x v="79"/>
    <x v="98"/>
    <n v="89.4"/>
    <n v="0"/>
    <n v="0"/>
  </r>
  <r>
    <x v="80"/>
    <x v="98"/>
    <n v="89.4"/>
    <n v="0"/>
    <n v="0"/>
  </r>
  <r>
    <x v="81"/>
    <x v="98"/>
    <n v="89.4"/>
    <n v="0"/>
    <n v="0"/>
  </r>
  <r>
    <x v="82"/>
    <x v="98"/>
    <n v="89.4"/>
    <n v="0"/>
    <n v="0"/>
  </r>
  <r>
    <x v="83"/>
    <x v="98"/>
    <n v="89.4"/>
    <n v="0"/>
    <n v="0"/>
  </r>
  <r>
    <x v="84"/>
    <x v="98"/>
    <n v="89.4"/>
    <n v="0"/>
    <n v="0"/>
  </r>
  <r>
    <x v="85"/>
    <x v="98"/>
    <n v="89.4"/>
    <n v="0"/>
    <n v="0"/>
  </r>
  <r>
    <x v="86"/>
    <x v="98"/>
    <n v="89.4"/>
    <n v="0"/>
    <n v="0"/>
  </r>
  <r>
    <x v="87"/>
    <x v="98"/>
    <n v="89.4"/>
    <n v="0"/>
    <n v="0"/>
  </r>
  <r>
    <x v="88"/>
    <x v="98"/>
    <n v="89.4"/>
    <n v="0"/>
    <n v="0"/>
  </r>
  <r>
    <x v="89"/>
    <x v="98"/>
    <n v="89.4"/>
    <n v="0"/>
    <n v="0"/>
  </r>
  <r>
    <x v="90"/>
    <x v="98"/>
    <n v="89.4"/>
    <n v="0"/>
    <n v="0"/>
  </r>
  <r>
    <x v="91"/>
    <x v="98"/>
    <n v="89.4"/>
    <n v="0"/>
    <n v="0"/>
  </r>
  <r>
    <x v="92"/>
    <x v="98"/>
    <n v="89.4"/>
    <n v="0"/>
    <n v="0"/>
  </r>
  <r>
    <x v="93"/>
    <x v="98"/>
    <n v="89.4"/>
    <n v="0"/>
    <n v="0"/>
  </r>
  <r>
    <x v="94"/>
    <x v="98"/>
    <n v="89.4"/>
    <n v="0"/>
    <n v="0"/>
  </r>
  <r>
    <x v="95"/>
    <x v="98"/>
    <n v="89.4"/>
    <n v="0"/>
    <n v="0"/>
  </r>
  <r>
    <x v="0"/>
    <x v="99"/>
    <n v="89.7"/>
    <n v="65.11"/>
    <n v="213.46"/>
  </r>
  <r>
    <x v="1"/>
    <x v="99"/>
    <n v="89.7"/>
    <n v="56.21"/>
    <n v="166.27"/>
  </r>
  <r>
    <x v="2"/>
    <x v="99"/>
    <n v="89.7"/>
    <n v="50.57"/>
    <n v="165.37"/>
  </r>
  <r>
    <x v="3"/>
    <x v="99"/>
    <n v="89.7"/>
    <n v="47.12"/>
    <n v="164.09"/>
  </r>
  <r>
    <x v="4"/>
    <x v="99"/>
    <n v="89.7"/>
    <n v="54.12"/>
    <n v="163.81"/>
  </r>
  <r>
    <x v="5"/>
    <x v="99"/>
    <n v="89.7"/>
    <n v="51.79"/>
    <n v="166.65"/>
  </r>
  <r>
    <x v="6"/>
    <x v="99"/>
    <n v="89.7"/>
    <n v="48.86"/>
    <n v="149.9"/>
  </r>
  <r>
    <x v="7"/>
    <x v="99"/>
    <n v="89.7"/>
    <n v="54.69"/>
    <n v="168.59"/>
  </r>
  <r>
    <x v="8"/>
    <x v="99"/>
    <n v="89.7"/>
    <n v="22.78"/>
    <n v="151.09"/>
  </r>
  <r>
    <x v="9"/>
    <x v="99"/>
    <n v="89.7"/>
    <n v="31.18"/>
    <n v="150.1"/>
  </r>
  <r>
    <x v="10"/>
    <x v="99"/>
    <n v="89.7"/>
    <n v="33.51"/>
    <n v="152.94999999999999"/>
  </r>
  <r>
    <x v="11"/>
    <x v="99"/>
    <n v="89.7"/>
    <n v="-554.96"/>
    <n v="-171.15"/>
  </r>
  <r>
    <x v="12"/>
    <x v="99"/>
    <n v="89.7"/>
    <n v="37.46"/>
    <n v="111.62"/>
  </r>
  <r>
    <x v="13"/>
    <x v="99"/>
    <n v="89.7"/>
    <n v="39.96"/>
    <n v="87.25"/>
  </r>
  <r>
    <x v="14"/>
    <x v="99"/>
    <n v="89.7"/>
    <n v="40.71"/>
    <n v="91.06"/>
  </r>
  <r>
    <x v="15"/>
    <x v="99"/>
    <n v="89.7"/>
    <n v="34.15"/>
    <n v="92.25"/>
  </r>
  <r>
    <x v="16"/>
    <x v="99"/>
    <n v="89.7"/>
    <n v="33.549999999999997"/>
    <n v="98.07"/>
  </r>
  <r>
    <x v="17"/>
    <x v="99"/>
    <n v="89.7"/>
    <n v="33.119999999999997"/>
    <n v="87.3"/>
  </r>
  <r>
    <x v="18"/>
    <x v="99"/>
    <n v="89.7"/>
    <n v="30.18"/>
    <n v="81.05"/>
  </r>
  <r>
    <x v="19"/>
    <x v="99"/>
    <n v="89.7"/>
    <n v="31.44"/>
    <n v="89.96"/>
  </r>
  <r>
    <x v="20"/>
    <x v="99"/>
    <n v="89.7"/>
    <n v="32.26"/>
    <n v="95.26"/>
  </r>
  <r>
    <x v="21"/>
    <x v="99"/>
    <n v="89.7"/>
    <n v="30.26"/>
    <n v="89.58"/>
  </r>
  <r>
    <x v="22"/>
    <x v="99"/>
    <n v="89.7"/>
    <n v="27.26"/>
    <n v="89.08"/>
  </r>
  <r>
    <x v="23"/>
    <x v="99"/>
    <n v="89.7"/>
    <n v="11.47"/>
    <n v="76.86"/>
  </r>
  <r>
    <x v="24"/>
    <x v="99"/>
    <n v="89.7"/>
    <n v="29.02"/>
    <n v="265.04000000000002"/>
  </r>
  <r>
    <x v="25"/>
    <x v="99"/>
    <n v="89.7"/>
    <n v="65.069999999999993"/>
    <n v="206.75"/>
  </r>
  <r>
    <x v="26"/>
    <x v="99"/>
    <n v="89.7"/>
    <n v="56.94"/>
    <n v="191.66"/>
  </r>
  <r>
    <x v="27"/>
    <x v="99"/>
    <n v="89.7"/>
    <n v="66.36"/>
    <n v="210.9"/>
  </r>
  <r>
    <x v="28"/>
    <x v="99"/>
    <n v="89.7"/>
    <n v="60.81"/>
    <n v="201.59"/>
  </r>
  <r>
    <x v="29"/>
    <x v="99"/>
    <n v="89.7"/>
    <n v="70.08"/>
    <n v="212.88"/>
  </r>
  <r>
    <x v="30"/>
    <x v="99"/>
    <n v="89.7"/>
    <n v="60.19"/>
    <n v="203.06"/>
  </r>
  <r>
    <x v="31"/>
    <x v="99"/>
    <n v="89.7"/>
    <n v="64.989999999999995"/>
    <n v="215.54"/>
  </r>
  <r>
    <x v="32"/>
    <x v="99"/>
    <n v="89.7"/>
    <n v="62.92"/>
    <n v="207.42"/>
  </r>
  <r>
    <x v="33"/>
    <x v="99"/>
    <n v="89.7"/>
    <n v="63.44"/>
    <n v="205.45"/>
  </r>
  <r>
    <x v="34"/>
    <x v="99"/>
    <n v="89.7"/>
    <n v="66.17"/>
    <n v="222.75"/>
  </r>
  <r>
    <x v="35"/>
    <x v="99"/>
    <n v="89.7"/>
    <n v="21.08"/>
    <n v="183.79"/>
  </r>
  <r>
    <x v="36"/>
    <x v="99"/>
    <n v="89.7"/>
    <n v="149.9"/>
    <n v="343.15"/>
  </r>
  <r>
    <x v="37"/>
    <x v="99"/>
    <n v="89.7"/>
    <n v="112.56"/>
    <n v="243.42"/>
  </r>
  <r>
    <x v="38"/>
    <x v="99"/>
    <n v="89.7"/>
    <n v="125.58"/>
    <n v="293.19"/>
  </r>
  <r>
    <x v="39"/>
    <x v="99"/>
    <n v="89.7"/>
    <n v="106.89"/>
    <n v="0"/>
  </r>
  <r>
    <x v="40"/>
    <x v="99"/>
    <n v="89.7"/>
    <n v="123.68"/>
    <n v="0"/>
  </r>
  <r>
    <x v="41"/>
    <x v="99"/>
    <n v="89.7"/>
    <n v="127.79"/>
    <n v="287.52999999999997"/>
  </r>
  <r>
    <x v="42"/>
    <x v="99"/>
    <n v="89.7"/>
    <n v="128.04"/>
    <n v="0"/>
  </r>
  <r>
    <x v="43"/>
    <x v="99"/>
    <n v="89.7"/>
    <n v="112.1"/>
    <n v="0"/>
  </r>
  <r>
    <x v="44"/>
    <x v="99"/>
    <n v="89.7"/>
    <n v="123.93"/>
    <n v="0"/>
  </r>
  <r>
    <x v="45"/>
    <x v="99"/>
    <n v="89.7"/>
    <n v="126.86"/>
    <n v="0"/>
  </r>
  <r>
    <x v="46"/>
    <x v="99"/>
    <n v="89.7"/>
    <n v="107"/>
    <n v="0"/>
  </r>
  <r>
    <x v="47"/>
    <x v="99"/>
    <n v="89.7"/>
    <n v="60.47"/>
    <n v="205.24"/>
  </r>
  <r>
    <x v="48"/>
    <x v="99"/>
    <n v="89.7"/>
    <n v="192.18"/>
    <n v="396.42"/>
  </r>
  <r>
    <x v="49"/>
    <x v="99"/>
    <n v="89.7"/>
    <n v="147.72999999999999"/>
    <n v="280.62"/>
  </r>
  <r>
    <x v="50"/>
    <x v="99"/>
    <n v="89.7"/>
    <n v="131.94999999999999"/>
    <n v="273.87"/>
  </r>
  <r>
    <x v="51"/>
    <x v="99"/>
    <n v="89.7"/>
    <n v="124.03"/>
    <n v="278.77999999999997"/>
  </r>
  <r>
    <x v="52"/>
    <x v="99"/>
    <n v="89.7"/>
    <n v="120.17"/>
    <n v="274.61"/>
  </r>
  <r>
    <x v="53"/>
    <x v="99"/>
    <n v="89.7"/>
    <n v="115.99"/>
    <n v="0"/>
  </r>
  <r>
    <x v="54"/>
    <x v="99"/>
    <n v="89.7"/>
    <n v="105.37"/>
    <n v="0"/>
  </r>
  <r>
    <x v="55"/>
    <x v="99"/>
    <n v="89.7"/>
    <n v="122.74"/>
    <n v="0"/>
  </r>
  <r>
    <x v="56"/>
    <x v="99"/>
    <n v="89.7"/>
    <n v="128.38"/>
    <n v="0"/>
  </r>
  <r>
    <x v="57"/>
    <x v="99"/>
    <n v="89.7"/>
    <n v="139.43"/>
    <n v="0"/>
  </r>
  <r>
    <x v="58"/>
    <x v="99"/>
    <n v="89.7"/>
    <n v="115.33"/>
    <n v="0"/>
  </r>
  <r>
    <x v="59"/>
    <x v="99"/>
    <n v="89.7"/>
    <n v="77.66"/>
    <n v="247.55"/>
  </r>
  <r>
    <x v="60"/>
    <x v="99"/>
    <n v="89.7"/>
    <n v="174.75"/>
    <n v="332.85"/>
  </r>
  <r>
    <x v="61"/>
    <x v="99"/>
    <n v="89.7"/>
    <n v="136.15"/>
    <n v="267.20999999999998"/>
  </r>
  <r>
    <x v="62"/>
    <x v="99"/>
    <n v="89.7"/>
    <n v="138.22"/>
    <n v="295.93"/>
  </r>
  <r>
    <x v="63"/>
    <x v="99"/>
    <n v="89.7"/>
    <n v="118.46"/>
    <n v="267.94"/>
  </r>
  <r>
    <x v="64"/>
    <x v="99"/>
    <n v="89.7"/>
    <n v="129.56"/>
    <n v="0"/>
  </r>
  <r>
    <x v="65"/>
    <x v="99"/>
    <n v="89.7"/>
    <n v="140.4"/>
    <n v="0"/>
  </r>
  <r>
    <x v="66"/>
    <x v="99"/>
    <n v="89.7"/>
    <n v="126.01"/>
    <n v="0"/>
  </r>
  <r>
    <x v="67"/>
    <x v="99"/>
    <n v="89.7"/>
    <n v="128.80000000000001"/>
    <n v="0"/>
  </r>
  <r>
    <x v="68"/>
    <x v="99"/>
    <n v="89.7"/>
    <n v="115.82"/>
    <n v="0"/>
  </r>
  <r>
    <x v="69"/>
    <x v="99"/>
    <n v="89.7"/>
    <n v="134.88999999999999"/>
    <n v="281.85000000000002"/>
  </r>
  <r>
    <x v="70"/>
    <x v="99"/>
    <n v="89.7"/>
    <n v="139.29"/>
    <n v="296.68"/>
  </r>
  <r>
    <x v="71"/>
    <x v="99"/>
    <n v="89.7"/>
    <n v="113.98"/>
    <n v="317.02"/>
  </r>
  <r>
    <x v="72"/>
    <x v="99"/>
    <n v="89.7"/>
    <n v="0"/>
    <n v="0"/>
  </r>
  <r>
    <x v="73"/>
    <x v="99"/>
    <n v="89.7"/>
    <n v="0"/>
    <n v="0"/>
  </r>
  <r>
    <x v="74"/>
    <x v="99"/>
    <n v="89.7"/>
    <n v="0"/>
    <n v="0"/>
  </r>
  <r>
    <x v="75"/>
    <x v="99"/>
    <n v="89.7"/>
    <n v="0"/>
    <n v="0"/>
  </r>
  <r>
    <x v="76"/>
    <x v="99"/>
    <n v="89.7"/>
    <n v="0"/>
    <n v="0"/>
  </r>
  <r>
    <x v="77"/>
    <x v="99"/>
    <n v="89.7"/>
    <n v="0"/>
    <n v="0"/>
  </r>
  <r>
    <x v="78"/>
    <x v="99"/>
    <n v="89.7"/>
    <n v="0"/>
    <n v="0"/>
  </r>
  <r>
    <x v="79"/>
    <x v="99"/>
    <n v="89.7"/>
    <n v="0"/>
    <n v="0"/>
  </r>
  <r>
    <x v="80"/>
    <x v="99"/>
    <n v="89.7"/>
    <n v="0"/>
    <n v="0"/>
  </r>
  <r>
    <x v="81"/>
    <x v="99"/>
    <n v="89.7"/>
    <n v="0"/>
    <n v="0"/>
  </r>
  <r>
    <x v="82"/>
    <x v="99"/>
    <n v="89.7"/>
    <n v="0"/>
    <n v="0"/>
  </r>
  <r>
    <x v="83"/>
    <x v="99"/>
    <n v="89.7"/>
    <n v="0"/>
    <n v="0"/>
  </r>
  <r>
    <x v="84"/>
    <x v="99"/>
    <n v="89.7"/>
    <n v="0"/>
    <n v="0"/>
  </r>
  <r>
    <x v="85"/>
    <x v="99"/>
    <n v="89.7"/>
    <n v="0"/>
    <n v="0"/>
  </r>
  <r>
    <x v="86"/>
    <x v="99"/>
    <n v="89.7"/>
    <n v="0"/>
    <n v="0"/>
  </r>
  <r>
    <x v="87"/>
    <x v="99"/>
    <n v="89.7"/>
    <n v="0"/>
    <n v="0"/>
  </r>
  <r>
    <x v="88"/>
    <x v="99"/>
    <n v="89.7"/>
    <n v="0"/>
    <n v="0"/>
  </r>
  <r>
    <x v="89"/>
    <x v="99"/>
    <n v="89.7"/>
    <n v="0"/>
    <n v="0"/>
  </r>
  <r>
    <x v="90"/>
    <x v="99"/>
    <n v="89.7"/>
    <n v="0"/>
    <n v="0"/>
  </r>
  <r>
    <x v="91"/>
    <x v="99"/>
    <n v="89.7"/>
    <n v="0"/>
    <n v="0"/>
  </r>
  <r>
    <x v="92"/>
    <x v="99"/>
    <n v="89.7"/>
    <n v="0"/>
    <n v="0"/>
  </r>
  <r>
    <x v="93"/>
    <x v="99"/>
    <n v="89.7"/>
    <n v="0"/>
    <n v="0"/>
  </r>
  <r>
    <x v="94"/>
    <x v="99"/>
    <n v="89.7"/>
    <n v="0"/>
    <n v="0"/>
  </r>
  <r>
    <x v="95"/>
    <x v="99"/>
    <n v="89.7"/>
    <n v="0"/>
    <n v="0"/>
  </r>
  <r>
    <x v="0"/>
    <x v="100"/>
    <n v="90"/>
    <n v="59.39"/>
    <n v="213.27"/>
  </r>
  <r>
    <x v="1"/>
    <x v="100"/>
    <n v="90"/>
    <n v="51.85"/>
    <n v="165.83"/>
  </r>
  <r>
    <x v="2"/>
    <x v="100"/>
    <n v="90"/>
    <n v="46.62"/>
    <n v="164.96"/>
  </r>
  <r>
    <x v="3"/>
    <x v="100"/>
    <n v="90"/>
    <n v="43.21"/>
    <n v="163.69"/>
  </r>
  <r>
    <x v="4"/>
    <x v="100"/>
    <n v="90"/>
    <n v="50.31"/>
    <n v="163.4"/>
  </r>
  <r>
    <x v="5"/>
    <x v="100"/>
    <n v="90"/>
    <n v="47.37"/>
    <n v="166.25"/>
  </r>
  <r>
    <x v="6"/>
    <x v="100"/>
    <n v="90"/>
    <n v="44.75"/>
    <n v="149.54"/>
  </r>
  <r>
    <x v="7"/>
    <x v="100"/>
    <n v="90"/>
    <n v="50.6"/>
    <n v="168.1"/>
  </r>
  <r>
    <x v="8"/>
    <x v="100"/>
    <n v="90"/>
    <n v="14.43"/>
    <n v="150.08000000000001"/>
  </r>
  <r>
    <x v="9"/>
    <x v="100"/>
    <n v="90"/>
    <n v="23.28"/>
    <n v="149.15"/>
  </r>
  <r>
    <x v="10"/>
    <x v="100"/>
    <n v="90"/>
    <n v="26.5"/>
    <n v="152.33000000000001"/>
  </r>
  <r>
    <x v="11"/>
    <x v="100"/>
    <n v="90"/>
    <n v="-547.01"/>
    <n v="-145.08000000000001"/>
  </r>
  <r>
    <x v="12"/>
    <x v="100"/>
    <n v="90"/>
    <n v="36.78"/>
    <n v="112.11"/>
  </r>
  <r>
    <x v="13"/>
    <x v="100"/>
    <n v="90"/>
    <n v="39.26"/>
    <n v="87.11"/>
  </r>
  <r>
    <x v="14"/>
    <x v="100"/>
    <n v="90"/>
    <n v="39.950000000000003"/>
    <n v="90.93"/>
  </r>
  <r>
    <x v="15"/>
    <x v="100"/>
    <n v="90"/>
    <n v="33.5"/>
    <n v="92.23"/>
  </r>
  <r>
    <x v="16"/>
    <x v="100"/>
    <n v="90"/>
    <n v="32.880000000000003"/>
    <n v="97.99"/>
  </r>
  <r>
    <x v="17"/>
    <x v="100"/>
    <n v="90"/>
    <n v="32.479999999999997"/>
    <n v="87.16"/>
  </r>
  <r>
    <x v="18"/>
    <x v="100"/>
    <n v="90"/>
    <n v="29.59"/>
    <n v="81.040000000000006"/>
  </r>
  <r>
    <x v="19"/>
    <x v="100"/>
    <n v="90"/>
    <n v="30.81"/>
    <n v="89.9"/>
  </r>
  <r>
    <x v="20"/>
    <x v="100"/>
    <n v="90"/>
    <n v="31.62"/>
    <n v="95.27"/>
  </r>
  <r>
    <x v="21"/>
    <x v="100"/>
    <n v="90"/>
    <n v="29.69"/>
    <n v="89.36"/>
  </r>
  <r>
    <x v="22"/>
    <x v="100"/>
    <n v="90"/>
    <n v="26.8"/>
    <n v="89.11"/>
  </r>
  <r>
    <x v="23"/>
    <x v="100"/>
    <n v="90"/>
    <n v="10.42"/>
    <n v="76.290000000000006"/>
  </r>
  <r>
    <x v="24"/>
    <x v="100"/>
    <n v="90"/>
    <n v="19.63"/>
    <n v="264.14"/>
  </r>
  <r>
    <x v="25"/>
    <x v="100"/>
    <n v="90"/>
    <n v="59.74"/>
    <n v="206.4"/>
  </r>
  <r>
    <x v="26"/>
    <x v="100"/>
    <n v="90"/>
    <n v="52.2"/>
    <n v="190.73"/>
  </r>
  <r>
    <x v="27"/>
    <x v="100"/>
    <n v="90"/>
    <n v="61.23"/>
    <n v="209.77"/>
  </r>
  <r>
    <x v="28"/>
    <x v="100"/>
    <n v="90"/>
    <n v="56.18"/>
    <n v="200.51"/>
  </r>
  <r>
    <x v="29"/>
    <x v="100"/>
    <n v="90"/>
    <n v="64.45"/>
    <n v="212.37"/>
  </r>
  <r>
    <x v="30"/>
    <x v="100"/>
    <n v="90"/>
    <n v="55.04"/>
    <n v="202.63"/>
  </r>
  <r>
    <x v="31"/>
    <x v="100"/>
    <n v="90"/>
    <n v="59.76"/>
    <n v="215.06"/>
  </r>
  <r>
    <x v="32"/>
    <x v="100"/>
    <n v="90"/>
    <n v="57.63"/>
    <n v="207.03"/>
  </r>
  <r>
    <x v="33"/>
    <x v="100"/>
    <n v="90"/>
    <n v="57.79"/>
    <n v="205.04"/>
  </r>
  <r>
    <x v="34"/>
    <x v="100"/>
    <n v="90"/>
    <n v="60.65"/>
    <n v="222.45"/>
  </r>
  <r>
    <x v="35"/>
    <x v="100"/>
    <n v="90"/>
    <n v="15.94"/>
    <n v="183.07"/>
  </r>
  <r>
    <x v="36"/>
    <x v="100"/>
    <n v="90"/>
    <n v="125.9"/>
    <n v="339.53"/>
  </r>
  <r>
    <x v="37"/>
    <x v="100"/>
    <n v="90"/>
    <n v="100.92"/>
    <n v="241.8"/>
  </r>
  <r>
    <x v="38"/>
    <x v="100"/>
    <n v="90"/>
    <n v="113.13"/>
    <n v="291.16000000000003"/>
  </r>
  <r>
    <x v="39"/>
    <x v="100"/>
    <n v="90"/>
    <n v="96.23"/>
    <n v="0"/>
  </r>
  <r>
    <x v="40"/>
    <x v="100"/>
    <n v="90"/>
    <n v="110.89"/>
    <n v="0"/>
  </r>
  <r>
    <x v="41"/>
    <x v="100"/>
    <n v="90"/>
    <n v="114.58"/>
    <n v="285.73"/>
  </r>
  <r>
    <x v="42"/>
    <x v="100"/>
    <n v="90"/>
    <n v="114.95"/>
    <n v="0"/>
  </r>
  <r>
    <x v="43"/>
    <x v="100"/>
    <n v="90"/>
    <n v="100.42"/>
    <n v="0"/>
  </r>
  <r>
    <x v="44"/>
    <x v="100"/>
    <n v="90"/>
    <n v="110.4"/>
    <n v="0"/>
  </r>
  <r>
    <x v="45"/>
    <x v="100"/>
    <n v="90"/>
    <n v="112.68"/>
    <n v="0"/>
  </r>
  <r>
    <x v="46"/>
    <x v="100"/>
    <n v="90"/>
    <n v="95.99"/>
    <n v="0"/>
  </r>
  <r>
    <x v="47"/>
    <x v="100"/>
    <n v="90"/>
    <n v="51.1"/>
    <n v="200.56"/>
  </r>
  <r>
    <x v="48"/>
    <x v="100"/>
    <n v="90"/>
    <n v="170.89"/>
    <n v="394.73"/>
  </r>
  <r>
    <x v="49"/>
    <x v="100"/>
    <n v="90"/>
    <n v="132.88"/>
    <n v="278.86"/>
  </r>
  <r>
    <x v="50"/>
    <x v="100"/>
    <n v="90"/>
    <n v="119.3"/>
    <n v="272.23"/>
  </r>
  <r>
    <x v="51"/>
    <x v="100"/>
    <n v="90"/>
    <n v="111.4"/>
    <n v="277.77999999999997"/>
  </r>
  <r>
    <x v="52"/>
    <x v="100"/>
    <n v="90"/>
    <n v="106.81"/>
    <n v="273.51"/>
  </r>
  <r>
    <x v="53"/>
    <x v="100"/>
    <n v="90"/>
    <n v="104.43"/>
    <n v="0"/>
  </r>
  <r>
    <x v="54"/>
    <x v="100"/>
    <n v="90"/>
    <n v="95.12"/>
    <n v="0"/>
  </r>
  <r>
    <x v="55"/>
    <x v="100"/>
    <n v="90"/>
    <n v="109.91"/>
    <n v="0"/>
  </r>
  <r>
    <x v="56"/>
    <x v="100"/>
    <n v="90"/>
    <n v="114.46"/>
    <n v="0"/>
  </r>
  <r>
    <x v="57"/>
    <x v="100"/>
    <n v="90"/>
    <n v="124.4"/>
    <n v="0"/>
  </r>
  <r>
    <x v="58"/>
    <x v="100"/>
    <n v="90"/>
    <n v="104.24"/>
    <n v="0"/>
  </r>
  <r>
    <x v="59"/>
    <x v="100"/>
    <n v="90"/>
    <n v="62.24"/>
    <n v="245.12"/>
  </r>
  <r>
    <x v="60"/>
    <x v="100"/>
    <n v="90"/>
    <n v="155.15"/>
    <n v="331.54"/>
  </r>
  <r>
    <x v="61"/>
    <x v="100"/>
    <n v="90"/>
    <n v="121.75"/>
    <n v="265.7"/>
  </r>
  <r>
    <x v="62"/>
    <x v="100"/>
    <n v="90"/>
    <n v="123.68"/>
    <n v="294.04000000000002"/>
  </r>
  <r>
    <x v="63"/>
    <x v="100"/>
    <n v="90"/>
    <n v="105.6"/>
    <n v="266.56"/>
  </r>
  <r>
    <x v="64"/>
    <x v="100"/>
    <n v="90"/>
    <n v="115.61"/>
    <n v="0"/>
  </r>
  <r>
    <x v="65"/>
    <x v="100"/>
    <n v="90"/>
    <n v="125.4"/>
    <n v="0"/>
  </r>
  <r>
    <x v="66"/>
    <x v="100"/>
    <n v="90"/>
    <n v="113.13"/>
    <n v="0"/>
  </r>
  <r>
    <x v="67"/>
    <x v="100"/>
    <n v="90"/>
    <n v="115.39"/>
    <n v="0"/>
  </r>
  <r>
    <x v="68"/>
    <x v="100"/>
    <n v="90"/>
    <n v="103.28"/>
    <n v="0"/>
  </r>
  <r>
    <x v="69"/>
    <x v="100"/>
    <n v="90"/>
    <n v="120.16"/>
    <n v="280.64999999999998"/>
  </r>
  <r>
    <x v="70"/>
    <x v="100"/>
    <n v="90"/>
    <n v="124.53"/>
    <n v="294.60000000000002"/>
  </r>
  <r>
    <x v="71"/>
    <x v="100"/>
    <n v="90"/>
    <n v="97.41"/>
    <n v="312.14"/>
  </r>
  <r>
    <x v="72"/>
    <x v="100"/>
    <n v="90"/>
    <n v="0"/>
    <n v="0"/>
  </r>
  <r>
    <x v="73"/>
    <x v="100"/>
    <n v="90"/>
    <n v="0"/>
    <n v="0"/>
  </r>
  <r>
    <x v="74"/>
    <x v="100"/>
    <n v="90"/>
    <n v="0"/>
    <n v="0"/>
  </r>
  <r>
    <x v="75"/>
    <x v="100"/>
    <n v="90"/>
    <n v="0"/>
    <n v="0"/>
  </r>
  <r>
    <x v="76"/>
    <x v="100"/>
    <n v="90"/>
    <n v="0"/>
    <n v="0"/>
  </r>
  <r>
    <x v="77"/>
    <x v="100"/>
    <n v="90"/>
    <n v="0"/>
    <n v="0"/>
  </r>
  <r>
    <x v="78"/>
    <x v="100"/>
    <n v="90"/>
    <n v="0"/>
    <n v="0"/>
  </r>
  <r>
    <x v="79"/>
    <x v="100"/>
    <n v="90"/>
    <n v="0"/>
    <n v="0"/>
  </r>
  <r>
    <x v="80"/>
    <x v="100"/>
    <n v="90"/>
    <n v="0"/>
    <n v="0"/>
  </r>
  <r>
    <x v="81"/>
    <x v="100"/>
    <n v="90"/>
    <n v="0"/>
    <n v="0"/>
  </r>
  <r>
    <x v="82"/>
    <x v="100"/>
    <n v="90"/>
    <n v="0"/>
    <n v="0"/>
  </r>
  <r>
    <x v="83"/>
    <x v="100"/>
    <n v="90"/>
    <n v="0"/>
    <n v="0"/>
  </r>
  <r>
    <x v="84"/>
    <x v="100"/>
    <n v="90"/>
    <n v="0"/>
    <n v="0"/>
  </r>
  <r>
    <x v="85"/>
    <x v="100"/>
    <n v="90"/>
    <n v="0"/>
    <n v="0"/>
  </r>
  <r>
    <x v="86"/>
    <x v="100"/>
    <n v="90"/>
    <n v="0"/>
    <n v="0"/>
  </r>
  <r>
    <x v="87"/>
    <x v="100"/>
    <n v="90"/>
    <n v="0"/>
    <n v="0"/>
  </r>
  <r>
    <x v="88"/>
    <x v="100"/>
    <n v="90"/>
    <n v="0"/>
    <n v="0"/>
  </r>
  <r>
    <x v="89"/>
    <x v="100"/>
    <n v="90"/>
    <n v="0"/>
    <n v="0"/>
  </r>
  <r>
    <x v="90"/>
    <x v="100"/>
    <n v="90"/>
    <n v="0"/>
    <n v="0"/>
  </r>
  <r>
    <x v="91"/>
    <x v="100"/>
    <n v="90"/>
    <n v="0"/>
    <n v="0"/>
  </r>
  <r>
    <x v="92"/>
    <x v="100"/>
    <n v="90"/>
    <n v="0"/>
    <n v="0"/>
  </r>
  <r>
    <x v="93"/>
    <x v="100"/>
    <n v="90"/>
    <n v="0"/>
    <n v="0"/>
  </r>
  <r>
    <x v="94"/>
    <x v="100"/>
    <n v="90"/>
    <n v="0"/>
    <n v="0"/>
  </r>
  <r>
    <x v="95"/>
    <x v="100"/>
    <n v="90"/>
    <n v="0"/>
    <n v="0"/>
  </r>
  <r>
    <x v="0"/>
    <x v="101"/>
    <n v="90.3"/>
    <n v="54.66"/>
    <n v="213.14"/>
  </r>
  <r>
    <x v="1"/>
    <x v="101"/>
    <n v="90.3"/>
    <n v="48.17"/>
    <n v="165.43"/>
  </r>
  <r>
    <x v="2"/>
    <x v="101"/>
    <n v="90.3"/>
    <n v="43.28"/>
    <n v="164.59"/>
  </r>
  <r>
    <x v="3"/>
    <x v="101"/>
    <n v="90.3"/>
    <n v="39.94"/>
    <n v="163.34"/>
  </r>
  <r>
    <x v="4"/>
    <x v="101"/>
    <n v="90.3"/>
    <n v="47.11"/>
    <n v="163.05000000000001"/>
  </r>
  <r>
    <x v="5"/>
    <x v="101"/>
    <n v="90.3"/>
    <n v="43.72"/>
    <n v="165.91"/>
  </r>
  <r>
    <x v="6"/>
    <x v="101"/>
    <n v="90.3"/>
    <n v="41.34"/>
    <n v="149.24"/>
  </r>
  <r>
    <x v="7"/>
    <x v="101"/>
    <n v="90.3"/>
    <n v="47.14"/>
    <n v="167.68"/>
  </r>
  <r>
    <x v="8"/>
    <x v="101"/>
    <n v="90.3"/>
    <n v="7.69"/>
    <n v="149.18"/>
  </r>
  <r>
    <x v="9"/>
    <x v="101"/>
    <n v="90.3"/>
    <n v="16.62"/>
    <n v="148.29"/>
  </r>
  <r>
    <x v="10"/>
    <x v="101"/>
    <n v="90.3"/>
    <n v="20.53"/>
    <n v="151.77000000000001"/>
  </r>
  <r>
    <x v="11"/>
    <x v="101"/>
    <n v="90.3"/>
    <n v="-539.88"/>
    <n v="-121.06"/>
  </r>
  <r>
    <x v="12"/>
    <x v="101"/>
    <n v="90.3"/>
    <n v="36.17"/>
    <n v="112.55"/>
  </r>
  <r>
    <x v="13"/>
    <x v="101"/>
    <n v="90.3"/>
    <n v="38.64"/>
    <n v="87"/>
  </r>
  <r>
    <x v="14"/>
    <x v="101"/>
    <n v="90.3"/>
    <n v="39.270000000000003"/>
    <n v="90.81"/>
  </r>
  <r>
    <x v="15"/>
    <x v="101"/>
    <n v="90.3"/>
    <n v="32.93"/>
    <n v="92.22"/>
  </r>
  <r>
    <x v="16"/>
    <x v="101"/>
    <n v="90.3"/>
    <n v="32.29"/>
    <n v="97.9"/>
  </r>
  <r>
    <x v="17"/>
    <x v="101"/>
    <n v="90.3"/>
    <n v="31.91"/>
    <n v="87.03"/>
  </r>
  <r>
    <x v="18"/>
    <x v="101"/>
    <n v="90.3"/>
    <n v="29.06"/>
    <n v="81.040000000000006"/>
  </r>
  <r>
    <x v="19"/>
    <x v="101"/>
    <n v="90.3"/>
    <n v="30.25"/>
    <n v="89.83"/>
  </r>
  <r>
    <x v="20"/>
    <x v="101"/>
    <n v="90.3"/>
    <n v="31.05"/>
    <n v="95.29"/>
  </r>
  <r>
    <x v="21"/>
    <x v="101"/>
    <n v="90.3"/>
    <n v="29.2"/>
    <n v="89.14"/>
  </r>
  <r>
    <x v="22"/>
    <x v="101"/>
    <n v="90.3"/>
    <n v="26.39"/>
    <n v="89.13"/>
  </r>
  <r>
    <x v="23"/>
    <x v="101"/>
    <n v="90.3"/>
    <n v="9.4700000000000006"/>
    <n v="75.709999999999994"/>
  </r>
  <r>
    <x v="24"/>
    <x v="101"/>
    <n v="90.3"/>
    <n v="12.92"/>
    <n v="263.38"/>
  </r>
  <r>
    <x v="25"/>
    <x v="101"/>
    <n v="90.3"/>
    <n v="55.36"/>
    <n v="206.12"/>
  </r>
  <r>
    <x v="26"/>
    <x v="101"/>
    <n v="90.3"/>
    <n v="48.32"/>
    <n v="189.88"/>
  </r>
  <r>
    <x v="27"/>
    <x v="101"/>
    <n v="90.3"/>
    <n v="57"/>
    <n v="208.75"/>
  </r>
  <r>
    <x v="28"/>
    <x v="101"/>
    <n v="90.3"/>
    <n v="52.36"/>
    <n v="199.52"/>
  </r>
  <r>
    <x v="29"/>
    <x v="101"/>
    <n v="90.3"/>
    <n v="59.83"/>
    <n v="211.92"/>
  </r>
  <r>
    <x v="30"/>
    <x v="101"/>
    <n v="90.3"/>
    <n v="50.8"/>
    <n v="202.25"/>
  </r>
  <r>
    <x v="31"/>
    <x v="101"/>
    <n v="90.3"/>
    <n v="55.45"/>
    <n v="214.65"/>
  </r>
  <r>
    <x v="32"/>
    <x v="101"/>
    <n v="90.3"/>
    <n v="53.3"/>
    <n v="206.7"/>
  </r>
  <r>
    <x v="33"/>
    <x v="101"/>
    <n v="90.3"/>
    <n v="53.15"/>
    <n v="204.7"/>
  </r>
  <r>
    <x v="34"/>
    <x v="101"/>
    <n v="90.3"/>
    <n v="56.12"/>
    <n v="222.2"/>
  </r>
  <r>
    <x v="35"/>
    <x v="101"/>
    <n v="90.3"/>
    <n v="12.29"/>
    <n v="182.44"/>
  </r>
  <r>
    <x v="36"/>
    <x v="101"/>
    <n v="90.3"/>
    <n v="105.67"/>
    <n v="336.22"/>
  </r>
  <r>
    <x v="37"/>
    <x v="101"/>
    <n v="90.3"/>
    <n v="91.49"/>
    <n v="240.32"/>
  </r>
  <r>
    <x v="38"/>
    <x v="101"/>
    <n v="90.3"/>
    <n v="103.05"/>
    <n v="289.3"/>
  </r>
  <r>
    <x v="39"/>
    <x v="101"/>
    <n v="90.3"/>
    <n v="87.61"/>
    <n v="0"/>
  </r>
  <r>
    <x v="40"/>
    <x v="101"/>
    <n v="90.3"/>
    <n v="100.58"/>
    <n v="0"/>
  </r>
  <r>
    <x v="41"/>
    <x v="101"/>
    <n v="90.3"/>
    <n v="103.89"/>
    <n v="284.10000000000002"/>
  </r>
  <r>
    <x v="42"/>
    <x v="101"/>
    <n v="90.3"/>
    <n v="104.36"/>
    <n v="0"/>
  </r>
  <r>
    <x v="43"/>
    <x v="101"/>
    <n v="90.3"/>
    <n v="90.99"/>
    <n v="0"/>
  </r>
  <r>
    <x v="44"/>
    <x v="101"/>
    <n v="90.3"/>
    <n v="99.48"/>
    <n v="0"/>
  </r>
  <r>
    <x v="45"/>
    <x v="101"/>
    <n v="90.3"/>
    <n v="101.26"/>
    <n v="0"/>
  </r>
  <r>
    <x v="46"/>
    <x v="101"/>
    <n v="90.3"/>
    <n v="87.05"/>
    <n v="0"/>
  </r>
  <r>
    <x v="47"/>
    <x v="101"/>
    <n v="90.3"/>
    <n v="44.28"/>
    <n v="199.65"/>
  </r>
  <r>
    <x v="48"/>
    <x v="101"/>
    <n v="90.3"/>
    <n v="153.69"/>
    <n v="393.18"/>
  </r>
  <r>
    <x v="49"/>
    <x v="101"/>
    <n v="90.3"/>
    <n v="120.83"/>
    <n v="277.24"/>
  </r>
  <r>
    <x v="50"/>
    <x v="101"/>
    <n v="90.3"/>
    <n v="109.02"/>
    <n v="270.70999999999998"/>
  </r>
  <r>
    <x v="51"/>
    <x v="101"/>
    <n v="90.3"/>
    <n v="101.18"/>
    <n v="276.8"/>
  </r>
  <r>
    <x v="52"/>
    <x v="101"/>
    <n v="90.3"/>
    <n v="96.02"/>
    <n v="272.44"/>
  </r>
  <r>
    <x v="53"/>
    <x v="101"/>
    <n v="90.3"/>
    <n v="95.1"/>
    <n v="0"/>
  </r>
  <r>
    <x v="54"/>
    <x v="101"/>
    <n v="90.3"/>
    <n v="86.8"/>
    <n v="0"/>
  </r>
  <r>
    <x v="55"/>
    <x v="101"/>
    <n v="90.3"/>
    <n v="99.55"/>
    <n v="0"/>
  </r>
  <r>
    <x v="56"/>
    <x v="101"/>
    <n v="90.3"/>
    <n v="103.23"/>
    <n v="0"/>
  </r>
  <r>
    <x v="57"/>
    <x v="101"/>
    <n v="90.3"/>
    <n v="112.31"/>
    <n v="0"/>
  </r>
  <r>
    <x v="58"/>
    <x v="101"/>
    <n v="90.3"/>
    <n v="95.23"/>
    <n v="0"/>
  </r>
  <r>
    <x v="59"/>
    <x v="101"/>
    <n v="90.3"/>
    <n v="50.45"/>
    <n v="243.04"/>
  </r>
  <r>
    <x v="60"/>
    <x v="101"/>
    <n v="90.3"/>
    <n v="139.49"/>
    <n v="330.39"/>
  </r>
  <r>
    <x v="61"/>
    <x v="101"/>
    <n v="90.3"/>
    <n v="110.12"/>
    <n v="264.29000000000002"/>
  </r>
  <r>
    <x v="62"/>
    <x v="101"/>
    <n v="90.3"/>
    <n v="111.9"/>
    <n v="292.29000000000002"/>
  </r>
  <r>
    <x v="63"/>
    <x v="101"/>
    <n v="90.3"/>
    <n v="95.21"/>
    <n v="265.29000000000002"/>
  </r>
  <r>
    <x v="64"/>
    <x v="101"/>
    <n v="90.3"/>
    <n v="104.34"/>
    <n v="0"/>
  </r>
  <r>
    <x v="65"/>
    <x v="101"/>
    <n v="90.3"/>
    <n v="113.3"/>
    <n v="0"/>
  </r>
  <r>
    <x v="66"/>
    <x v="101"/>
    <n v="90.3"/>
    <n v="102.69"/>
    <n v="0"/>
  </r>
  <r>
    <x v="67"/>
    <x v="101"/>
    <n v="90.3"/>
    <n v="104.52"/>
    <n v="0"/>
  </r>
  <r>
    <x v="68"/>
    <x v="101"/>
    <n v="90.3"/>
    <n v="93.21"/>
    <n v="0"/>
  </r>
  <r>
    <x v="69"/>
    <x v="101"/>
    <n v="90.3"/>
    <n v="108.27"/>
    <n v="279.54000000000002"/>
  </r>
  <r>
    <x v="70"/>
    <x v="101"/>
    <n v="90.3"/>
    <n v="112.57"/>
    <n v="292.66000000000003"/>
  </r>
  <r>
    <x v="71"/>
    <x v="101"/>
    <n v="90.3"/>
    <n v="83.99"/>
    <n v="304.87"/>
  </r>
  <r>
    <x v="72"/>
    <x v="101"/>
    <n v="90.3"/>
    <n v="0"/>
    <n v="0"/>
  </r>
  <r>
    <x v="73"/>
    <x v="101"/>
    <n v="90.3"/>
    <n v="0"/>
    <n v="0"/>
  </r>
  <r>
    <x v="74"/>
    <x v="101"/>
    <n v="90.3"/>
    <n v="0"/>
    <n v="0"/>
  </r>
  <r>
    <x v="75"/>
    <x v="101"/>
    <n v="90.3"/>
    <n v="0"/>
    <n v="0"/>
  </r>
  <r>
    <x v="76"/>
    <x v="101"/>
    <n v="90.3"/>
    <n v="0"/>
    <n v="0"/>
  </r>
  <r>
    <x v="77"/>
    <x v="101"/>
    <n v="90.3"/>
    <n v="0"/>
    <n v="0"/>
  </r>
  <r>
    <x v="78"/>
    <x v="101"/>
    <n v="90.3"/>
    <n v="0"/>
    <n v="0"/>
  </r>
  <r>
    <x v="79"/>
    <x v="101"/>
    <n v="90.3"/>
    <n v="0"/>
    <n v="0"/>
  </r>
  <r>
    <x v="80"/>
    <x v="101"/>
    <n v="90.3"/>
    <n v="0"/>
    <n v="0"/>
  </r>
  <r>
    <x v="81"/>
    <x v="101"/>
    <n v="90.3"/>
    <n v="0"/>
    <n v="0"/>
  </r>
  <r>
    <x v="82"/>
    <x v="101"/>
    <n v="90.3"/>
    <n v="0"/>
    <n v="0"/>
  </r>
  <r>
    <x v="83"/>
    <x v="101"/>
    <n v="90.3"/>
    <n v="0"/>
    <n v="0"/>
  </r>
  <r>
    <x v="84"/>
    <x v="101"/>
    <n v="90.3"/>
    <n v="0"/>
    <n v="0"/>
  </r>
  <r>
    <x v="85"/>
    <x v="101"/>
    <n v="90.3"/>
    <n v="0"/>
    <n v="0"/>
  </r>
  <r>
    <x v="86"/>
    <x v="101"/>
    <n v="90.3"/>
    <n v="0"/>
    <n v="0"/>
  </r>
  <r>
    <x v="87"/>
    <x v="101"/>
    <n v="90.3"/>
    <n v="0"/>
    <n v="0"/>
  </r>
  <r>
    <x v="88"/>
    <x v="101"/>
    <n v="90.3"/>
    <n v="0"/>
    <n v="0"/>
  </r>
  <r>
    <x v="89"/>
    <x v="101"/>
    <n v="90.3"/>
    <n v="0"/>
    <n v="0"/>
  </r>
  <r>
    <x v="90"/>
    <x v="101"/>
    <n v="90.3"/>
    <n v="0"/>
    <n v="0"/>
  </r>
  <r>
    <x v="91"/>
    <x v="101"/>
    <n v="90.3"/>
    <n v="0"/>
    <n v="0"/>
  </r>
  <r>
    <x v="92"/>
    <x v="101"/>
    <n v="90.3"/>
    <n v="0"/>
    <n v="0"/>
  </r>
  <r>
    <x v="93"/>
    <x v="101"/>
    <n v="90.3"/>
    <n v="0"/>
    <n v="0"/>
  </r>
  <r>
    <x v="94"/>
    <x v="101"/>
    <n v="90.3"/>
    <n v="0"/>
    <n v="0"/>
  </r>
  <r>
    <x v="95"/>
    <x v="101"/>
    <n v="90.3"/>
    <n v="0"/>
    <n v="0"/>
  </r>
  <r>
    <x v="0"/>
    <x v="102"/>
    <n v="90.6"/>
    <n v="50.75"/>
    <n v="213.07"/>
  </r>
  <r>
    <x v="1"/>
    <x v="102"/>
    <n v="90.6"/>
    <n v="45.07"/>
    <n v="165.08"/>
  </r>
  <r>
    <x v="2"/>
    <x v="102"/>
    <n v="90.6"/>
    <n v="40.46"/>
    <n v="164.26"/>
  </r>
  <r>
    <x v="3"/>
    <x v="102"/>
    <n v="90.6"/>
    <n v="37.22"/>
    <n v="163.04"/>
  </r>
  <r>
    <x v="4"/>
    <x v="102"/>
    <n v="90.6"/>
    <n v="44.4"/>
    <n v="162.75"/>
  </r>
  <r>
    <x v="5"/>
    <x v="102"/>
    <n v="90.6"/>
    <n v="40.71"/>
    <n v="165.63"/>
  </r>
  <r>
    <x v="6"/>
    <x v="102"/>
    <n v="90.6"/>
    <n v="38.53"/>
    <n v="149"/>
  </r>
  <r>
    <x v="7"/>
    <x v="102"/>
    <n v="90.6"/>
    <n v="44.22"/>
    <n v="167.32"/>
  </r>
  <r>
    <x v="8"/>
    <x v="102"/>
    <n v="90.6"/>
    <n v="2.39"/>
    <n v="148.37"/>
  </r>
  <r>
    <x v="9"/>
    <x v="102"/>
    <n v="90.6"/>
    <n v="11.13"/>
    <n v="147.52000000000001"/>
  </r>
  <r>
    <x v="10"/>
    <x v="102"/>
    <n v="90.6"/>
    <n v="15.54"/>
    <n v="151.29"/>
  </r>
  <r>
    <x v="11"/>
    <x v="102"/>
    <n v="90.6"/>
    <n v="-533.5"/>
    <n v="-98.95"/>
  </r>
  <r>
    <x v="12"/>
    <x v="102"/>
    <n v="90.6"/>
    <n v="35.630000000000003"/>
    <n v="112.93"/>
  </r>
  <r>
    <x v="13"/>
    <x v="102"/>
    <n v="90.6"/>
    <n v="38.090000000000003"/>
    <n v="86.9"/>
  </r>
  <r>
    <x v="14"/>
    <x v="102"/>
    <n v="90.6"/>
    <n v="38.659999999999997"/>
    <n v="90.71"/>
  </r>
  <r>
    <x v="15"/>
    <x v="102"/>
    <n v="90.6"/>
    <n v="32.42"/>
    <n v="92.21"/>
  </r>
  <r>
    <x v="16"/>
    <x v="102"/>
    <n v="90.6"/>
    <n v="31.76"/>
    <n v="97.8"/>
  </r>
  <r>
    <x v="17"/>
    <x v="102"/>
    <n v="90.6"/>
    <n v="31.41"/>
    <n v="86.93"/>
  </r>
  <r>
    <x v="18"/>
    <x v="102"/>
    <n v="90.6"/>
    <n v="28.59"/>
    <n v="81.05"/>
  </r>
  <r>
    <x v="19"/>
    <x v="102"/>
    <n v="90.6"/>
    <n v="29.75"/>
    <n v="89.78"/>
  </r>
  <r>
    <x v="20"/>
    <x v="102"/>
    <n v="90.6"/>
    <n v="30.55"/>
    <n v="95.32"/>
  </r>
  <r>
    <x v="21"/>
    <x v="102"/>
    <n v="90.6"/>
    <n v="28.76"/>
    <n v="88.92"/>
  </r>
  <r>
    <x v="22"/>
    <x v="102"/>
    <n v="90.6"/>
    <n v="26.04"/>
    <n v="89.17"/>
  </r>
  <r>
    <x v="23"/>
    <x v="102"/>
    <n v="90.6"/>
    <n v="8.59"/>
    <n v="75.13"/>
  </r>
  <r>
    <x v="24"/>
    <x v="102"/>
    <n v="90.6"/>
    <n v="8.2899999999999991"/>
    <n v="262.74"/>
  </r>
  <r>
    <x v="25"/>
    <x v="102"/>
    <n v="90.6"/>
    <n v="51.75"/>
    <n v="205.89"/>
  </r>
  <r>
    <x v="26"/>
    <x v="102"/>
    <n v="90.6"/>
    <n v="45.16"/>
    <n v="189.11"/>
  </r>
  <r>
    <x v="27"/>
    <x v="102"/>
    <n v="90.6"/>
    <n v="53.52"/>
    <n v="207.85"/>
  </r>
  <r>
    <x v="28"/>
    <x v="102"/>
    <n v="90.6"/>
    <n v="49.23"/>
    <n v="198.63"/>
  </r>
  <r>
    <x v="29"/>
    <x v="102"/>
    <n v="90.6"/>
    <n v="56.03"/>
    <n v="211.54"/>
  </r>
  <r>
    <x v="30"/>
    <x v="102"/>
    <n v="90.6"/>
    <n v="47.33"/>
    <n v="201.94"/>
  </r>
  <r>
    <x v="31"/>
    <x v="102"/>
    <n v="90.6"/>
    <n v="51.92"/>
    <n v="214.3"/>
  </r>
  <r>
    <x v="32"/>
    <x v="102"/>
    <n v="90.6"/>
    <n v="49.76"/>
    <n v="206.43"/>
  </r>
  <r>
    <x v="33"/>
    <x v="102"/>
    <n v="90.6"/>
    <n v="49.35"/>
    <n v="204.43"/>
  </r>
  <r>
    <x v="34"/>
    <x v="102"/>
    <n v="90.6"/>
    <n v="52.4"/>
    <n v="222.01"/>
  </r>
  <r>
    <x v="35"/>
    <x v="102"/>
    <n v="90.6"/>
    <n v="9.77"/>
    <n v="181.91"/>
  </r>
  <r>
    <x v="36"/>
    <x v="102"/>
    <n v="90.6"/>
    <n v="88.8"/>
    <n v="333.25"/>
  </r>
  <r>
    <x v="37"/>
    <x v="102"/>
    <n v="90.6"/>
    <n v="83.85"/>
    <n v="238.97"/>
  </r>
  <r>
    <x v="38"/>
    <x v="102"/>
    <n v="90.6"/>
    <n v="94.88"/>
    <n v="287.58999999999997"/>
  </r>
  <r>
    <x v="39"/>
    <x v="102"/>
    <n v="90.6"/>
    <n v="80.63"/>
    <n v="0"/>
  </r>
  <r>
    <x v="40"/>
    <x v="102"/>
    <n v="90.6"/>
    <n v="92.26"/>
    <n v="0"/>
  </r>
  <r>
    <x v="41"/>
    <x v="102"/>
    <n v="90.6"/>
    <n v="95.22"/>
    <n v="282.63"/>
  </r>
  <r>
    <x v="42"/>
    <x v="102"/>
    <n v="90.6"/>
    <n v="95.78"/>
    <n v="0"/>
  </r>
  <r>
    <x v="43"/>
    <x v="102"/>
    <n v="90.6"/>
    <n v="83.37"/>
    <n v="0"/>
  </r>
  <r>
    <x v="44"/>
    <x v="102"/>
    <n v="90.6"/>
    <n v="90.67"/>
    <n v="0"/>
  </r>
  <r>
    <x v="45"/>
    <x v="102"/>
    <n v="90.6"/>
    <n v="92.05"/>
    <n v="0"/>
  </r>
  <r>
    <x v="46"/>
    <x v="102"/>
    <n v="90.6"/>
    <n v="79.77"/>
    <n v="0"/>
  </r>
  <r>
    <x v="47"/>
    <x v="102"/>
    <n v="90.6"/>
    <n v="39.29"/>
    <n v="201.6"/>
  </r>
  <r>
    <x v="48"/>
    <x v="102"/>
    <n v="90.6"/>
    <n v="139.76"/>
    <n v="391.78"/>
  </r>
  <r>
    <x v="49"/>
    <x v="102"/>
    <n v="90.6"/>
    <n v="111.05"/>
    <n v="275.75"/>
  </r>
  <r>
    <x v="50"/>
    <x v="102"/>
    <n v="90.6"/>
    <n v="100.64"/>
    <n v="269.33"/>
  </r>
  <r>
    <x v="51"/>
    <x v="102"/>
    <n v="90.6"/>
    <n v="92.92"/>
    <n v="275.87"/>
  </r>
  <r>
    <x v="52"/>
    <x v="102"/>
    <n v="90.6"/>
    <n v="87.29"/>
    <n v="271.45"/>
  </r>
  <r>
    <x v="53"/>
    <x v="102"/>
    <n v="90.6"/>
    <n v="87.55"/>
    <n v="0"/>
  </r>
  <r>
    <x v="54"/>
    <x v="102"/>
    <n v="90.6"/>
    <n v="80.05"/>
    <n v="0"/>
  </r>
  <r>
    <x v="55"/>
    <x v="102"/>
    <n v="90.6"/>
    <n v="91.18"/>
    <n v="0"/>
  </r>
  <r>
    <x v="56"/>
    <x v="102"/>
    <n v="90.6"/>
    <n v="94.16"/>
    <n v="0"/>
  </r>
  <r>
    <x v="57"/>
    <x v="102"/>
    <n v="90.6"/>
    <n v="102.54"/>
    <n v="0"/>
  </r>
  <r>
    <x v="58"/>
    <x v="102"/>
    <n v="90.6"/>
    <n v="87.9"/>
    <n v="0"/>
  </r>
  <r>
    <x v="59"/>
    <x v="102"/>
    <n v="90.6"/>
    <n v="41.58"/>
    <n v="241.29"/>
  </r>
  <r>
    <x v="60"/>
    <x v="102"/>
    <n v="90.6"/>
    <n v="126.91"/>
    <n v="329.39"/>
  </r>
  <r>
    <x v="61"/>
    <x v="102"/>
    <n v="90.6"/>
    <n v="100.69"/>
    <n v="263.01"/>
  </r>
  <r>
    <x v="62"/>
    <x v="102"/>
    <n v="90.6"/>
    <n v="102.35"/>
    <n v="290.7"/>
  </r>
  <r>
    <x v="63"/>
    <x v="102"/>
    <n v="90.6"/>
    <n v="86.79"/>
    <n v="264.12"/>
  </r>
  <r>
    <x v="64"/>
    <x v="102"/>
    <n v="90.6"/>
    <n v="95.2"/>
    <n v="0"/>
  </r>
  <r>
    <x v="65"/>
    <x v="102"/>
    <n v="90.6"/>
    <n v="103.51"/>
    <n v="0"/>
  </r>
  <r>
    <x v="66"/>
    <x v="102"/>
    <n v="90.6"/>
    <n v="94.22"/>
    <n v="0"/>
  </r>
  <r>
    <x v="67"/>
    <x v="102"/>
    <n v="90.6"/>
    <n v="95.7"/>
    <n v="0"/>
  </r>
  <r>
    <x v="68"/>
    <x v="102"/>
    <n v="90.6"/>
    <n v="85.11"/>
    <n v="0"/>
  </r>
  <r>
    <x v="69"/>
    <x v="102"/>
    <n v="90.6"/>
    <n v="98.65"/>
    <n v="278.52999999999997"/>
  </r>
  <r>
    <x v="70"/>
    <x v="102"/>
    <n v="90.6"/>
    <n v="102.87"/>
    <n v="290.86"/>
  </r>
  <r>
    <x v="71"/>
    <x v="102"/>
    <n v="90.6"/>
    <n v="73.23"/>
    <n v="295.49"/>
  </r>
  <r>
    <x v="72"/>
    <x v="102"/>
    <n v="90.6"/>
    <n v="0"/>
    <n v="0"/>
  </r>
  <r>
    <x v="73"/>
    <x v="102"/>
    <n v="90.6"/>
    <n v="0"/>
    <n v="0"/>
  </r>
  <r>
    <x v="74"/>
    <x v="102"/>
    <n v="90.6"/>
    <n v="0"/>
    <n v="0"/>
  </r>
  <r>
    <x v="75"/>
    <x v="102"/>
    <n v="90.6"/>
    <n v="0"/>
    <n v="0"/>
  </r>
  <r>
    <x v="76"/>
    <x v="102"/>
    <n v="90.6"/>
    <n v="0"/>
    <n v="0"/>
  </r>
  <r>
    <x v="77"/>
    <x v="102"/>
    <n v="90.6"/>
    <n v="0"/>
    <n v="0"/>
  </r>
  <r>
    <x v="78"/>
    <x v="102"/>
    <n v="90.6"/>
    <n v="0"/>
    <n v="0"/>
  </r>
  <r>
    <x v="79"/>
    <x v="102"/>
    <n v="90.6"/>
    <n v="0"/>
    <n v="0"/>
  </r>
  <r>
    <x v="80"/>
    <x v="102"/>
    <n v="90.6"/>
    <n v="0"/>
    <n v="0"/>
  </r>
  <r>
    <x v="81"/>
    <x v="102"/>
    <n v="90.6"/>
    <n v="0"/>
    <n v="0"/>
  </r>
  <r>
    <x v="82"/>
    <x v="102"/>
    <n v="90.6"/>
    <n v="0"/>
    <n v="0"/>
  </r>
  <r>
    <x v="83"/>
    <x v="102"/>
    <n v="90.6"/>
    <n v="0"/>
    <n v="0"/>
  </r>
  <r>
    <x v="84"/>
    <x v="102"/>
    <n v="90.6"/>
    <n v="0"/>
    <n v="0"/>
  </r>
  <r>
    <x v="85"/>
    <x v="102"/>
    <n v="90.6"/>
    <n v="0"/>
    <n v="0"/>
  </r>
  <r>
    <x v="86"/>
    <x v="102"/>
    <n v="90.6"/>
    <n v="0"/>
    <n v="0"/>
  </r>
  <r>
    <x v="87"/>
    <x v="102"/>
    <n v="90.6"/>
    <n v="0"/>
    <n v="0"/>
  </r>
  <r>
    <x v="88"/>
    <x v="102"/>
    <n v="90.6"/>
    <n v="0"/>
    <n v="0"/>
  </r>
  <r>
    <x v="89"/>
    <x v="102"/>
    <n v="90.6"/>
    <n v="0"/>
    <n v="0"/>
  </r>
  <r>
    <x v="90"/>
    <x v="102"/>
    <n v="90.6"/>
    <n v="0"/>
    <n v="0"/>
  </r>
  <r>
    <x v="91"/>
    <x v="102"/>
    <n v="90.6"/>
    <n v="0"/>
    <n v="0"/>
  </r>
  <r>
    <x v="92"/>
    <x v="102"/>
    <n v="90.6"/>
    <n v="0"/>
    <n v="0"/>
  </r>
  <r>
    <x v="93"/>
    <x v="102"/>
    <n v="90.6"/>
    <n v="0"/>
    <n v="0"/>
  </r>
  <r>
    <x v="94"/>
    <x v="102"/>
    <n v="90.6"/>
    <n v="0"/>
    <n v="0"/>
  </r>
  <r>
    <x v="95"/>
    <x v="102"/>
    <n v="90.6"/>
    <n v="0"/>
    <n v="0"/>
  </r>
  <r>
    <x v="0"/>
    <x v="103"/>
    <n v="90.9"/>
    <n v="47.54"/>
    <n v="213.04"/>
  </r>
  <r>
    <x v="1"/>
    <x v="103"/>
    <n v="90.9"/>
    <n v="42.47"/>
    <n v="164.78"/>
  </r>
  <r>
    <x v="2"/>
    <x v="103"/>
    <n v="90.9"/>
    <n v="38.090000000000003"/>
    <n v="163.97"/>
  </r>
  <r>
    <x v="3"/>
    <x v="103"/>
    <n v="90.9"/>
    <n v="34.97"/>
    <n v="162.79"/>
  </r>
  <r>
    <x v="4"/>
    <x v="103"/>
    <n v="90.9"/>
    <n v="42.12"/>
    <n v="162.51"/>
  </r>
  <r>
    <x v="5"/>
    <x v="103"/>
    <n v="90.9"/>
    <n v="38.229999999999997"/>
    <n v="165.4"/>
  </r>
  <r>
    <x v="6"/>
    <x v="103"/>
    <n v="90.9"/>
    <n v="36.22"/>
    <n v="148.80000000000001"/>
  </r>
  <r>
    <x v="7"/>
    <x v="103"/>
    <n v="90.9"/>
    <n v="41.75"/>
    <n v="167.01"/>
  </r>
  <r>
    <x v="8"/>
    <x v="103"/>
    <n v="90.9"/>
    <n v="-1.66"/>
    <n v="147.66999999999999"/>
  </r>
  <r>
    <x v="9"/>
    <x v="103"/>
    <n v="90.9"/>
    <n v="6.71"/>
    <n v="146.83000000000001"/>
  </r>
  <r>
    <x v="10"/>
    <x v="103"/>
    <n v="90.9"/>
    <n v="11.45"/>
    <n v="150.86000000000001"/>
  </r>
  <r>
    <x v="11"/>
    <x v="103"/>
    <n v="90.9"/>
    <n v="-527.82000000000005"/>
    <n v="-78.64"/>
  </r>
  <r>
    <x v="12"/>
    <x v="103"/>
    <n v="90.9"/>
    <n v="35.15"/>
    <n v="113.28"/>
  </r>
  <r>
    <x v="13"/>
    <x v="103"/>
    <n v="90.9"/>
    <n v="37.61"/>
    <n v="86.82"/>
  </r>
  <r>
    <x v="14"/>
    <x v="103"/>
    <n v="90.9"/>
    <n v="38.119999999999997"/>
    <n v="90.62"/>
  </r>
  <r>
    <x v="15"/>
    <x v="103"/>
    <n v="90.9"/>
    <n v="31.96"/>
    <n v="92.21"/>
  </r>
  <r>
    <x v="16"/>
    <x v="103"/>
    <n v="90.9"/>
    <n v="31.3"/>
    <n v="97.7"/>
  </r>
  <r>
    <x v="17"/>
    <x v="103"/>
    <n v="90.9"/>
    <n v="30.96"/>
    <n v="86.85"/>
  </r>
  <r>
    <x v="18"/>
    <x v="103"/>
    <n v="90.9"/>
    <n v="28.17"/>
    <n v="81.069999999999993"/>
  </r>
  <r>
    <x v="19"/>
    <x v="103"/>
    <n v="90.9"/>
    <n v="29.31"/>
    <n v="89.73"/>
  </r>
  <r>
    <x v="20"/>
    <x v="103"/>
    <n v="90.9"/>
    <n v="30.1"/>
    <n v="95.36"/>
  </r>
  <r>
    <x v="21"/>
    <x v="103"/>
    <n v="90.9"/>
    <n v="28.37"/>
    <n v="88.7"/>
  </r>
  <r>
    <x v="22"/>
    <x v="103"/>
    <n v="90.9"/>
    <n v="25.73"/>
    <n v="89.21"/>
  </r>
  <r>
    <x v="23"/>
    <x v="103"/>
    <n v="90.9"/>
    <n v="7.79"/>
    <n v="74.540000000000006"/>
  </r>
  <r>
    <x v="24"/>
    <x v="103"/>
    <n v="90.9"/>
    <n v="5.25"/>
    <n v="262.23"/>
  </r>
  <r>
    <x v="25"/>
    <x v="103"/>
    <n v="90.9"/>
    <n v="48.8"/>
    <n v="205.73"/>
  </r>
  <r>
    <x v="26"/>
    <x v="103"/>
    <n v="90.9"/>
    <n v="42.59"/>
    <n v="188.43"/>
  </r>
  <r>
    <x v="27"/>
    <x v="103"/>
    <n v="90.9"/>
    <n v="50.66"/>
    <n v="207.05"/>
  </r>
  <r>
    <x v="28"/>
    <x v="103"/>
    <n v="90.9"/>
    <n v="46.66"/>
    <n v="197.84"/>
  </r>
  <r>
    <x v="29"/>
    <x v="103"/>
    <n v="90.9"/>
    <n v="52.94"/>
    <n v="211.22"/>
  </r>
  <r>
    <x v="30"/>
    <x v="103"/>
    <n v="90.9"/>
    <n v="44.51"/>
    <n v="201.68"/>
  </r>
  <r>
    <x v="31"/>
    <x v="103"/>
    <n v="90.9"/>
    <n v="49.03"/>
    <n v="214.01"/>
  </r>
  <r>
    <x v="32"/>
    <x v="103"/>
    <n v="90.9"/>
    <n v="46.88"/>
    <n v="206.22"/>
  </r>
  <r>
    <x v="33"/>
    <x v="103"/>
    <n v="90.9"/>
    <n v="46.26"/>
    <n v="204.21"/>
  </r>
  <r>
    <x v="34"/>
    <x v="103"/>
    <n v="90.9"/>
    <n v="49.37"/>
    <n v="221.87"/>
  </r>
  <r>
    <x v="35"/>
    <x v="103"/>
    <n v="90.9"/>
    <n v="8.09"/>
    <n v="181.46"/>
  </r>
  <r>
    <x v="36"/>
    <x v="103"/>
    <n v="90.9"/>
    <n v="74.92"/>
    <n v="330.6"/>
  </r>
  <r>
    <x v="37"/>
    <x v="103"/>
    <n v="90.9"/>
    <n v="77.66"/>
    <n v="237.75"/>
  </r>
  <r>
    <x v="38"/>
    <x v="103"/>
    <n v="90.9"/>
    <n v="88.29"/>
    <n v="286.05"/>
  </r>
  <r>
    <x v="39"/>
    <x v="103"/>
    <n v="90.9"/>
    <n v="74.98"/>
    <n v="0"/>
  </r>
  <r>
    <x v="40"/>
    <x v="103"/>
    <n v="90.9"/>
    <n v="85.55"/>
    <n v="0"/>
  </r>
  <r>
    <x v="41"/>
    <x v="103"/>
    <n v="90.9"/>
    <n v="88.21"/>
    <n v="281.33"/>
  </r>
  <r>
    <x v="42"/>
    <x v="103"/>
    <n v="90.9"/>
    <n v="88.86"/>
    <n v="0"/>
  </r>
  <r>
    <x v="43"/>
    <x v="103"/>
    <n v="90.9"/>
    <n v="77.209999999999994"/>
    <n v="0"/>
  </r>
  <r>
    <x v="44"/>
    <x v="103"/>
    <n v="90.9"/>
    <n v="83.56"/>
    <n v="0"/>
  </r>
  <r>
    <x v="45"/>
    <x v="103"/>
    <n v="90.9"/>
    <n v="84.63"/>
    <n v="0"/>
  </r>
  <r>
    <x v="46"/>
    <x v="103"/>
    <n v="90.9"/>
    <n v="73.86"/>
    <n v="0"/>
  </r>
  <r>
    <x v="47"/>
    <x v="103"/>
    <n v="90.9"/>
    <n v="35.61"/>
    <n v="205.02"/>
  </r>
  <r>
    <x v="48"/>
    <x v="103"/>
    <n v="90.9"/>
    <n v="128.47"/>
    <n v="390.54"/>
  </r>
  <r>
    <x v="49"/>
    <x v="103"/>
    <n v="90.9"/>
    <n v="103.12"/>
    <n v="274.39999999999998"/>
  </r>
  <r>
    <x v="50"/>
    <x v="103"/>
    <n v="90.9"/>
    <n v="93.82"/>
    <n v="268.08"/>
  </r>
  <r>
    <x v="51"/>
    <x v="103"/>
    <n v="90.9"/>
    <n v="86.23"/>
    <n v="275.01"/>
  </r>
  <r>
    <x v="52"/>
    <x v="103"/>
    <n v="90.9"/>
    <n v="80.239999999999995"/>
    <n v="270.52"/>
  </r>
  <r>
    <x v="53"/>
    <x v="103"/>
    <n v="90.9"/>
    <n v="81.47"/>
    <n v="0"/>
  </r>
  <r>
    <x v="54"/>
    <x v="103"/>
    <n v="90.9"/>
    <n v="74.56"/>
    <n v="0"/>
  </r>
  <r>
    <x v="55"/>
    <x v="103"/>
    <n v="90.9"/>
    <n v="84.44"/>
    <n v="0"/>
  </r>
  <r>
    <x v="56"/>
    <x v="103"/>
    <n v="90.9"/>
    <n v="86.83"/>
    <n v="0"/>
  </r>
  <r>
    <x v="57"/>
    <x v="103"/>
    <n v="90.9"/>
    <n v="94.66"/>
    <n v="0"/>
  </r>
  <r>
    <x v="58"/>
    <x v="103"/>
    <n v="90.9"/>
    <n v="81.95"/>
    <n v="0"/>
  </r>
  <r>
    <x v="59"/>
    <x v="103"/>
    <n v="90.9"/>
    <n v="34.99"/>
    <n v="239.83"/>
  </r>
  <r>
    <x v="60"/>
    <x v="103"/>
    <n v="90.9"/>
    <n v="116.78"/>
    <n v="328.54"/>
  </r>
  <r>
    <x v="61"/>
    <x v="103"/>
    <n v="90.9"/>
    <n v="93.05"/>
    <n v="261.83999999999997"/>
  </r>
  <r>
    <x v="62"/>
    <x v="103"/>
    <n v="90.9"/>
    <n v="94.6"/>
    <n v="289.26"/>
  </r>
  <r>
    <x v="63"/>
    <x v="103"/>
    <n v="90.9"/>
    <n v="79.989999999999995"/>
    <n v="263.07"/>
  </r>
  <r>
    <x v="64"/>
    <x v="103"/>
    <n v="90.9"/>
    <n v="87.8"/>
    <n v="0"/>
  </r>
  <r>
    <x v="65"/>
    <x v="103"/>
    <n v="90.9"/>
    <n v="95.6"/>
    <n v="0"/>
  </r>
  <r>
    <x v="66"/>
    <x v="103"/>
    <n v="90.9"/>
    <n v="87.37"/>
    <n v="0"/>
  </r>
  <r>
    <x v="67"/>
    <x v="103"/>
    <n v="90.9"/>
    <n v="88.54"/>
    <n v="0"/>
  </r>
  <r>
    <x v="68"/>
    <x v="103"/>
    <n v="90.9"/>
    <n v="78.61"/>
    <n v="0"/>
  </r>
  <r>
    <x v="69"/>
    <x v="103"/>
    <n v="90.9"/>
    <n v="90.88"/>
    <n v="277.63"/>
  </r>
  <r>
    <x v="70"/>
    <x v="103"/>
    <n v="90.9"/>
    <n v="95.01"/>
    <n v="289.2"/>
  </r>
  <r>
    <x v="71"/>
    <x v="103"/>
    <n v="90.9"/>
    <n v="64.69"/>
    <n v="284.60000000000002"/>
  </r>
  <r>
    <x v="72"/>
    <x v="103"/>
    <n v="90.9"/>
    <n v="0"/>
    <n v="0"/>
  </r>
  <r>
    <x v="73"/>
    <x v="103"/>
    <n v="90.9"/>
    <n v="0"/>
    <n v="0"/>
  </r>
  <r>
    <x v="74"/>
    <x v="103"/>
    <n v="90.9"/>
    <n v="0"/>
    <n v="0"/>
  </r>
  <r>
    <x v="75"/>
    <x v="103"/>
    <n v="90.9"/>
    <n v="0"/>
    <n v="0"/>
  </r>
  <r>
    <x v="76"/>
    <x v="103"/>
    <n v="90.9"/>
    <n v="0"/>
    <n v="0"/>
  </r>
  <r>
    <x v="77"/>
    <x v="103"/>
    <n v="90.9"/>
    <n v="0"/>
    <n v="0"/>
  </r>
  <r>
    <x v="78"/>
    <x v="103"/>
    <n v="90.9"/>
    <n v="0"/>
    <n v="0"/>
  </r>
  <r>
    <x v="79"/>
    <x v="103"/>
    <n v="90.9"/>
    <n v="0"/>
    <n v="0"/>
  </r>
  <r>
    <x v="80"/>
    <x v="103"/>
    <n v="90.9"/>
    <n v="0"/>
    <n v="0"/>
  </r>
  <r>
    <x v="81"/>
    <x v="103"/>
    <n v="90.9"/>
    <n v="0"/>
    <n v="0"/>
  </r>
  <r>
    <x v="82"/>
    <x v="103"/>
    <n v="90.9"/>
    <n v="0"/>
    <n v="0"/>
  </r>
  <r>
    <x v="83"/>
    <x v="103"/>
    <n v="90.9"/>
    <n v="0"/>
    <n v="0"/>
  </r>
  <r>
    <x v="84"/>
    <x v="103"/>
    <n v="90.9"/>
    <n v="0"/>
    <n v="0"/>
  </r>
  <r>
    <x v="85"/>
    <x v="103"/>
    <n v="90.9"/>
    <n v="0"/>
    <n v="0"/>
  </r>
  <r>
    <x v="86"/>
    <x v="103"/>
    <n v="90.9"/>
    <n v="0"/>
    <n v="0"/>
  </r>
  <r>
    <x v="87"/>
    <x v="103"/>
    <n v="90.9"/>
    <n v="0"/>
    <n v="0"/>
  </r>
  <r>
    <x v="88"/>
    <x v="103"/>
    <n v="90.9"/>
    <n v="0"/>
    <n v="0"/>
  </r>
  <r>
    <x v="89"/>
    <x v="103"/>
    <n v="90.9"/>
    <n v="0"/>
    <n v="0"/>
  </r>
  <r>
    <x v="90"/>
    <x v="103"/>
    <n v="90.9"/>
    <n v="0"/>
    <n v="0"/>
  </r>
  <r>
    <x v="91"/>
    <x v="103"/>
    <n v="90.9"/>
    <n v="0"/>
    <n v="0"/>
  </r>
  <r>
    <x v="92"/>
    <x v="103"/>
    <n v="90.9"/>
    <n v="0"/>
    <n v="0"/>
  </r>
  <r>
    <x v="93"/>
    <x v="103"/>
    <n v="90.9"/>
    <n v="0"/>
    <n v="0"/>
  </r>
  <r>
    <x v="94"/>
    <x v="103"/>
    <n v="90.9"/>
    <n v="0"/>
    <n v="0"/>
  </r>
  <r>
    <x v="95"/>
    <x v="103"/>
    <n v="90.9"/>
    <n v="0"/>
    <n v="0"/>
  </r>
  <r>
    <x v="0"/>
    <x v="104"/>
    <n v="91.2"/>
    <n v="44.91"/>
    <n v="213.07"/>
  </r>
  <r>
    <x v="1"/>
    <x v="104"/>
    <n v="91.2"/>
    <n v="40.299999999999997"/>
    <n v="164.52"/>
  </r>
  <r>
    <x v="2"/>
    <x v="104"/>
    <n v="91.2"/>
    <n v="36.11"/>
    <n v="163.72999999999999"/>
  </r>
  <r>
    <x v="3"/>
    <x v="104"/>
    <n v="91.2"/>
    <n v="33.119999999999997"/>
    <n v="162.59"/>
  </r>
  <r>
    <x v="4"/>
    <x v="104"/>
    <n v="91.2"/>
    <n v="40.200000000000003"/>
    <n v="162.31"/>
  </r>
  <r>
    <x v="5"/>
    <x v="104"/>
    <n v="91.2"/>
    <n v="36.21"/>
    <n v="165.22"/>
  </r>
  <r>
    <x v="6"/>
    <x v="104"/>
    <n v="91.2"/>
    <n v="34.35"/>
    <n v="148.65"/>
  </r>
  <r>
    <x v="7"/>
    <x v="104"/>
    <n v="91.2"/>
    <n v="39.659999999999997"/>
    <n v="166.75"/>
  </r>
  <r>
    <x v="8"/>
    <x v="104"/>
    <n v="91.2"/>
    <n v="-4.67"/>
    <n v="147.05000000000001"/>
  </r>
  <r>
    <x v="9"/>
    <x v="104"/>
    <n v="91.2"/>
    <n v="3.2"/>
    <n v="146.22"/>
  </r>
  <r>
    <x v="10"/>
    <x v="104"/>
    <n v="91.2"/>
    <n v="8.14"/>
    <n v="150.5"/>
  </r>
  <r>
    <x v="11"/>
    <x v="104"/>
    <n v="91.2"/>
    <n v="-522.78"/>
    <n v="-60.01"/>
  </r>
  <r>
    <x v="12"/>
    <x v="104"/>
    <n v="91.2"/>
    <n v="34.74"/>
    <n v="113.6"/>
  </r>
  <r>
    <x v="13"/>
    <x v="104"/>
    <n v="91.2"/>
    <n v="37.17"/>
    <n v="86.76"/>
  </r>
  <r>
    <x v="14"/>
    <x v="104"/>
    <n v="91.2"/>
    <n v="37.64"/>
    <n v="90.55"/>
  </r>
  <r>
    <x v="15"/>
    <x v="104"/>
    <n v="91.2"/>
    <n v="31.57"/>
    <n v="92.22"/>
  </r>
  <r>
    <x v="16"/>
    <x v="104"/>
    <n v="91.2"/>
    <n v="30.9"/>
    <n v="97.61"/>
  </r>
  <r>
    <x v="17"/>
    <x v="104"/>
    <n v="91.2"/>
    <n v="30.57"/>
    <n v="86.78"/>
  </r>
  <r>
    <x v="18"/>
    <x v="104"/>
    <n v="91.2"/>
    <n v="27.81"/>
    <n v="81.099999999999994"/>
  </r>
  <r>
    <x v="19"/>
    <x v="104"/>
    <n v="91.2"/>
    <n v="28.92"/>
    <n v="89.69"/>
  </r>
  <r>
    <x v="20"/>
    <x v="104"/>
    <n v="91.2"/>
    <n v="29.71"/>
    <n v="95.41"/>
  </r>
  <r>
    <x v="21"/>
    <x v="104"/>
    <n v="91.2"/>
    <n v="28.04"/>
    <n v="88.49"/>
  </r>
  <r>
    <x v="22"/>
    <x v="104"/>
    <n v="91.2"/>
    <n v="25.46"/>
    <n v="89.26"/>
  </r>
  <r>
    <x v="23"/>
    <x v="104"/>
    <n v="91.2"/>
    <n v="7.07"/>
    <n v="73.95"/>
  </r>
  <r>
    <x v="24"/>
    <x v="104"/>
    <n v="91.2"/>
    <n v="3.39"/>
    <n v="261.82"/>
  </r>
  <r>
    <x v="25"/>
    <x v="104"/>
    <n v="91.2"/>
    <n v="46.39"/>
    <n v="205.62"/>
  </r>
  <r>
    <x v="26"/>
    <x v="104"/>
    <n v="91.2"/>
    <n v="40.53"/>
    <n v="187.84"/>
  </r>
  <r>
    <x v="27"/>
    <x v="104"/>
    <n v="91.2"/>
    <n v="48.33"/>
    <n v="206.36"/>
  </r>
  <r>
    <x v="28"/>
    <x v="104"/>
    <n v="91.2"/>
    <n v="44.57"/>
    <n v="197.15"/>
  </r>
  <r>
    <x v="29"/>
    <x v="104"/>
    <n v="91.2"/>
    <n v="50.42"/>
    <n v="210.97"/>
  </r>
  <r>
    <x v="30"/>
    <x v="104"/>
    <n v="91.2"/>
    <n v="42.22"/>
    <n v="201.47"/>
  </r>
  <r>
    <x v="31"/>
    <x v="104"/>
    <n v="91.2"/>
    <n v="46.67"/>
    <n v="213.79"/>
  </r>
  <r>
    <x v="32"/>
    <x v="104"/>
    <n v="91.2"/>
    <n v="44.56"/>
    <n v="206.05"/>
  </r>
  <r>
    <x v="33"/>
    <x v="104"/>
    <n v="91.2"/>
    <n v="43.76"/>
    <n v="204.05"/>
  </r>
  <r>
    <x v="34"/>
    <x v="104"/>
    <n v="91.2"/>
    <n v="46.91"/>
    <n v="221.79"/>
  </r>
  <r>
    <x v="35"/>
    <x v="104"/>
    <n v="91.2"/>
    <n v="7.03"/>
    <n v="181.09"/>
  </r>
  <r>
    <x v="36"/>
    <x v="104"/>
    <n v="91.2"/>
    <n v="63.65"/>
    <n v="328.27"/>
  </r>
  <r>
    <x v="37"/>
    <x v="104"/>
    <n v="91.2"/>
    <n v="72.66"/>
    <n v="236.68"/>
  </r>
  <r>
    <x v="38"/>
    <x v="104"/>
    <n v="91.2"/>
    <n v="82.99"/>
    <n v="284.67"/>
  </r>
  <r>
    <x v="39"/>
    <x v="104"/>
    <n v="91.2"/>
    <n v="70.430000000000007"/>
    <n v="0"/>
  </r>
  <r>
    <x v="40"/>
    <x v="104"/>
    <n v="91.2"/>
    <n v="80.16"/>
    <n v="0"/>
  </r>
  <r>
    <x v="41"/>
    <x v="104"/>
    <n v="91.2"/>
    <n v="82.55"/>
    <n v="280.19"/>
  </r>
  <r>
    <x v="42"/>
    <x v="104"/>
    <n v="91.2"/>
    <n v="83.29"/>
    <n v="0"/>
  </r>
  <r>
    <x v="43"/>
    <x v="104"/>
    <n v="91.2"/>
    <n v="72.260000000000005"/>
    <n v="0"/>
  </r>
  <r>
    <x v="44"/>
    <x v="104"/>
    <n v="91.2"/>
    <n v="77.84"/>
    <n v="0"/>
  </r>
  <r>
    <x v="45"/>
    <x v="104"/>
    <n v="91.2"/>
    <n v="78.67"/>
    <n v="0"/>
  </r>
  <r>
    <x v="46"/>
    <x v="104"/>
    <n v="91.2"/>
    <n v="69.09"/>
    <n v="0"/>
  </r>
  <r>
    <x v="47"/>
    <x v="104"/>
    <n v="91.2"/>
    <n v="32.89"/>
    <n v="208.63"/>
  </r>
  <r>
    <x v="48"/>
    <x v="104"/>
    <n v="91.2"/>
    <n v="119.34"/>
    <n v="389.45"/>
  </r>
  <r>
    <x v="49"/>
    <x v="104"/>
    <n v="91.2"/>
    <n v="96.7"/>
    <n v="273.2"/>
  </r>
  <r>
    <x v="50"/>
    <x v="104"/>
    <n v="91.2"/>
    <n v="88.28"/>
    <n v="266.97000000000003"/>
  </r>
  <r>
    <x v="51"/>
    <x v="104"/>
    <n v="91.2"/>
    <n v="80.849999999999994"/>
    <n v="274.23"/>
  </r>
  <r>
    <x v="52"/>
    <x v="104"/>
    <n v="91.2"/>
    <n v="74.56"/>
    <n v="269.69"/>
  </r>
  <r>
    <x v="53"/>
    <x v="104"/>
    <n v="91.2"/>
    <n v="76.59"/>
    <n v="0"/>
  </r>
  <r>
    <x v="54"/>
    <x v="104"/>
    <n v="91.2"/>
    <n v="70.13"/>
    <n v="0"/>
  </r>
  <r>
    <x v="55"/>
    <x v="104"/>
    <n v="91.2"/>
    <n v="79.02"/>
    <n v="0"/>
  </r>
  <r>
    <x v="56"/>
    <x v="104"/>
    <n v="91.2"/>
    <n v="80.94"/>
    <n v="0"/>
  </r>
  <r>
    <x v="57"/>
    <x v="104"/>
    <n v="91.2"/>
    <n v="88.31"/>
    <n v="0"/>
  </r>
  <r>
    <x v="58"/>
    <x v="104"/>
    <n v="91.2"/>
    <n v="77.150000000000006"/>
    <n v="0"/>
  </r>
  <r>
    <x v="59"/>
    <x v="104"/>
    <n v="91.2"/>
    <n v="30.19"/>
    <n v="238.63"/>
  </r>
  <r>
    <x v="60"/>
    <x v="104"/>
    <n v="91.2"/>
    <n v="108.62"/>
    <n v="327.82"/>
  </r>
  <r>
    <x v="61"/>
    <x v="104"/>
    <n v="91.2"/>
    <n v="86.86"/>
    <n v="260.8"/>
  </r>
  <r>
    <x v="62"/>
    <x v="104"/>
    <n v="91.2"/>
    <n v="88.34"/>
    <n v="287.97000000000003"/>
  </r>
  <r>
    <x v="63"/>
    <x v="104"/>
    <n v="91.2"/>
    <n v="74.510000000000005"/>
    <n v="262.12"/>
  </r>
  <r>
    <x v="64"/>
    <x v="104"/>
    <n v="91.2"/>
    <n v="81.84"/>
    <n v="0"/>
  </r>
  <r>
    <x v="65"/>
    <x v="104"/>
    <n v="91.2"/>
    <n v="89.24"/>
    <n v="0"/>
  </r>
  <r>
    <x v="66"/>
    <x v="104"/>
    <n v="91.2"/>
    <n v="81.86"/>
    <n v="0"/>
  </r>
  <r>
    <x v="67"/>
    <x v="104"/>
    <n v="91.2"/>
    <n v="82.74"/>
    <n v="0"/>
  </r>
  <r>
    <x v="68"/>
    <x v="104"/>
    <n v="91.2"/>
    <n v="73.41"/>
    <n v="0"/>
  </r>
  <r>
    <x v="69"/>
    <x v="104"/>
    <n v="91.2"/>
    <n v="84.63"/>
    <n v="276.83999999999997"/>
  </r>
  <r>
    <x v="70"/>
    <x v="104"/>
    <n v="91.2"/>
    <n v="88.67"/>
    <n v="287.69"/>
  </r>
  <r>
    <x v="71"/>
    <x v="104"/>
    <n v="91.2"/>
    <n v="57.99"/>
    <n v="273.08"/>
  </r>
  <r>
    <x v="72"/>
    <x v="104"/>
    <n v="91.2"/>
    <n v="0"/>
    <n v="0"/>
  </r>
  <r>
    <x v="73"/>
    <x v="104"/>
    <n v="91.2"/>
    <n v="0"/>
    <n v="0"/>
  </r>
  <r>
    <x v="74"/>
    <x v="104"/>
    <n v="91.2"/>
    <n v="0"/>
    <n v="0"/>
  </r>
  <r>
    <x v="75"/>
    <x v="104"/>
    <n v="91.2"/>
    <n v="0"/>
    <n v="0"/>
  </r>
  <r>
    <x v="76"/>
    <x v="104"/>
    <n v="91.2"/>
    <n v="0"/>
    <n v="0"/>
  </r>
  <r>
    <x v="77"/>
    <x v="104"/>
    <n v="91.2"/>
    <n v="0"/>
    <n v="0"/>
  </r>
  <r>
    <x v="78"/>
    <x v="104"/>
    <n v="91.2"/>
    <n v="0"/>
    <n v="0"/>
  </r>
  <r>
    <x v="79"/>
    <x v="104"/>
    <n v="91.2"/>
    <n v="0"/>
    <n v="0"/>
  </r>
  <r>
    <x v="80"/>
    <x v="104"/>
    <n v="91.2"/>
    <n v="0"/>
    <n v="0"/>
  </r>
  <r>
    <x v="81"/>
    <x v="104"/>
    <n v="91.2"/>
    <n v="0"/>
    <n v="0"/>
  </r>
  <r>
    <x v="82"/>
    <x v="104"/>
    <n v="91.2"/>
    <n v="0"/>
    <n v="0"/>
  </r>
  <r>
    <x v="83"/>
    <x v="104"/>
    <n v="91.2"/>
    <n v="0"/>
    <n v="0"/>
  </r>
  <r>
    <x v="84"/>
    <x v="104"/>
    <n v="91.2"/>
    <n v="0"/>
    <n v="0"/>
  </r>
  <r>
    <x v="85"/>
    <x v="104"/>
    <n v="91.2"/>
    <n v="0"/>
    <n v="0"/>
  </r>
  <r>
    <x v="86"/>
    <x v="104"/>
    <n v="91.2"/>
    <n v="0"/>
    <n v="0"/>
  </r>
  <r>
    <x v="87"/>
    <x v="104"/>
    <n v="91.2"/>
    <n v="0"/>
    <n v="0"/>
  </r>
  <r>
    <x v="88"/>
    <x v="104"/>
    <n v="91.2"/>
    <n v="0"/>
    <n v="0"/>
  </r>
  <r>
    <x v="89"/>
    <x v="104"/>
    <n v="91.2"/>
    <n v="0"/>
    <n v="0"/>
  </r>
  <r>
    <x v="90"/>
    <x v="104"/>
    <n v="91.2"/>
    <n v="0"/>
    <n v="0"/>
  </r>
  <r>
    <x v="91"/>
    <x v="104"/>
    <n v="91.2"/>
    <n v="0"/>
    <n v="0"/>
  </r>
  <r>
    <x v="92"/>
    <x v="104"/>
    <n v="91.2"/>
    <n v="0"/>
    <n v="0"/>
  </r>
  <r>
    <x v="93"/>
    <x v="104"/>
    <n v="91.2"/>
    <n v="0"/>
    <n v="0"/>
  </r>
  <r>
    <x v="94"/>
    <x v="104"/>
    <n v="91.2"/>
    <n v="0"/>
    <n v="0"/>
  </r>
  <r>
    <x v="95"/>
    <x v="104"/>
    <n v="91.2"/>
    <n v="0"/>
    <n v="0"/>
  </r>
  <r>
    <x v="0"/>
    <x v="105"/>
    <n v="91.5"/>
    <n v="42.79"/>
    <n v="213.14"/>
  </r>
  <r>
    <x v="1"/>
    <x v="105"/>
    <n v="91.5"/>
    <n v="38.49"/>
    <n v="164.31"/>
  </r>
  <r>
    <x v="2"/>
    <x v="105"/>
    <n v="91.5"/>
    <n v="34.47"/>
    <n v="163.52000000000001"/>
  </r>
  <r>
    <x v="3"/>
    <x v="105"/>
    <n v="91.5"/>
    <n v="31.62"/>
    <n v="162.44"/>
  </r>
  <r>
    <x v="4"/>
    <x v="105"/>
    <n v="91.5"/>
    <n v="38.6"/>
    <n v="162.15"/>
  </r>
  <r>
    <x v="5"/>
    <x v="105"/>
    <n v="91.5"/>
    <n v="34.57"/>
    <n v="165.09"/>
  </r>
  <r>
    <x v="6"/>
    <x v="105"/>
    <n v="91.5"/>
    <n v="32.85"/>
    <n v="148.55000000000001"/>
  </r>
  <r>
    <x v="7"/>
    <x v="105"/>
    <n v="91.5"/>
    <n v="37.92"/>
    <n v="166.55"/>
  </r>
  <r>
    <x v="8"/>
    <x v="105"/>
    <n v="91.5"/>
    <n v="-6.85"/>
    <n v="146.51"/>
  </r>
  <r>
    <x v="9"/>
    <x v="105"/>
    <n v="91.5"/>
    <n v="0.49"/>
    <n v="145.68"/>
  </r>
  <r>
    <x v="10"/>
    <x v="105"/>
    <n v="91.5"/>
    <n v="5.52"/>
    <n v="150.19999999999999"/>
  </r>
  <r>
    <x v="11"/>
    <x v="105"/>
    <n v="91.5"/>
    <n v="-518.32000000000005"/>
    <n v="-42.95"/>
  </r>
  <r>
    <x v="12"/>
    <x v="105"/>
    <n v="91.5"/>
    <n v="34.369999999999997"/>
    <n v="113.88"/>
  </r>
  <r>
    <x v="13"/>
    <x v="105"/>
    <n v="91.5"/>
    <n v="36.799999999999997"/>
    <n v="86.71"/>
  </r>
  <r>
    <x v="14"/>
    <x v="105"/>
    <n v="91.5"/>
    <n v="37.22"/>
    <n v="90.49"/>
  </r>
  <r>
    <x v="15"/>
    <x v="105"/>
    <n v="91.5"/>
    <n v="31.22"/>
    <n v="92.24"/>
  </r>
  <r>
    <x v="16"/>
    <x v="105"/>
    <n v="91.5"/>
    <n v="30.54"/>
    <n v="97.52"/>
  </r>
  <r>
    <x v="17"/>
    <x v="105"/>
    <n v="91.5"/>
    <n v="30.22"/>
    <n v="86.73"/>
  </r>
  <r>
    <x v="18"/>
    <x v="105"/>
    <n v="91.5"/>
    <n v="27.49"/>
    <n v="81.14"/>
  </r>
  <r>
    <x v="19"/>
    <x v="105"/>
    <n v="91.5"/>
    <n v="28.59"/>
    <n v="89.66"/>
  </r>
  <r>
    <x v="20"/>
    <x v="105"/>
    <n v="91.5"/>
    <n v="29.36"/>
    <n v="95.47"/>
  </r>
  <r>
    <x v="21"/>
    <x v="105"/>
    <n v="91.5"/>
    <n v="27.75"/>
    <n v="88.29"/>
  </r>
  <r>
    <x v="22"/>
    <x v="105"/>
    <n v="91.5"/>
    <n v="25.24"/>
    <n v="89.32"/>
  </r>
  <r>
    <x v="23"/>
    <x v="105"/>
    <n v="91.5"/>
    <n v="6.41"/>
    <n v="73.36"/>
  </r>
  <r>
    <x v="24"/>
    <x v="105"/>
    <n v="91.5"/>
    <n v="2.39"/>
    <n v="261.52"/>
  </r>
  <r>
    <x v="25"/>
    <x v="105"/>
    <n v="91.5"/>
    <n v="44.44"/>
    <n v="205.56"/>
  </r>
  <r>
    <x v="26"/>
    <x v="105"/>
    <n v="91.5"/>
    <n v="38.880000000000003"/>
    <n v="187.32"/>
  </r>
  <r>
    <x v="27"/>
    <x v="105"/>
    <n v="91.5"/>
    <n v="46.43"/>
    <n v="205.77"/>
  </r>
  <r>
    <x v="28"/>
    <x v="105"/>
    <n v="91.5"/>
    <n v="42.89"/>
    <n v="196.56"/>
  </r>
  <r>
    <x v="29"/>
    <x v="105"/>
    <n v="91.5"/>
    <n v="48.4"/>
    <n v="210.77"/>
  </r>
  <r>
    <x v="30"/>
    <x v="105"/>
    <n v="91.5"/>
    <n v="40.380000000000003"/>
    <n v="201.31"/>
  </r>
  <r>
    <x v="31"/>
    <x v="105"/>
    <n v="91.5"/>
    <n v="44.77"/>
    <n v="213.61"/>
  </r>
  <r>
    <x v="32"/>
    <x v="105"/>
    <n v="91.5"/>
    <n v="42.7"/>
    <n v="205.94"/>
  </r>
  <r>
    <x v="33"/>
    <x v="105"/>
    <n v="91.5"/>
    <n v="41.75"/>
    <n v="203.94"/>
  </r>
  <r>
    <x v="34"/>
    <x v="105"/>
    <n v="91.5"/>
    <n v="44.95"/>
    <n v="221.74"/>
  </r>
  <r>
    <x v="35"/>
    <x v="105"/>
    <n v="91.5"/>
    <n v="6.43"/>
    <n v="180.78"/>
  </r>
  <r>
    <x v="36"/>
    <x v="105"/>
    <n v="91.5"/>
    <n v="54.64"/>
    <n v="326.25"/>
  </r>
  <r>
    <x v="37"/>
    <x v="105"/>
    <n v="91.5"/>
    <n v="68.66"/>
    <n v="235.73"/>
  </r>
  <r>
    <x v="38"/>
    <x v="105"/>
    <n v="91.5"/>
    <n v="78.760000000000005"/>
    <n v="283.45"/>
  </r>
  <r>
    <x v="39"/>
    <x v="105"/>
    <n v="91.5"/>
    <n v="66.790000000000006"/>
    <n v="0"/>
  </r>
  <r>
    <x v="40"/>
    <x v="105"/>
    <n v="91.5"/>
    <n v="75.87"/>
    <n v="0"/>
  </r>
  <r>
    <x v="41"/>
    <x v="105"/>
    <n v="91.5"/>
    <n v="78.010000000000005"/>
    <n v="279.2"/>
  </r>
  <r>
    <x v="42"/>
    <x v="105"/>
    <n v="91.5"/>
    <n v="78.84"/>
    <n v="0"/>
  </r>
  <r>
    <x v="43"/>
    <x v="105"/>
    <n v="91.5"/>
    <n v="68.3"/>
    <n v="0"/>
  </r>
  <r>
    <x v="44"/>
    <x v="105"/>
    <n v="91.5"/>
    <n v="73.260000000000005"/>
    <n v="0"/>
  </r>
  <r>
    <x v="45"/>
    <x v="105"/>
    <n v="91.5"/>
    <n v="73.91"/>
    <n v="0"/>
  </r>
  <r>
    <x v="46"/>
    <x v="105"/>
    <n v="91.5"/>
    <n v="65.260000000000005"/>
    <n v="0"/>
  </r>
  <r>
    <x v="47"/>
    <x v="105"/>
    <n v="91.5"/>
    <n v="30.89"/>
    <n v="211.58"/>
  </r>
  <r>
    <x v="48"/>
    <x v="105"/>
    <n v="91.5"/>
    <n v="112"/>
    <n v="388.51"/>
  </r>
  <r>
    <x v="49"/>
    <x v="105"/>
    <n v="91.5"/>
    <n v="91.55"/>
    <n v="272.13"/>
  </r>
  <r>
    <x v="50"/>
    <x v="105"/>
    <n v="91.5"/>
    <n v="83.82"/>
    <n v="265.99"/>
  </r>
  <r>
    <x v="51"/>
    <x v="105"/>
    <n v="91.5"/>
    <n v="76.55"/>
    <n v="273.52999999999997"/>
  </r>
  <r>
    <x v="52"/>
    <x v="105"/>
    <n v="91.5"/>
    <n v="70.02"/>
    <n v="268.95"/>
  </r>
  <r>
    <x v="53"/>
    <x v="105"/>
    <n v="91.5"/>
    <n v="72.7"/>
    <n v="0"/>
  </r>
  <r>
    <x v="54"/>
    <x v="105"/>
    <n v="91.5"/>
    <n v="66.58"/>
    <n v="0"/>
  </r>
  <r>
    <x v="55"/>
    <x v="105"/>
    <n v="91.5"/>
    <n v="74.7"/>
    <n v="0"/>
  </r>
  <r>
    <x v="56"/>
    <x v="105"/>
    <n v="91.5"/>
    <n v="76.22"/>
    <n v="0"/>
  </r>
  <r>
    <x v="57"/>
    <x v="105"/>
    <n v="91.5"/>
    <n v="83.22"/>
    <n v="0"/>
  </r>
  <r>
    <x v="58"/>
    <x v="105"/>
    <n v="91.5"/>
    <n v="73.290000000000006"/>
    <n v="0"/>
  </r>
  <r>
    <x v="59"/>
    <x v="105"/>
    <n v="91.5"/>
    <n v="26.75"/>
    <n v="237.65"/>
  </r>
  <r>
    <x v="60"/>
    <x v="105"/>
    <n v="91.5"/>
    <n v="102.07"/>
    <n v="327.24"/>
  </r>
  <r>
    <x v="61"/>
    <x v="105"/>
    <n v="91.5"/>
    <n v="81.89"/>
    <n v="259.88"/>
  </r>
  <r>
    <x v="62"/>
    <x v="105"/>
    <n v="91.5"/>
    <n v="83.31"/>
    <n v="286.83999999999997"/>
  </r>
  <r>
    <x v="63"/>
    <x v="105"/>
    <n v="91.5"/>
    <n v="70.12"/>
    <n v="261.27999999999997"/>
  </r>
  <r>
    <x v="64"/>
    <x v="105"/>
    <n v="91.5"/>
    <n v="77.06"/>
    <n v="0"/>
  </r>
  <r>
    <x v="65"/>
    <x v="105"/>
    <n v="91.5"/>
    <n v="84.16"/>
    <n v="0"/>
  </r>
  <r>
    <x v="66"/>
    <x v="105"/>
    <n v="91.5"/>
    <n v="77.44"/>
    <n v="0"/>
  </r>
  <r>
    <x v="67"/>
    <x v="105"/>
    <n v="91.5"/>
    <n v="78.08"/>
    <n v="0"/>
  </r>
  <r>
    <x v="68"/>
    <x v="105"/>
    <n v="91.5"/>
    <n v="69.28"/>
    <n v="0"/>
  </r>
  <r>
    <x v="69"/>
    <x v="105"/>
    <n v="91.5"/>
    <n v="79.64"/>
    <n v="276.17"/>
  </r>
  <r>
    <x v="70"/>
    <x v="105"/>
    <n v="91.5"/>
    <n v="83.57"/>
    <n v="286.33"/>
  </r>
  <r>
    <x v="71"/>
    <x v="105"/>
    <n v="91.5"/>
    <n v="52.8"/>
    <n v="261.87"/>
  </r>
  <r>
    <x v="72"/>
    <x v="105"/>
    <n v="91.5"/>
    <n v="0"/>
    <n v="0"/>
  </r>
  <r>
    <x v="73"/>
    <x v="105"/>
    <n v="91.5"/>
    <n v="0"/>
    <n v="0"/>
  </r>
  <r>
    <x v="74"/>
    <x v="105"/>
    <n v="91.5"/>
    <n v="0"/>
    <n v="0"/>
  </r>
  <r>
    <x v="75"/>
    <x v="105"/>
    <n v="91.5"/>
    <n v="0"/>
    <n v="0"/>
  </r>
  <r>
    <x v="76"/>
    <x v="105"/>
    <n v="91.5"/>
    <n v="0"/>
    <n v="0"/>
  </r>
  <r>
    <x v="77"/>
    <x v="105"/>
    <n v="91.5"/>
    <n v="0"/>
    <n v="0"/>
  </r>
  <r>
    <x v="78"/>
    <x v="105"/>
    <n v="91.5"/>
    <n v="0"/>
    <n v="0"/>
  </r>
  <r>
    <x v="79"/>
    <x v="105"/>
    <n v="91.5"/>
    <n v="0"/>
    <n v="0"/>
  </r>
  <r>
    <x v="80"/>
    <x v="105"/>
    <n v="91.5"/>
    <n v="0"/>
    <n v="0"/>
  </r>
  <r>
    <x v="81"/>
    <x v="105"/>
    <n v="91.5"/>
    <n v="0"/>
    <n v="0"/>
  </r>
  <r>
    <x v="82"/>
    <x v="105"/>
    <n v="91.5"/>
    <n v="0"/>
    <n v="0"/>
  </r>
  <r>
    <x v="83"/>
    <x v="105"/>
    <n v="91.5"/>
    <n v="0"/>
    <n v="0"/>
  </r>
  <r>
    <x v="84"/>
    <x v="105"/>
    <n v="91.5"/>
    <n v="0"/>
    <n v="0"/>
  </r>
  <r>
    <x v="85"/>
    <x v="105"/>
    <n v="91.5"/>
    <n v="0"/>
    <n v="0"/>
  </r>
  <r>
    <x v="86"/>
    <x v="105"/>
    <n v="91.5"/>
    <n v="0"/>
    <n v="0"/>
  </r>
  <r>
    <x v="87"/>
    <x v="105"/>
    <n v="91.5"/>
    <n v="0"/>
    <n v="0"/>
  </r>
  <r>
    <x v="88"/>
    <x v="105"/>
    <n v="91.5"/>
    <n v="0"/>
    <n v="0"/>
  </r>
  <r>
    <x v="89"/>
    <x v="105"/>
    <n v="91.5"/>
    <n v="0"/>
    <n v="0"/>
  </r>
  <r>
    <x v="90"/>
    <x v="105"/>
    <n v="91.5"/>
    <n v="0"/>
    <n v="0"/>
  </r>
  <r>
    <x v="91"/>
    <x v="105"/>
    <n v="91.5"/>
    <n v="0"/>
    <n v="0"/>
  </r>
  <r>
    <x v="92"/>
    <x v="105"/>
    <n v="91.5"/>
    <n v="0"/>
    <n v="0"/>
  </r>
  <r>
    <x v="93"/>
    <x v="105"/>
    <n v="91.5"/>
    <n v="0"/>
    <n v="0"/>
  </r>
  <r>
    <x v="94"/>
    <x v="105"/>
    <n v="91.5"/>
    <n v="0"/>
    <n v="0"/>
  </r>
  <r>
    <x v="95"/>
    <x v="105"/>
    <n v="91.5"/>
    <n v="0"/>
    <n v="0"/>
  </r>
  <r>
    <x v="0"/>
    <x v="106"/>
    <n v="91.8"/>
    <n v="41.08"/>
    <n v="213.26"/>
  </r>
  <r>
    <x v="1"/>
    <x v="106"/>
    <n v="91.8"/>
    <n v="37.020000000000003"/>
    <n v="164.13"/>
  </r>
  <r>
    <x v="2"/>
    <x v="106"/>
    <n v="91.8"/>
    <n v="33.130000000000003"/>
    <n v="163.35"/>
  </r>
  <r>
    <x v="3"/>
    <x v="106"/>
    <n v="91.8"/>
    <n v="30.42"/>
    <n v="162.33000000000001"/>
  </r>
  <r>
    <x v="4"/>
    <x v="106"/>
    <n v="91.8"/>
    <n v="37.270000000000003"/>
    <n v="162.04"/>
  </r>
  <r>
    <x v="5"/>
    <x v="106"/>
    <n v="91.8"/>
    <n v="33.270000000000003"/>
    <n v="165.01"/>
  </r>
  <r>
    <x v="6"/>
    <x v="106"/>
    <n v="91.8"/>
    <n v="31.66"/>
    <n v="148.47999999999999"/>
  </r>
  <r>
    <x v="7"/>
    <x v="106"/>
    <n v="91.8"/>
    <n v="36.47"/>
    <n v="166.39"/>
  </r>
  <r>
    <x v="8"/>
    <x v="106"/>
    <n v="91.8"/>
    <n v="-8.3699999999999992"/>
    <n v="146.05000000000001"/>
  </r>
  <r>
    <x v="9"/>
    <x v="106"/>
    <n v="91.8"/>
    <n v="-1.58"/>
    <n v="145.21"/>
  </r>
  <r>
    <x v="10"/>
    <x v="106"/>
    <n v="91.8"/>
    <n v="3.48"/>
    <n v="149.94999999999999"/>
  </r>
  <r>
    <x v="11"/>
    <x v="106"/>
    <n v="91.8"/>
    <n v="-514.39"/>
    <n v="-27.33"/>
  </r>
  <r>
    <x v="12"/>
    <x v="106"/>
    <n v="91.8"/>
    <n v="34.06"/>
    <n v="114.16"/>
  </r>
  <r>
    <x v="13"/>
    <x v="106"/>
    <n v="91.8"/>
    <n v="36.47"/>
    <n v="86.69"/>
  </r>
  <r>
    <x v="14"/>
    <x v="106"/>
    <n v="91.8"/>
    <n v="36.85"/>
    <n v="90.44"/>
  </r>
  <r>
    <x v="15"/>
    <x v="106"/>
    <n v="91.8"/>
    <n v="30.92"/>
    <n v="92.27"/>
  </r>
  <r>
    <x v="16"/>
    <x v="106"/>
    <n v="91.8"/>
    <n v="30.23"/>
    <n v="97.44"/>
  </r>
  <r>
    <x v="17"/>
    <x v="106"/>
    <n v="91.8"/>
    <n v="29.92"/>
    <n v="86.7"/>
  </r>
  <r>
    <x v="18"/>
    <x v="106"/>
    <n v="91.8"/>
    <n v="27.21"/>
    <n v="81.180000000000007"/>
  </r>
  <r>
    <x v="19"/>
    <x v="106"/>
    <n v="91.8"/>
    <n v="28.29"/>
    <n v="89.65"/>
  </r>
  <r>
    <x v="20"/>
    <x v="106"/>
    <n v="91.8"/>
    <n v="29.06"/>
    <n v="95.55"/>
  </r>
  <r>
    <x v="21"/>
    <x v="106"/>
    <n v="91.8"/>
    <n v="27.51"/>
    <n v="88.11"/>
  </r>
  <r>
    <x v="22"/>
    <x v="106"/>
    <n v="91.8"/>
    <n v="25.05"/>
    <n v="89.4"/>
  </r>
  <r>
    <x v="23"/>
    <x v="106"/>
    <n v="91.8"/>
    <n v="5.82"/>
    <n v="72.78"/>
  </r>
  <r>
    <x v="24"/>
    <x v="106"/>
    <n v="91.8"/>
    <n v="2.0099999999999998"/>
    <n v="261.3"/>
  </r>
  <r>
    <x v="25"/>
    <x v="106"/>
    <n v="91.8"/>
    <n v="42.87"/>
    <n v="205.54"/>
  </r>
  <r>
    <x v="26"/>
    <x v="106"/>
    <n v="91.8"/>
    <n v="37.590000000000003"/>
    <n v="186.89"/>
  </r>
  <r>
    <x v="27"/>
    <x v="106"/>
    <n v="91.8"/>
    <n v="44.91"/>
    <n v="205.28"/>
  </r>
  <r>
    <x v="28"/>
    <x v="106"/>
    <n v="91.8"/>
    <n v="41.55"/>
    <n v="196.06"/>
  </r>
  <r>
    <x v="29"/>
    <x v="106"/>
    <n v="91.8"/>
    <n v="46.78"/>
    <n v="210.62"/>
  </r>
  <r>
    <x v="30"/>
    <x v="106"/>
    <n v="91.8"/>
    <n v="38.93"/>
    <n v="201.2"/>
  </r>
  <r>
    <x v="31"/>
    <x v="106"/>
    <n v="91.8"/>
    <n v="43.26"/>
    <n v="213.49"/>
  </r>
  <r>
    <x v="32"/>
    <x v="106"/>
    <n v="91.8"/>
    <n v="41.22"/>
    <n v="205.87"/>
  </r>
  <r>
    <x v="33"/>
    <x v="106"/>
    <n v="91.8"/>
    <n v="40.17"/>
    <n v="203.88"/>
  </r>
  <r>
    <x v="34"/>
    <x v="106"/>
    <n v="91.8"/>
    <n v="43.4"/>
    <n v="221.74"/>
  </r>
  <r>
    <x v="35"/>
    <x v="106"/>
    <n v="91.8"/>
    <n v="6.17"/>
    <n v="180.55"/>
  </r>
  <r>
    <x v="36"/>
    <x v="106"/>
    <n v="91.8"/>
    <n v="47.52"/>
    <n v="324.51"/>
  </r>
  <r>
    <x v="37"/>
    <x v="106"/>
    <n v="91.8"/>
    <n v="65.47"/>
    <n v="234.91"/>
  </r>
  <r>
    <x v="38"/>
    <x v="106"/>
    <n v="91.8"/>
    <n v="75.41"/>
    <n v="282.39"/>
  </r>
  <r>
    <x v="39"/>
    <x v="106"/>
    <n v="91.8"/>
    <n v="63.9"/>
    <n v="0"/>
  </r>
  <r>
    <x v="40"/>
    <x v="106"/>
    <n v="91.8"/>
    <n v="72.48"/>
    <n v="0"/>
  </r>
  <r>
    <x v="41"/>
    <x v="106"/>
    <n v="91.8"/>
    <n v="74.400000000000006"/>
    <n v="278.36"/>
  </r>
  <r>
    <x v="42"/>
    <x v="106"/>
    <n v="91.8"/>
    <n v="75.319999999999993"/>
    <n v="0"/>
  </r>
  <r>
    <x v="43"/>
    <x v="106"/>
    <n v="91.8"/>
    <n v="65.16"/>
    <n v="0"/>
  </r>
  <r>
    <x v="44"/>
    <x v="106"/>
    <n v="91.8"/>
    <n v="69.63"/>
    <n v="0"/>
  </r>
  <r>
    <x v="45"/>
    <x v="106"/>
    <n v="91.8"/>
    <n v="70.14"/>
    <n v="0"/>
  </r>
  <r>
    <x v="46"/>
    <x v="106"/>
    <n v="91.8"/>
    <n v="62.21"/>
    <n v="0"/>
  </r>
  <r>
    <x v="47"/>
    <x v="106"/>
    <n v="91.8"/>
    <n v="29.43"/>
    <n v="213.51"/>
  </r>
  <r>
    <x v="48"/>
    <x v="106"/>
    <n v="91.8"/>
    <n v="106.14"/>
    <n v="387.71"/>
  </r>
  <r>
    <x v="49"/>
    <x v="106"/>
    <n v="91.8"/>
    <n v="87.44"/>
    <n v="271.2"/>
  </r>
  <r>
    <x v="50"/>
    <x v="106"/>
    <n v="91.8"/>
    <n v="80.25"/>
    <n v="265.13"/>
  </r>
  <r>
    <x v="51"/>
    <x v="106"/>
    <n v="91.8"/>
    <n v="73.13"/>
    <n v="272.91000000000003"/>
  </r>
  <r>
    <x v="52"/>
    <x v="106"/>
    <n v="91.8"/>
    <n v="66.41"/>
    <n v="268.31"/>
  </r>
  <r>
    <x v="53"/>
    <x v="106"/>
    <n v="91.8"/>
    <n v="69.63"/>
    <n v="0"/>
  </r>
  <r>
    <x v="54"/>
    <x v="106"/>
    <n v="91.8"/>
    <n v="63.75"/>
    <n v="0"/>
  </r>
  <r>
    <x v="55"/>
    <x v="106"/>
    <n v="91.8"/>
    <n v="71.27"/>
    <n v="0"/>
  </r>
  <r>
    <x v="56"/>
    <x v="106"/>
    <n v="91.8"/>
    <n v="72.47"/>
    <n v="0"/>
  </r>
  <r>
    <x v="57"/>
    <x v="106"/>
    <n v="91.8"/>
    <n v="79.17"/>
    <n v="0"/>
  </r>
  <r>
    <x v="58"/>
    <x v="106"/>
    <n v="91.8"/>
    <n v="70.23"/>
    <n v="0"/>
  </r>
  <r>
    <x v="59"/>
    <x v="106"/>
    <n v="91.8"/>
    <n v="24.35"/>
    <n v="236.88"/>
  </r>
  <r>
    <x v="60"/>
    <x v="106"/>
    <n v="91.8"/>
    <n v="96.84"/>
    <n v="326.77999999999997"/>
  </r>
  <r>
    <x v="61"/>
    <x v="106"/>
    <n v="91.8"/>
    <n v="77.92"/>
    <n v="259.08"/>
  </r>
  <r>
    <x v="62"/>
    <x v="106"/>
    <n v="91.8"/>
    <n v="79.3"/>
    <n v="285.86"/>
  </r>
  <r>
    <x v="63"/>
    <x v="106"/>
    <n v="91.8"/>
    <n v="66.63"/>
    <n v="260.56"/>
  </r>
  <r>
    <x v="64"/>
    <x v="106"/>
    <n v="91.8"/>
    <n v="73.260000000000005"/>
    <n v="0"/>
  </r>
  <r>
    <x v="65"/>
    <x v="106"/>
    <n v="91.8"/>
    <n v="80.13"/>
    <n v="0"/>
  </r>
  <r>
    <x v="66"/>
    <x v="106"/>
    <n v="91.8"/>
    <n v="73.94"/>
    <n v="0"/>
  </r>
  <r>
    <x v="67"/>
    <x v="106"/>
    <n v="91.8"/>
    <n v="74.36"/>
    <n v="0"/>
  </r>
  <r>
    <x v="68"/>
    <x v="106"/>
    <n v="91.8"/>
    <n v="66.03"/>
    <n v="0"/>
  </r>
  <r>
    <x v="69"/>
    <x v="106"/>
    <n v="91.8"/>
    <n v="75.67"/>
    <n v="275.60000000000002"/>
  </r>
  <r>
    <x v="70"/>
    <x v="106"/>
    <n v="91.8"/>
    <n v="79.510000000000005"/>
    <n v="285.11"/>
  </r>
  <r>
    <x v="71"/>
    <x v="106"/>
    <n v="91.8"/>
    <n v="48.83"/>
    <n v="251.82"/>
  </r>
  <r>
    <x v="72"/>
    <x v="106"/>
    <n v="91.8"/>
    <n v="0"/>
    <n v="0"/>
  </r>
  <r>
    <x v="73"/>
    <x v="106"/>
    <n v="91.8"/>
    <n v="0"/>
    <n v="0"/>
  </r>
  <r>
    <x v="74"/>
    <x v="106"/>
    <n v="91.8"/>
    <n v="0"/>
    <n v="0"/>
  </r>
  <r>
    <x v="75"/>
    <x v="106"/>
    <n v="91.8"/>
    <n v="0"/>
    <n v="0"/>
  </r>
  <r>
    <x v="76"/>
    <x v="106"/>
    <n v="91.8"/>
    <n v="0"/>
    <n v="0"/>
  </r>
  <r>
    <x v="77"/>
    <x v="106"/>
    <n v="91.8"/>
    <n v="0"/>
    <n v="0"/>
  </r>
  <r>
    <x v="78"/>
    <x v="106"/>
    <n v="91.8"/>
    <n v="0"/>
    <n v="0"/>
  </r>
  <r>
    <x v="79"/>
    <x v="106"/>
    <n v="91.8"/>
    <n v="0"/>
    <n v="0"/>
  </r>
  <r>
    <x v="80"/>
    <x v="106"/>
    <n v="91.8"/>
    <n v="0"/>
    <n v="0"/>
  </r>
  <r>
    <x v="81"/>
    <x v="106"/>
    <n v="91.8"/>
    <n v="0"/>
    <n v="0"/>
  </r>
  <r>
    <x v="82"/>
    <x v="106"/>
    <n v="91.8"/>
    <n v="0"/>
    <n v="0"/>
  </r>
  <r>
    <x v="83"/>
    <x v="106"/>
    <n v="91.8"/>
    <n v="0"/>
    <n v="0"/>
  </r>
  <r>
    <x v="84"/>
    <x v="106"/>
    <n v="91.8"/>
    <n v="0"/>
    <n v="0"/>
  </r>
  <r>
    <x v="85"/>
    <x v="106"/>
    <n v="91.8"/>
    <n v="0"/>
    <n v="0"/>
  </r>
  <r>
    <x v="86"/>
    <x v="106"/>
    <n v="91.8"/>
    <n v="0"/>
    <n v="0"/>
  </r>
  <r>
    <x v="87"/>
    <x v="106"/>
    <n v="91.8"/>
    <n v="0"/>
    <n v="0"/>
  </r>
  <r>
    <x v="88"/>
    <x v="106"/>
    <n v="91.8"/>
    <n v="0"/>
    <n v="0"/>
  </r>
  <r>
    <x v="89"/>
    <x v="106"/>
    <n v="91.8"/>
    <n v="0"/>
    <n v="0"/>
  </r>
  <r>
    <x v="90"/>
    <x v="106"/>
    <n v="91.8"/>
    <n v="0"/>
    <n v="0"/>
  </r>
  <r>
    <x v="91"/>
    <x v="106"/>
    <n v="91.8"/>
    <n v="0"/>
    <n v="0"/>
  </r>
  <r>
    <x v="92"/>
    <x v="106"/>
    <n v="91.8"/>
    <n v="0"/>
    <n v="0"/>
  </r>
  <r>
    <x v="93"/>
    <x v="106"/>
    <n v="91.8"/>
    <n v="0"/>
    <n v="0"/>
  </r>
  <r>
    <x v="94"/>
    <x v="106"/>
    <n v="91.8"/>
    <n v="0"/>
    <n v="0"/>
  </r>
  <r>
    <x v="95"/>
    <x v="106"/>
    <n v="91.8"/>
    <n v="0"/>
    <n v="0"/>
  </r>
  <r>
    <x v="0"/>
    <x v="107"/>
    <n v="92.1"/>
    <n v="39.75"/>
    <n v="213.42"/>
  </r>
  <r>
    <x v="1"/>
    <x v="107"/>
    <n v="92.1"/>
    <n v="35.82"/>
    <n v="164"/>
  </r>
  <r>
    <x v="2"/>
    <x v="107"/>
    <n v="92.1"/>
    <n v="32.04"/>
    <n v="163.22"/>
  </r>
  <r>
    <x v="3"/>
    <x v="107"/>
    <n v="92.1"/>
    <n v="29.46"/>
    <n v="162.25"/>
  </r>
  <r>
    <x v="4"/>
    <x v="107"/>
    <n v="92.1"/>
    <n v="36.19"/>
    <n v="161.97"/>
  </r>
  <r>
    <x v="5"/>
    <x v="107"/>
    <n v="92.1"/>
    <n v="32.24"/>
    <n v="164.96"/>
  </r>
  <r>
    <x v="6"/>
    <x v="107"/>
    <n v="92.1"/>
    <n v="30.74"/>
    <n v="148.44999999999999"/>
  </r>
  <r>
    <x v="7"/>
    <x v="107"/>
    <n v="92.1"/>
    <n v="35.28"/>
    <n v="166.27"/>
  </r>
  <r>
    <x v="8"/>
    <x v="107"/>
    <n v="92.1"/>
    <n v="-9.3800000000000008"/>
    <n v="145.66"/>
  </r>
  <r>
    <x v="9"/>
    <x v="107"/>
    <n v="92.1"/>
    <n v="-3.12"/>
    <n v="144.80000000000001"/>
  </r>
  <r>
    <x v="10"/>
    <x v="107"/>
    <n v="92.1"/>
    <n v="1.91"/>
    <n v="149.75"/>
  </r>
  <r>
    <x v="11"/>
    <x v="107"/>
    <n v="92.1"/>
    <n v="-510.95"/>
    <n v="-13.06"/>
  </r>
  <r>
    <x v="12"/>
    <x v="107"/>
    <n v="92.1"/>
    <n v="33.79"/>
    <n v="114.41"/>
  </r>
  <r>
    <x v="13"/>
    <x v="107"/>
    <n v="92.1"/>
    <n v="36.18"/>
    <n v="86.69"/>
  </r>
  <r>
    <x v="14"/>
    <x v="107"/>
    <n v="92.1"/>
    <n v="36.53"/>
    <n v="90.41"/>
  </r>
  <r>
    <x v="15"/>
    <x v="107"/>
    <n v="92.1"/>
    <n v="30.66"/>
    <n v="92.31"/>
  </r>
  <r>
    <x v="16"/>
    <x v="107"/>
    <n v="92.1"/>
    <n v="29.97"/>
    <n v="97.38"/>
  </r>
  <r>
    <x v="17"/>
    <x v="107"/>
    <n v="92.1"/>
    <n v="29.67"/>
    <n v="86.7"/>
  </r>
  <r>
    <x v="18"/>
    <x v="107"/>
    <n v="92.1"/>
    <n v="26.97"/>
    <n v="81.239999999999995"/>
  </r>
  <r>
    <x v="19"/>
    <x v="107"/>
    <n v="92.1"/>
    <n v="28.04"/>
    <n v="89.65"/>
  </r>
  <r>
    <x v="20"/>
    <x v="107"/>
    <n v="92.1"/>
    <n v="28.81"/>
    <n v="95.64"/>
  </r>
  <r>
    <x v="21"/>
    <x v="107"/>
    <n v="92.1"/>
    <n v="27.3"/>
    <n v="87.95"/>
  </r>
  <r>
    <x v="22"/>
    <x v="107"/>
    <n v="92.1"/>
    <n v="24.9"/>
    <n v="89.48"/>
  </r>
  <r>
    <x v="23"/>
    <x v="107"/>
    <n v="92.1"/>
    <n v="5.28"/>
    <n v="72.2"/>
  </r>
  <r>
    <x v="24"/>
    <x v="107"/>
    <n v="92.1"/>
    <n v="2.08"/>
    <n v="261.17"/>
  </r>
  <r>
    <x v="25"/>
    <x v="107"/>
    <n v="92.1"/>
    <n v="41.64"/>
    <n v="205.57"/>
  </r>
  <r>
    <x v="26"/>
    <x v="107"/>
    <n v="92.1"/>
    <n v="36.590000000000003"/>
    <n v="186.53"/>
  </r>
  <r>
    <x v="27"/>
    <x v="107"/>
    <n v="92.1"/>
    <n v="43.71"/>
    <n v="204.87"/>
  </r>
  <r>
    <x v="28"/>
    <x v="107"/>
    <n v="92.1"/>
    <n v="40.5"/>
    <n v="195.64"/>
  </r>
  <r>
    <x v="29"/>
    <x v="107"/>
    <n v="92.1"/>
    <n v="45.52"/>
    <n v="210.52"/>
  </r>
  <r>
    <x v="30"/>
    <x v="107"/>
    <n v="92.1"/>
    <n v="37.799999999999997"/>
    <n v="201.14"/>
  </r>
  <r>
    <x v="31"/>
    <x v="107"/>
    <n v="92.1"/>
    <n v="42.07"/>
    <n v="213.42"/>
  </r>
  <r>
    <x v="32"/>
    <x v="107"/>
    <n v="92.1"/>
    <n v="40.07"/>
    <n v="205.85"/>
  </r>
  <r>
    <x v="33"/>
    <x v="107"/>
    <n v="92.1"/>
    <n v="38.94"/>
    <n v="203.87"/>
  </r>
  <r>
    <x v="34"/>
    <x v="107"/>
    <n v="92.1"/>
    <n v="42.19"/>
    <n v="221.79"/>
  </r>
  <r>
    <x v="35"/>
    <x v="107"/>
    <n v="92.1"/>
    <n v="6.15"/>
    <n v="180.37"/>
  </r>
  <r>
    <x v="36"/>
    <x v="107"/>
    <n v="92.1"/>
    <n v="41.99"/>
    <n v="323.02999999999997"/>
  </r>
  <r>
    <x v="37"/>
    <x v="107"/>
    <n v="92.1"/>
    <n v="62.97"/>
    <n v="234.21"/>
  </r>
  <r>
    <x v="38"/>
    <x v="107"/>
    <n v="92.1"/>
    <n v="72.8"/>
    <n v="281.47000000000003"/>
  </r>
  <r>
    <x v="39"/>
    <x v="107"/>
    <n v="92.1"/>
    <n v="61.64"/>
    <n v="0"/>
  </r>
  <r>
    <x v="40"/>
    <x v="107"/>
    <n v="92.1"/>
    <n v="69.84"/>
    <n v="0"/>
  </r>
  <r>
    <x v="41"/>
    <x v="107"/>
    <n v="92.1"/>
    <n v="71.56"/>
    <n v="277.66000000000003"/>
  </r>
  <r>
    <x v="42"/>
    <x v="107"/>
    <n v="92.1"/>
    <n v="72.56"/>
    <n v="0"/>
  </r>
  <r>
    <x v="43"/>
    <x v="107"/>
    <n v="92.1"/>
    <n v="62.7"/>
    <n v="0"/>
  </r>
  <r>
    <x v="44"/>
    <x v="107"/>
    <n v="92.1"/>
    <n v="66.78"/>
    <n v="0"/>
  </r>
  <r>
    <x v="45"/>
    <x v="107"/>
    <n v="92.1"/>
    <n v="67.180000000000007"/>
    <n v="0"/>
  </r>
  <r>
    <x v="46"/>
    <x v="107"/>
    <n v="92.1"/>
    <n v="59.81"/>
    <n v="0"/>
  </r>
  <r>
    <x v="47"/>
    <x v="107"/>
    <n v="92.1"/>
    <n v="28.4"/>
    <n v="214.43"/>
  </r>
  <r>
    <x v="48"/>
    <x v="107"/>
    <n v="92.1"/>
    <n v="101.51"/>
    <n v="387.06"/>
  </r>
  <r>
    <x v="49"/>
    <x v="107"/>
    <n v="92.1"/>
    <n v="84.19"/>
    <n v="270.39999999999998"/>
  </r>
  <r>
    <x v="50"/>
    <x v="107"/>
    <n v="92.1"/>
    <n v="77.42"/>
    <n v="264.39999999999998"/>
  </r>
  <r>
    <x v="51"/>
    <x v="107"/>
    <n v="92.1"/>
    <n v="70.45"/>
    <n v="272.39"/>
  </r>
  <r>
    <x v="52"/>
    <x v="107"/>
    <n v="92.1"/>
    <n v="63.57"/>
    <n v="267.77"/>
  </r>
  <r>
    <x v="53"/>
    <x v="107"/>
    <n v="92.1"/>
    <n v="67.25"/>
    <n v="0"/>
  </r>
  <r>
    <x v="54"/>
    <x v="107"/>
    <n v="92.1"/>
    <n v="61.52"/>
    <n v="0"/>
  </r>
  <r>
    <x v="55"/>
    <x v="107"/>
    <n v="92.1"/>
    <n v="68.59"/>
    <n v="0"/>
  </r>
  <r>
    <x v="56"/>
    <x v="107"/>
    <n v="92.1"/>
    <n v="69.53"/>
    <n v="0"/>
  </r>
  <r>
    <x v="57"/>
    <x v="107"/>
    <n v="92.1"/>
    <n v="75.98"/>
    <n v="0"/>
  </r>
  <r>
    <x v="58"/>
    <x v="107"/>
    <n v="92.1"/>
    <n v="67.819999999999993"/>
    <n v="0"/>
  </r>
  <r>
    <x v="59"/>
    <x v="107"/>
    <n v="92.1"/>
    <n v="22.74"/>
    <n v="236.29"/>
  </r>
  <r>
    <x v="60"/>
    <x v="107"/>
    <n v="92.1"/>
    <n v="92.7"/>
    <n v="326.43"/>
  </r>
  <r>
    <x v="61"/>
    <x v="107"/>
    <n v="92.1"/>
    <n v="74.77"/>
    <n v="258.39"/>
  </r>
  <r>
    <x v="62"/>
    <x v="107"/>
    <n v="92.1"/>
    <n v="76.13"/>
    <n v="285.01"/>
  </r>
  <r>
    <x v="63"/>
    <x v="107"/>
    <n v="92.1"/>
    <n v="63.88"/>
    <n v="259.93"/>
  </r>
  <r>
    <x v="64"/>
    <x v="107"/>
    <n v="92.1"/>
    <n v="70.27"/>
    <n v="0"/>
  </r>
  <r>
    <x v="65"/>
    <x v="107"/>
    <n v="92.1"/>
    <n v="76.989999999999995"/>
    <n v="0"/>
  </r>
  <r>
    <x v="66"/>
    <x v="107"/>
    <n v="92.1"/>
    <n v="71.2"/>
    <n v="0"/>
  </r>
  <r>
    <x v="67"/>
    <x v="107"/>
    <n v="92.1"/>
    <n v="71.42"/>
    <n v="0"/>
  </r>
  <r>
    <x v="68"/>
    <x v="107"/>
    <n v="92.1"/>
    <n v="63.5"/>
    <n v="0"/>
  </r>
  <r>
    <x v="69"/>
    <x v="107"/>
    <n v="92.1"/>
    <n v="72.569999999999993"/>
    <n v="275.14"/>
  </r>
  <r>
    <x v="70"/>
    <x v="107"/>
    <n v="92.1"/>
    <n v="76.3"/>
    <n v="284.05"/>
  </r>
  <r>
    <x v="71"/>
    <x v="107"/>
    <n v="92.1"/>
    <n v="45.85"/>
    <n v="243.52"/>
  </r>
  <r>
    <x v="72"/>
    <x v="107"/>
    <n v="92.1"/>
    <n v="0"/>
    <n v="0"/>
  </r>
  <r>
    <x v="73"/>
    <x v="107"/>
    <n v="92.1"/>
    <n v="0"/>
    <n v="0"/>
  </r>
  <r>
    <x v="74"/>
    <x v="107"/>
    <n v="92.1"/>
    <n v="0"/>
    <n v="0"/>
  </r>
  <r>
    <x v="75"/>
    <x v="107"/>
    <n v="92.1"/>
    <n v="0"/>
    <n v="0"/>
  </r>
  <r>
    <x v="76"/>
    <x v="107"/>
    <n v="92.1"/>
    <n v="0"/>
    <n v="0"/>
  </r>
  <r>
    <x v="77"/>
    <x v="107"/>
    <n v="92.1"/>
    <n v="0"/>
    <n v="0"/>
  </r>
  <r>
    <x v="78"/>
    <x v="107"/>
    <n v="92.1"/>
    <n v="0"/>
    <n v="0"/>
  </r>
  <r>
    <x v="79"/>
    <x v="107"/>
    <n v="92.1"/>
    <n v="0"/>
    <n v="0"/>
  </r>
  <r>
    <x v="80"/>
    <x v="107"/>
    <n v="92.1"/>
    <n v="0"/>
    <n v="0"/>
  </r>
  <r>
    <x v="81"/>
    <x v="107"/>
    <n v="92.1"/>
    <n v="0"/>
    <n v="0"/>
  </r>
  <r>
    <x v="82"/>
    <x v="107"/>
    <n v="92.1"/>
    <n v="0"/>
    <n v="0"/>
  </r>
  <r>
    <x v="83"/>
    <x v="107"/>
    <n v="92.1"/>
    <n v="0"/>
    <n v="0"/>
  </r>
  <r>
    <x v="84"/>
    <x v="107"/>
    <n v="92.1"/>
    <n v="0"/>
    <n v="0"/>
  </r>
  <r>
    <x v="85"/>
    <x v="107"/>
    <n v="92.1"/>
    <n v="0"/>
    <n v="0"/>
  </r>
  <r>
    <x v="86"/>
    <x v="107"/>
    <n v="92.1"/>
    <n v="0"/>
    <n v="0"/>
  </r>
  <r>
    <x v="87"/>
    <x v="107"/>
    <n v="92.1"/>
    <n v="0"/>
    <n v="0"/>
  </r>
  <r>
    <x v="88"/>
    <x v="107"/>
    <n v="92.1"/>
    <n v="0"/>
    <n v="0"/>
  </r>
  <r>
    <x v="89"/>
    <x v="107"/>
    <n v="92.1"/>
    <n v="0"/>
    <n v="0"/>
  </r>
  <r>
    <x v="90"/>
    <x v="107"/>
    <n v="92.1"/>
    <n v="0"/>
    <n v="0"/>
  </r>
  <r>
    <x v="91"/>
    <x v="107"/>
    <n v="92.1"/>
    <n v="0"/>
    <n v="0"/>
  </r>
  <r>
    <x v="92"/>
    <x v="107"/>
    <n v="92.1"/>
    <n v="0"/>
    <n v="0"/>
  </r>
  <r>
    <x v="93"/>
    <x v="107"/>
    <n v="92.1"/>
    <n v="0"/>
    <n v="0"/>
  </r>
  <r>
    <x v="94"/>
    <x v="107"/>
    <n v="92.1"/>
    <n v="0"/>
    <n v="0"/>
  </r>
  <r>
    <x v="95"/>
    <x v="107"/>
    <n v="92.1"/>
    <n v="0"/>
    <n v="0"/>
  </r>
  <r>
    <x v="0"/>
    <x v="108"/>
    <n v="92.4"/>
    <n v="38.72"/>
    <n v="213.62"/>
  </r>
  <r>
    <x v="1"/>
    <x v="108"/>
    <n v="92.4"/>
    <n v="34.869999999999997"/>
    <n v="163.9"/>
  </r>
  <r>
    <x v="2"/>
    <x v="108"/>
    <n v="92.4"/>
    <n v="31.18"/>
    <n v="163.12"/>
  </r>
  <r>
    <x v="3"/>
    <x v="108"/>
    <n v="92.4"/>
    <n v="28.73"/>
    <n v="162.22"/>
  </r>
  <r>
    <x v="4"/>
    <x v="108"/>
    <n v="92.4"/>
    <n v="35.32"/>
    <n v="161.94"/>
  </r>
  <r>
    <x v="5"/>
    <x v="108"/>
    <n v="92.4"/>
    <n v="31.46"/>
    <n v="164.96"/>
  </r>
  <r>
    <x v="6"/>
    <x v="108"/>
    <n v="92.4"/>
    <n v="30.05"/>
    <n v="148.46"/>
  </r>
  <r>
    <x v="7"/>
    <x v="108"/>
    <n v="92.4"/>
    <n v="34.31"/>
    <n v="166.2"/>
  </r>
  <r>
    <x v="8"/>
    <x v="108"/>
    <n v="92.4"/>
    <n v="-9.99"/>
    <n v="145.34"/>
  </r>
  <r>
    <x v="9"/>
    <x v="108"/>
    <n v="92.4"/>
    <n v="-4.24"/>
    <n v="144.46"/>
  </r>
  <r>
    <x v="10"/>
    <x v="108"/>
    <n v="92.4"/>
    <n v="0.73"/>
    <n v="149.6"/>
  </r>
  <r>
    <x v="11"/>
    <x v="108"/>
    <n v="92.4"/>
    <n v="-507.95"/>
    <n v="-0.03"/>
  </r>
  <r>
    <x v="12"/>
    <x v="108"/>
    <n v="92.4"/>
    <n v="33.56"/>
    <n v="114.66"/>
  </r>
  <r>
    <x v="13"/>
    <x v="108"/>
    <n v="92.4"/>
    <n v="35.94"/>
    <n v="86.7"/>
  </r>
  <r>
    <x v="14"/>
    <x v="108"/>
    <n v="92.4"/>
    <n v="36.25"/>
    <n v="90.39"/>
  </r>
  <r>
    <x v="15"/>
    <x v="108"/>
    <n v="92.4"/>
    <n v="30.44"/>
    <n v="92.36"/>
  </r>
  <r>
    <x v="16"/>
    <x v="108"/>
    <n v="92.4"/>
    <n v="29.75"/>
    <n v="97.34"/>
  </r>
  <r>
    <x v="17"/>
    <x v="108"/>
    <n v="92.4"/>
    <n v="29.45"/>
    <n v="86.7"/>
  </r>
  <r>
    <x v="18"/>
    <x v="108"/>
    <n v="92.4"/>
    <n v="26.77"/>
    <n v="81.3"/>
  </r>
  <r>
    <x v="19"/>
    <x v="108"/>
    <n v="92.4"/>
    <n v="27.83"/>
    <n v="89.67"/>
  </r>
  <r>
    <x v="20"/>
    <x v="108"/>
    <n v="92.4"/>
    <n v="28.59"/>
    <n v="95.74"/>
  </r>
  <r>
    <x v="21"/>
    <x v="108"/>
    <n v="92.4"/>
    <n v="27.13"/>
    <n v="87.81"/>
  </r>
  <r>
    <x v="22"/>
    <x v="108"/>
    <n v="92.4"/>
    <n v="24.78"/>
    <n v="89.58"/>
  </r>
  <r>
    <x v="23"/>
    <x v="108"/>
    <n v="92.4"/>
    <n v="4.79"/>
    <n v="71.63"/>
  </r>
  <r>
    <x v="24"/>
    <x v="108"/>
    <n v="92.4"/>
    <n v="2.4700000000000002"/>
    <n v="261.12"/>
  </r>
  <r>
    <x v="25"/>
    <x v="108"/>
    <n v="92.4"/>
    <n v="40.68"/>
    <n v="205.64"/>
  </r>
  <r>
    <x v="26"/>
    <x v="108"/>
    <n v="92.4"/>
    <n v="35.85"/>
    <n v="186.24"/>
  </r>
  <r>
    <x v="27"/>
    <x v="108"/>
    <n v="92.4"/>
    <n v="42.78"/>
    <n v="204.54"/>
  </r>
  <r>
    <x v="28"/>
    <x v="108"/>
    <n v="92.4"/>
    <n v="39.700000000000003"/>
    <n v="195.31"/>
  </r>
  <r>
    <x v="29"/>
    <x v="108"/>
    <n v="92.4"/>
    <n v="44.56"/>
    <n v="210.47"/>
  </r>
  <r>
    <x v="30"/>
    <x v="108"/>
    <n v="92.4"/>
    <n v="36.950000000000003"/>
    <n v="201.11"/>
  </r>
  <r>
    <x v="31"/>
    <x v="108"/>
    <n v="92.4"/>
    <n v="41.15"/>
    <n v="213.4"/>
  </r>
  <r>
    <x v="32"/>
    <x v="108"/>
    <n v="92.4"/>
    <n v="39.200000000000003"/>
    <n v="205.86"/>
  </r>
  <r>
    <x v="33"/>
    <x v="108"/>
    <n v="92.4"/>
    <n v="38.01"/>
    <n v="203.9"/>
  </r>
  <r>
    <x v="34"/>
    <x v="108"/>
    <n v="92.4"/>
    <n v="41.29"/>
    <n v="221.87"/>
  </r>
  <r>
    <x v="35"/>
    <x v="108"/>
    <n v="92.4"/>
    <n v="6.3"/>
    <n v="180.25"/>
  </r>
  <r>
    <x v="36"/>
    <x v="108"/>
    <n v="92.4"/>
    <n v="37.78"/>
    <n v="321.8"/>
  </r>
  <r>
    <x v="37"/>
    <x v="108"/>
    <n v="92.4"/>
    <n v="61.03"/>
    <n v="233.61"/>
  </r>
  <r>
    <x v="38"/>
    <x v="108"/>
    <n v="92.4"/>
    <n v="70.81"/>
    <n v="280.68"/>
  </r>
  <r>
    <x v="39"/>
    <x v="108"/>
    <n v="92.4"/>
    <n v="59.9"/>
    <n v="0"/>
  </r>
  <r>
    <x v="40"/>
    <x v="108"/>
    <n v="92.4"/>
    <n v="67.83"/>
    <n v="0"/>
  </r>
  <r>
    <x v="41"/>
    <x v="108"/>
    <n v="92.4"/>
    <n v="69.37"/>
    <n v="277.08"/>
  </r>
  <r>
    <x v="42"/>
    <x v="108"/>
    <n v="92.4"/>
    <n v="70.45"/>
    <n v="0"/>
  </r>
  <r>
    <x v="43"/>
    <x v="108"/>
    <n v="92.4"/>
    <n v="60.81"/>
    <n v="0"/>
  </r>
  <r>
    <x v="44"/>
    <x v="108"/>
    <n v="92.4"/>
    <n v="64.58"/>
    <n v="0"/>
  </r>
  <r>
    <x v="45"/>
    <x v="108"/>
    <n v="92.4"/>
    <n v="64.900000000000006"/>
    <n v="0"/>
  </r>
  <r>
    <x v="46"/>
    <x v="108"/>
    <n v="92.4"/>
    <n v="57.96"/>
    <n v="0"/>
  </r>
  <r>
    <x v="47"/>
    <x v="108"/>
    <n v="92.4"/>
    <n v="27.71"/>
    <n v="214.55"/>
  </r>
  <r>
    <x v="48"/>
    <x v="108"/>
    <n v="92.4"/>
    <n v="97.92"/>
    <n v="386.54"/>
  </r>
  <r>
    <x v="49"/>
    <x v="108"/>
    <n v="92.4"/>
    <n v="81.680000000000007"/>
    <n v="269.72000000000003"/>
  </r>
  <r>
    <x v="50"/>
    <x v="108"/>
    <n v="92.4"/>
    <n v="75.23"/>
    <n v="263.79000000000002"/>
  </r>
  <r>
    <x v="51"/>
    <x v="108"/>
    <n v="92.4"/>
    <n v="68.39"/>
    <n v="271.95999999999998"/>
  </r>
  <r>
    <x v="52"/>
    <x v="108"/>
    <n v="92.4"/>
    <n v="61.39"/>
    <n v="267.33999999999997"/>
  </r>
  <r>
    <x v="53"/>
    <x v="108"/>
    <n v="92.4"/>
    <n v="65.45"/>
    <n v="0"/>
  </r>
  <r>
    <x v="54"/>
    <x v="108"/>
    <n v="92.4"/>
    <n v="59.81"/>
    <n v="0"/>
  </r>
  <r>
    <x v="55"/>
    <x v="108"/>
    <n v="92.4"/>
    <n v="66.53"/>
    <n v="0"/>
  </r>
  <r>
    <x v="56"/>
    <x v="108"/>
    <n v="92.4"/>
    <n v="67.260000000000005"/>
    <n v="0"/>
  </r>
  <r>
    <x v="57"/>
    <x v="108"/>
    <n v="92.4"/>
    <n v="73.5"/>
    <n v="0"/>
  </r>
  <r>
    <x v="58"/>
    <x v="108"/>
    <n v="92.4"/>
    <n v="65.959999999999994"/>
    <n v="0"/>
  </r>
  <r>
    <x v="59"/>
    <x v="108"/>
    <n v="92.4"/>
    <n v="21.74"/>
    <n v="235.86"/>
  </r>
  <r>
    <x v="60"/>
    <x v="108"/>
    <n v="92.4"/>
    <n v="89.47"/>
    <n v="326.19"/>
  </r>
  <r>
    <x v="61"/>
    <x v="108"/>
    <n v="92.4"/>
    <n v="72.33"/>
    <n v="257.81"/>
  </r>
  <r>
    <x v="62"/>
    <x v="108"/>
    <n v="92.4"/>
    <n v="73.67"/>
    <n v="284.3"/>
  </r>
  <r>
    <x v="63"/>
    <x v="108"/>
    <n v="92.4"/>
    <n v="61.77"/>
    <n v="259.41000000000003"/>
  </r>
  <r>
    <x v="64"/>
    <x v="108"/>
    <n v="92.4"/>
    <n v="67.97"/>
    <n v="0"/>
  </r>
  <r>
    <x v="65"/>
    <x v="108"/>
    <n v="92.4"/>
    <n v="74.569999999999993"/>
    <n v="0"/>
  </r>
  <r>
    <x v="66"/>
    <x v="108"/>
    <n v="92.4"/>
    <n v="69.099999999999994"/>
    <n v="0"/>
  </r>
  <r>
    <x v="67"/>
    <x v="108"/>
    <n v="92.4"/>
    <n v="69.14"/>
    <n v="0"/>
  </r>
  <r>
    <x v="68"/>
    <x v="108"/>
    <n v="92.4"/>
    <n v="61.57"/>
    <n v="0"/>
  </r>
  <r>
    <x v="69"/>
    <x v="108"/>
    <n v="92.4"/>
    <n v="70.180000000000007"/>
    <n v="274.77999999999997"/>
  </r>
  <r>
    <x v="70"/>
    <x v="108"/>
    <n v="92.4"/>
    <n v="73.819999999999993"/>
    <n v="283.12"/>
  </r>
  <r>
    <x v="71"/>
    <x v="108"/>
    <n v="92.4"/>
    <n v="43.67"/>
    <n v="237.27"/>
  </r>
  <r>
    <x v="72"/>
    <x v="108"/>
    <n v="92.4"/>
    <n v="0"/>
    <n v="0"/>
  </r>
  <r>
    <x v="73"/>
    <x v="108"/>
    <n v="92.4"/>
    <n v="0"/>
    <n v="0"/>
  </r>
  <r>
    <x v="74"/>
    <x v="108"/>
    <n v="92.4"/>
    <n v="0"/>
    <n v="0"/>
  </r>
  <r>
    <x v="75"/>
    <x v="108"/>
    <n v="92.4"/>
    <n v="0"/>
    <n v="0"/>
  </r>
  <r>
    <x v="76"/>
    <x v="108"/>
    <n v="92.4"/>
    <n v="0"/>
    <n v="0"/>
  </r>
  <r>
    <x v="77"/>
    <x v="108"/>
    <n v="92.4"/>
    <n v="0"/>
    <n v="0"/>
  </r>
  <r>
    <x v="78"/>
    <x v="108"/>
    <n v="92.4"/>
    <n v="0"/>
    <n v="0"/>
  </r>
  <r>
    <x v="79"/>
    <x v="108"/>
    <n v="92.4"/>
    <n v="0"/>
    <n v="0"/>
  </r>
  <r>
    <x v="80"/>
    <x v="108"/>
    <n v="92.4"/>
    <n v="0"/>
    <n v="0"/>
  </r>
  <r>
    <x v="81"/>
    <x v="108"/>
    <n v="92.4"/>
    <n v="0"/>
    <n v="0"/>
  </r>
  <r>
    <x v="82"/>
    <x v="108"/>
    <n v="92.4"/>
    <n v="0"/>
    <n v="0"/>
  </r>
  <r>
    <x v="83"/>
    <x v="108"/>
    <n v="92.4"/>
    <n v="0"/>
    <n v="0"/>
  </r>
  <r>
    <x v="84"/>
    <x v="108"/>
    <n v="92.4"/>
    <n v="0"/>
    <n v="0"/>
  </r>
  <r>
    <x v="85"/>
    <x v="108"/>
    <n v="92.4"/>
    <n v="0"/>
    <n v="0"/>
  </r>
  <r>
    <x v="86"/>
    <x v="108"/>
    <n v="92.4"/>
    <n v="0"/>
    <n v="0"/>
  </r>
  <r>
    <x v="87"/>
    <x v="108"/>
    <n v="92.4"/>
    <n v="0"/>
    <n v="0"/>
  </r>
  <r>
    <x v="88"/>
    <x v="108"/>
    <n v="92.4"/>
    <n v="0"/>
    <n v="0"/>
  </r>
  <r>
    <x v="89"/>
    <x v="108"/>
    <n v="92.4"/>
    <n v="0"/>
    <n v="0"/>
  </r>
  <r>
    <x v="90"/>
    <x v="108"/>
    <n v="92.4"/>
    <n v="0"/>
    <n v="0"/>
  </r>
  <r>
    <x v="91"/>
    <x v="108"/>
    <n v="92.4"/>
    <n v="0"/>
    <n v="0"/>
  </r>
  <r>
    <x v="92"/>
    <x v="108"/>
    <n v="92.4"/>
    <n v="0"/>
    <n v="0"/>
  </r>
  <r>
    <x v="93"/>
    <x v="108"/>
    <n v="92.4"/>
    <n v="0"/>
    <n v="0"/>
  </r>
  <r>
    <x v="94"/>
    <x v="108"/>
    <n v="92.4"/>
    <n v="0"/>
    <n v="0"/>
  </r>
  <r>
    <x v="95"/>
    <x v="108"/>
    <n v="92.4"/>
    <n v="0"/>
    <n v="0"/>
  </r>
  <r>
    <x v="0"/>
    <x v="109"/>
    <n v="92.7"/>
    <n v="37.950000000000003"/>
    <n v="213.85"/>
  </r>
  <r>
    <x v="1"/>
    <x v="109"/>
    <n v="92.7"/>
    <n v="34.14"/>
    <n v="163.85"/>
  </r>
  <r>
    <x v="2"/>
    <x v="109"/>
    <n v="92.7"/>
    <n v="30.51"/>
    <n v="163.06"/>
  </r>
  <r>
    <x v="3"/>
    <x v="109"/>
    <n v="92.7"/>
    <n v="28.19"/>
    <n v="162.22"/>
  </r>
  <r>
    <x v="4"/>
    <x v="109"/>
    <n v="92.7"/>
    <n v="34.630000000000003"/>
    <n v="161.94"/>
  </r>
  <r>
    <x v="5"/>
    <x v="109"/>
    <n v="92.7"/>
    <n v="30.88"/>
    <n v="164.99"/>
  </r>
  <r>
    <x v="6"/>
    <x v="109"/>
    <n v="92.7"/>
    <n v="29.56"/>
    <n v="148.5"/>
  </r>
  <r>
    <x v="7"/>
    <x v="109"/>
    <n v="92.7"/>
    <n v="33.549999999999997"/>
    <n v="166.16"/>
  </r>
  <r>
    <x v="8"/>
    <x v="109"/>
    <n v="92.7"/>
    <n v="-10.29"/>
    <n v="145.07"/>
  </r>
  <r>
    <x v="9"/>
    <x v="109"/>
    <n v="92.7"/>
    <n v="-5.01"/>
    <n v="144.16999999999999"/>
  </r>
  <r>
    <x v="10"/>
    <x v="109"/>
    <n v="92.7"/>
    <n v="-0.12"/>
    <n v="149.49"/>
  </r>
  <r>
    <x v="11"/>
    <x v="109"/>
    <n v="92.7"/>
    <n v="-505.34"/>
    <n v="11.85"/>
  </r>
  <r>
    <x v="12"/>
    <x v="109"/>
    <n v="92.7"/>
    <n v="33.380000000000003"/>
    <n v="114.9"/>
  </r>
  <r>
    <x v="13"/>
    <x v="109"/>
    <n v="92.7"/>
    <n v="35.729999999999997"/>
    <n v="86.74"/>
  </r>
  <r>
    <x v="14"/>
    <x v="109"/>
    <n v="92.7"/>
    <n v="36.01"/>
    <n v="90.39"/>
  </r>
  <r>
    <x v="15"/>
    <x v="109"/>
    <n v="92.7"/>
    <n v="30.26"/>
    <n v="92.42"/>
  </r>
  <r>
    <x v="16"/>
    <x v="109"/>
    <n v="92.7"/>
    <n v="29.56"/>
    <n v="97.32"/>
  </r>
  <r>
    <x v="17"/>
    <x v="109"/>
    <n v="92.7"/>
    <n v="29.26"/>
    <n v="86.73"/>
  </r>
  <r>
    <x v="18"/>
    <x v="109"/>
    <n v="92.7"/>
    <n v="26.6"/>
    <n v="81.38"/>
  </r>
  <r>
    <x v="19"/>
    <x v="109"/>
    <n v="92.7"/>
    <n v="27.65"/>
    <n v="89.7"/>
  </r>
  <r>
    <x v="20"/>
    <x v="109"/>
    <n v="92.7"/>
    <n v="28.41"/>
    <n v="95.85"/>
  </r>
  <r>
    <x v="21"/>
    <x v="109"/>
    <n v="92.7"/>
    <n v="26.99"/>
    <n v="87.7"/>
  </r>
  <r>
    <x v="22"/>
    <x v="109"/>
    <n v="92.7"/>
    <n v="24.68"/>
    <n v="89.69"/>
  </r>
  <r>
    <x v="23"/>
    <x v="109"/>
    <n v="92.7"/>
    <n v="4.3600000000000003"/>
    <n v="71.069999999999993"/>
  </r>
  <r>
    <x v="24"/>
    <x v="109"/>
    <n v="92.7"/>
    <n v="3.1"/>
    <n v="261.13"/>
  </r>
  <r>
    <x v="25"/>
    <x v="109"/>
    <n v="92.7"/>
    <n v="39.97"/>
    <n v="205.75"/>
  </r>
  <r>
    <x v="26"/>
    <x v="109"/>
    <n v="92.7"/>
    <n v="35.32"/>
    <n v="186.01"/>
  </r>
  <r>
    <x v="27"/>
    <x v="109"/>
    <n v="92.7"/>
    <n v="42.09"/>
    <n v="204.29"/>
  </r>
  <r>
    <x v="28"/>
    <x v="109"/>
    <n v="92.7"/>
    <n v="39.119999999999997"/>
    <n v="195.05"/>
  </r>
  <r>
    <x v="29"/>
    <x v="109"/>
    <n v="92.7"/>
    <n v="43.85"/>
    <n v="210.47"/>
  </r>
  <r>
    <x v="30"/>
    <x v="109"/>
    <n v="92.7"/>
    <n v="36.340000000000003"/>
    <n v="201.13"/>
  </r>
  <r>
    <x v="31"/>
    <x v="109"/>
    <n v="92.7"/>
    <n v="40.479999999999997"/>
    <n v="213.41"/>
  </r>
  <r>
    <x v="32"/>
    <x v="109"/>
    <n v="92.7"/>
    <n v="38.57"/>
    <n v="205.92"/>
  </r>
  <r>
    <x v="33"/>
    <x v="109"/>
    <n v="92.7"/>
    <n v="37.340000000000003"/>
    <n v="203.96"/>
  </r>
  <r>
    <x v="34"/>
    <x v="109"/>
    <n v="92.7"/>
    <n v="40.630000000000003"/>
    <n v="221.99"/>
  </r>
  <r>
    <x v="35"/>
    <x v="109"/>
    <n v="92.7"/>
    <n v="6.6"/>
    <n v="180.18"/>
  </r>
  <r>
    <x v="36"/>
    <x v="109"/>
    <n v="92.7"/>
    <n v="34.65"/>
    <n v="320.77999999999997"/>
  </r>
  <r>
    <x v="37"/>
    <x v="109"/>
    <n v="92.7"/>
    <n v="59.57"/>
    <n v="233.13"/>
  </r>
  <r>
    <x v="38"/>
    <x v="109"/>
    <n v="92.7"/>
    <n v="69.33"/>
    <n v="280.02999999999997"/>
  </r>
  <r>
    <x v="39"/>
    <x v="109"/>
    <n v="92.7"/>
    <n v="58.6"/>
    <n v="0"/>
  </r>
  <r>
    <x v="40"/>
    <x v="109"/>
    <n v="92.7"/>
    <n v="66.33"/>
    <n v="0"/>
  </r>
  <r>
    <x v="41"/>
    <x v="109"/>
    <n v="92.7"/>
    <n v="67.73"/>
    <n v="276.63"/>
  </r>
  <r>
    <x v="42"/>
    <x v="109"/>
    <n v="92.7"/>
    <n v="68.88"/>
    <n v="0"/>
  </r>
  <r>
    <x v="43"/>
    <x v="109"/>
    <n v="92.7"/>
    <n v="59.4"/>
    <n v="0"/>
  </r>
  <r>
    <x v="44"/>
    <x v="109"/>
    <n v="92.7"/>
    <n v="62.93"/>
    <n v="0"/>
  </r>
  <r>
    <x v="45"/>
    <x v="109"/>
    <n v="92.7"/>
    <n v="63.19"/>
    <n v="0"/>
  </r>
  <r>
    <x v="46"/>
    <x v="109"/>
    <n v="92.7"/>
    <n v="56.57"/>
    <n v="0"/>
  </r>
  <r>
    <x v="47"/>
    <x v="109"/>
    <n v="92.7"/>
    <n v="27.3"/>
    <n v="214.12"/>
  </r>
  <r>
    <x v="48"/>
    <x v="109"/>
    <n v="92.7"/>
    <n v="95.2"/>
    <n v="386.15"/>
  </r>
  <r>
    <x v="49"/>
    <x v="109"/>
    <n v="92.7"/>
    <n v="79.78"/>
    <n v="269.16000000000003"/>
  </r>
  <r>
    <x v="50"/>
    <x v="109"/>
    <n v="92.7"/>
    <n v="73.56"/>
    <n v="263.31"/>
  </r>
  <r>
    <x v="51"/>
    <x v="109"/>
    <n v="92.7"/>
    <n v="66.849999999999994"/>
    <n v="271.64"/>
  </r>
  <r>
    <x v="52"/>
    <x v="109"/>
    <n v="92.7"/>
    <n v="59.74"/>
    <n v="267.01"/>
  </r>
  <r>
    <x v="53"/>
    <x v="109"/>
    <n v="92.7"/>
    <n v="64.14"/>
    <n v="0"/>
  </r>
  <r>
    <x v="54"/>
    <x v="109"/>
    <n v="92.7"/>
    <n v="58.53"/>
    <n v="0"/>
  </r>
  <r>
    <x v="55"/>
    <x v="109"/>
    <n v="92.7"/>
    <n v="64.989999999999995"/>
    <n v="0"/>
  </r>
  <r>
    <x v="56"/>
    <x v="109"/>
    <n v="92.7"/>
    <n v="65.55"/>
    <n v="0"/>
  </r>
  <r>
    <x v="57"/>
    <x v="109"/>
    <n v="92.7"/>
    <n v="71.63"/>
    <n v="0"/>
  </r>
  <r>
    <x v="58"/>
    <x v="109"/>
    <n v="92.7"/>
    <n v="64.569999999999993"/>
    <n v="0"/>
  </r>
  <r>
    <x v="59"/>
    <x v="109"/>
    <n v="92.7"/>
    <n v="21.22"/>
    <n v="235.55"/>
  </r>
  <r>
    <x v="60"/>
    <x v="109"/>
    <n v="92.7"/>
    <n v="87"/>
    <n v="326.05"/>
  </r>
  <r>
    <x v="61"/>
    <x v="109"/>
    <n v="92.7"/>
    <n v="70.47"/>
    <n v="257.33999999999997"/>
  </r>
  <r>
    <x v="62"/>
    <x v="109"/>
    <n v="92.7"/>
    <n v="71.8"/>
    <n v="283.72000000000003"/>
  </r>
  <r>
    <x v="63"/>
    <x v="109"/>
    <n v="92.7"/>
    <n v="60.17"/>
    <n v="259"/>
  </r>
  <r>
    <x v="64"/>
    <x v="109"/>
    <n v="92.7"/>
    <n v="66.23"/>
    <n v="0"/>
  </r>
  <r>
    <x v="65"/>
    <x v="109"/>
    <n v="92.7"/>
    <n v="72.760000000000005"/>
    <n v="0"/>
  </r>
  <r>
    <x v="66"/>
    <x v="109"/>
    <n v="92.7"/>
    <n v="67.53"/>
    <n v="0"/>
  </r>
  <r>
    <x v="67"/>
    <x v="109"/>
    <n v="92.7"/>
    <n v="67.41"/>
    <n v="0"/>
  </r>
  <r>
    <x v="68"/>
    <x v="109"/>
    <n v="92.7"/>
    <n v="60.15"/>
    <n v="0"/>
  </r>
  <r>
    <x v="69"/>
    <x v="109"/>
    <n v="92.7"/>
    <n v="68.400000000000006"/>
    <n v="274.51"/>
  </r>
  <r>
    <x v="70"/>
    <x v="109"/>
    <n v="92.7"/>
    <n v="71.95"/>
    <n v="282.33"/>
  </r>
  <r>
    <x v="71"/>
    <x v="109"/>
    <n v="92.7"/>
    <n v="42.15"/>
    <n v="233.03"/>
  </r>
  <r>
    <x v="72"/>
    <x v="109"/>
    <n v="92.7"/>
    <n v="0"/>
    <n v="0"/>
  </r>
  <r>
    <x v="73"/>
    <x v="109"/>
    <n v="92.7"/>
    <n v="0"/>
    <n v="0"/>
  </r>
  <r>
    <x v="74"/>
    <x v="109"/>
    <n v="92.7"/>
    <n v="0"/>
    <n v="0"/>
  </r>
  <r>
    <x v="75"/>
    <x v="109"/>
    <n v="92.7"/>
    <n v="0"/>
    <n v="0"/>
  </r>
  <r>
    <x v="76"/>
    <x v="109"/>
    <n v="92.7"/>
    <n v="0"/>
    <n v="0"/>
  </r>
  <r>
    <x v="77"/>
    <x v="109"/>
    <n v="92.7"/>
    <n v="0"/>
    <n v="0"/>
  </r>
  <r>
    <x v="78"/>
    <x v="109"/>
    <n v="92.7"/>
    <n v="0"/>
    <n v="0"/>
  </r>
  <r>
    <x v="79"/>
    <x v="109"/>
    <n v="92.7"/>
    <n v="0"/>
    <n v="0"/>
  </r>
  <r>
    <x v="80"/>
    <x v="109"/>
    <n v="92.7"/>
    <n v="0"/>
    <n v="0"/>
  </r>
  <r>
    <x v="81"/>
    <x v="109"/>
    <n v="92.7"/>
    <n v="0"/>
    <n v="0"/>
  </r>
  <r>
    <x v="82"/>
    <x v="109"/>
    <n v="92.7"/>
    <n v="0"/>
    <n v="0"/>
  </r>
  <r>
    <x v="83"/>
    <x v="109"/>
    <n v="92.7"/>
    <n v="0"/>
    <n v="0"/>
  </r>
  <r>
    <x v="84"/>
    <x v="109"/>
    <n v="92.7"/>
    <n v="0"/>
    <n v="0"/>
  </r>
  <r>
    <x v="85"/>
    <x v="109"/>
    <n v="92.7"/>
    <n v="0"/>
    <n v="0"/>
  </r>
  <r>
    <x v="86"/>
    <x v="109"/>
    <n v="92.7"/>
    <n v="0"/>
    <n v="0"/>
  </r>
  <r>
    <x v="87"/>
    <x v="109"/>
    <n v="92.7"/>
    <n v="0"/>
    <n v="0"/>
  </r>
  <r>
    <x v="88"/>
    <x v="109"/>
    <n v="92.7"/>
    <n v="0"/>
    <n v="0"/>
  </r>
  <r>
    <x v="89"/>
    <x v="109"/>
    <n v="92.7"/>
    <n v="0"/>
    <n v="0"/>
  </r>
  <r>
    <x v="90"/>
    <x v="109"/>
    <n v="92.7"/>
    <n v="0"/>
    <n v="0"/>
  </r>
  <r>
    <x v="91"/>
    <x v="109"/>
    <n v="92.7"/>
    <n v="0"/>
    <n v="0"/>
  </r>
  <r>
    <x v="92"/>
    <x v="109"/>
    <n v="92.7"/>
    <n v="0"/>
    <n v="0"/>
  </r>
  <r>
    <x v="93"/>
    <x v="109"/>
    <n v="92.7"/>
    <n v="0"/>
    <n v="0"/>
  </r>
  <r>
    <x v="94"/>
    <x v="109"/>
    <n v="92.7"/>
    <n v="0"/>
    <n v="0"/>
  </r>
  <r>
    <x v="95"/>
    <x v="109"/>
    <n v="92.7"/>
    <n v="0"/>
    <n v="0"/>
  </r>
  <r>
    <x v="0"/>
    <x v="110"/>
    <n v="93"/>
    <n v="37.42"/>
    <n v="214.11"/>
  </r>
  <r>
    <x v="1"/>
    <x v="110"/>
    <n v="93"/>
    <n v="33.590000000000003"/>
    <n v="163.82"/>
  </r>
  <r>
    <x v="2"/>
    <x v="110"/>
    <n v="93"/>
    <n v="30.02"/>
    <n v="163.03"/>
  </r>
  <r>
    <x v="3"/>
    <x v="110"/>
    <n v="93"/>
    <n v="27.8"/>
    <n v="162.25"/>
  </r>
  <r>
    <x v="4"/>
    <x v="110"/>
    <n v="93"/>
    <n v="34.119999999999997"/>
    <n v="161.97999999999999"/>
  </r>
  <r>
    <x v="5"/>
    <x v="110"/>
    <n v="93"/>
    <n v="30.47"/>
    <n v="165.05"/>
  </r>
  <r>
    <x v="6"/>
    <x v="110"/>
    <n v="93"/>
    <n v="29.23"/>
    <n v="148.58000000000001"/>
  </r>
  <r>
    <x v="7"/>
    <x v="110"/>
    <n v="93"/>
    <n v="32.97"/>
    <n v="166.16"/>
  </r>
  <r>
    <x v="8"/>
    <x v="110"/>
    <n v="93"/>
    <n v="-10.36"/>
    <n v="144.87"/>
  </r>
  <r>
    <x v="9"/>
    <x v="110"/>
    <n v="93"/>
    <n v="-5.5"/>
    <n v="143.93"/>
  </r>
  <r>
    <x v="10"/>
    <x v="110"/>
    <n v="93"/>
    <n v="-0.71"/>
    <n v="149.41999999999999"/>
  </r>
  <r>
    <x v="11"/>
    <x v="110"/>
    <n v="93"/>
    <n v="-503.1"/>
    <n v="22.69"/>
  </r>
  <r>
    <x v="12"/>
    <x v="110"/>
    <n v="93"/>
    <n v="33.229999999999997"/>
    <n v="115.14"/>
  </r>
  <r>
    <x v="13"/>
    <x v="110"/>
    <n v="93"/>
    <n v="35.56"/>
    <n v="86.79"/>
  </r>
  <r>
    <x v="14"/>
    <x v="110"/>
    <n v="93"/>
    <n v="35.82"/>
    <n v="90.4"/>
  </r>
  <r>
    <x v="15"/>
    <x v="110"/>
    <n v="93"/>
    <n v="30.11"/>
    <n v="92.48"/>
  </r>
  <r>
    <x v="16"/>
    <x v="110"/>
    <n v="93"/>
    <n v="29.41"/>
    <n v="97.32"/>
  </r>
  <r>
    <x v="17"/>
    <x v="110"/>
    <n v="93"/>
    <n v="29.11"/>
    <n v="86.77"/>
  </r>
  <r>
    <x v="18"/>
    <x v="110"/>
    <n v="93"/>
    <n v="26.46"/>
    <n v="81.459999999999994"/>
  </r>
  <r>
    <x v="19"/>
    <x v="110"/>
    <n v="93"/>
    <n v="27.5"/>
    <n v="89.75"/>
  </r>
  <r>
    <x v="20"/>
    <x v="110"/>
    <n v="93"/>
    <n v="28.26"/>
    <n v="95.98"/>
  </r>
  <r>
    <x v="21"/>
    <x v="110"/>
    <n v="93"/>
    <n v="26.88"/>
    <n v="87.61"/>
  </r>
  <r>
    <x v="22"/>
    <x v="110"/>
    <n v="93"/>
    <n v="24.61"/>
    <n v="89.81"/>
  </r>
  <r>
    <x v="23"/>
    <x v="110"/>
    <n v="93"/>
    <n v="3.97"/>
    <n v="70.52"/>
  </r>
  <r>
    <x v="24"/>
    <x v="110"/>
    <n v="93"/>
    <n v="3.9"/>
    <n v="261.22000000000003"/>
  </r>
  <r>
    <x v="25"/>
    <x v="110"/>
    <n v="93"/>
    <n v="39.47"/>
    <n v="205.9"/>
  </r>
  <r>
    <x v="26"/>
    <x v="110"/>
    <n v="93"/>
    <n v="34.979999999999997"/>
    <n v="185.85"/>
  </r>
  <r>
    <x v="27"/>
    <x v="110"/>
    <n v="93"/>
    <n v="41.6"/>
    <n v="204.12"/>
  </r>
  <r>
    <x v="28"/>
    <x v="110"/>
    <n v="93"/>
    <n v="38.729999999999997"/>
    <n v="194.86"/>
  </r>
  <r>
    <x v="29"/>
    <x v="110"/>
    <n v="93"/>
    <n v="43.37"/>
    <n v="210.51"/>
  </r>
  <r>
    <x v="30"/>
    <x v="110"/>
    <n v="93"/>
    <n v="35.92"/>
    <n v="201.19"/>
  </r>
  <r>
    <x v="31"/>
    <x v="110"/>
    <n v="93"/>
    <n v="40.01"/>
    <n v="213.47"/>
  </r>
  <r>
    <x v="32"/>
    <x v="110"/>
    <n v="93"/>
    <n v="38.14"/>
    <n v="206.02"/>
  </r>
  <r>
    <x v="33"/>
    <x v="110"/>
    <n v="93"/>
    <n v="36.880000000000003"/>
    <n v="204.07"/>
  </r>
  <r>
    <x v="34"/>
    <x v="110"/>
    <n v="93"/>
    <n v="40.200000000000003"/>
    <n v="222.14"/>
  </r>
  <r>
    <x v="35"/>
    <x v="110"/>
    <n v="93"/>
    <n v="7"/>
    <n v="180.16"/>
  </r>
  <r>
    <x v="36"/>
    <x v="110"/>
    <n v="93"/>
    <n v="32.409999999999997"/>
    <n v="319.95999999999998"/>
  </r>
  <r>
    <x v="37"/>
    <x v="110"/>
    <n v="93"/>
    <n v="58.52"/>
    <n v="232.74"/>
  </r>
  <r>
    <x v="38"/>
    <x v="110"/>
    <n v="93"/>
    <n v="68.290000000000006"/>
    <n v="279.49"/>
  </r>
  <r>
    <x v="39"/>
    <x v="110"/>
    <n v="93"/>
    <n v="57.67"/>
    <n v="0"/>
  </r>
  <r>
    <x v="40"/>
    <x v="110"/>
    <n v="93"/>
    <n v="65.28"/>
    <n v="0"/>
  </r>
  <r>
    <x v="41"/>
    <x v="110"/>
    <n v="93"/>
    <n v="66.540000000000006"/>
    <n v="276.27999999999997"/>
  </r>
  <r>
    <x v="42"/>
    <x v="110"/>
    <n v="93"/>
    <n v="67.760000000000005"/>
    <n v="0"/>
  </r>
  <r>
    <x v="43"/>
    <x v="110"/>
    <n v="93"/>
    <n v="58.4"/>
    <n v="0"/>
  </r>
  <r>
    <x v="44"/>
    <x v="110"/>
    <n v="93"/>
    <n v="61.74"/>
    <n v="0"/>
  </r>
  <r>
    <x v="45"/>
    <x v="110"/>
    <n v="93"/>
    <n v="61.96"/>
    <n v="0"/>
  </r>
  <r>
    <x v="46"/>
    <x v="110"/>
    <n v="93"/>
    <n v="55.58"/>
    <n v="0"/>
  </r>
  <r>
    <x v="47"/>
    <x v="110"/>
    <n v="93"/>
    <n v="27.13"/>
    <n v="213.42"/>
  </r>
  <r>
    <x v="48"/>
    <x v="110"/>
    <n v="93"/>
    <n v="93.22"/>
    <n v="385.88"/>
  </r>
  <r>
    <x v="49"/>
    <x v="110"/>
    <n v="93"/>
    <n v="78.39"/>
    <n v="268.7"/>
  </r>
  <r>
    <x v="50"/>
    <x v="110"/>
    <n v="93"/>
    <n v="72.34"/>
    <n v="262.95"/>
  </r>
  <r>
    <x v="51"/>
    <x v="110"/>
    <n v="93"/>
    <n v="65.75"/>
    <n v="271.42"/>
  </r>
  <r>
    <x v="52"/>
    <x v="110"/>
    <n v="93"/>
    <n v="58.56"/>
    <n v="266.79000000000002"/>
  </r>
  <r>
    <x v="53"/>
    <x v="110"/>
    <n v="93"/>
    <n v="63.23"/>
    <n v="0"/>
  </r>
  <r>
    <x v="54"/>
    <x v="110"/>
    <n v="93"/>
    <n v="57.62"/>
    <n v="0"/>
  </r>
  <r>
    <x v="55"/>
    <x v="110"/>
    <n v="93"/>
    <n v="63.9"/>
    <n v="0"/>
  </r>
  <r>
    <x v="56"/>
    <x v="110"/>
    <n v="93"/>
    <n v="64.319999999999993"/>
    <n v="0"/>
  </r>
  <r>
    <x v="57"/>
    <x v="110"/>
    <n v="93"/>
    <n v="70.260000000000005"/>
    <n v="0"/>
  </r>
  <r>
    <x v="58"/>
    <x v="110"/>
    <n v="93"/>
    <n v="63.58"/>
    <n v="0"/>
  </r>
  <r>
    <x v="59"/>
    <x v="110"/>
    <n v="93"/>
    <n v="21.06"/>
    <n v="235.37"/>
  </r>
  <r>
    <x v="60"/>
    <x v="110"/>
    <n v="93"/>
    <n v="85.18"/>
    <n v="326"/>
  </r>
  <r>
    <x v="61"/>
    <x v="110"/>
    <n v="93"/>
    <n v="69.11"/>
    <n v="256.95999999999998"/>
  </r>
  <r>
    <x v="62"/>
    <x v="110"/>
    <n v="93"/>
    <n v="70.430000000000007"/>
    <n v="283.27"/>
  </r>
  <r>
    <x v="63"/>
    <x v="110"/>
    <n v="93"/>
    <n v="59.02"/>
    <n v="258.7"/>
  </r>
  <r>
    <x v="64"/>
    <x v="110"/>
    <n v="93"/>
    <n v="64.989999999999995"/>
    <n v="0"/>
  </r>
  <r>
    <x v="65"/>
    <x v="110"/>
    <n v="93"/>
    <n v="71.48"/>
    <n v="0"/>
  </r>
  <r>
    <x v="66"/>
    <x v="110"/>
    <n v="93"/>
    <n v="66.41"/>
    <n v="0"/>
  </r>
  <r>
    <x v="67"/>
    <x v="110"/>
    <n v="93"/>
    <n v="66.16"/>
    <n v="0"/>
  </r>
  <r>
    <x v="68"/>
    <x v="110"/>
    <n v="93"/>
    <n v="59.14"/>
    <n v="0"/>
  </r>
  <r>
    <x v="69"/>
    <x v="110"/>
    <n v="93"/>
    <n v="67.12"/>
    <n v="274.33999999999997"/>
  </r>
  <r>
    <x v="70"/>
    <x v="110"/>
    <n v="93"/>
    <n v="70.59"/>
    <n v="281.68"/>
  </r>
  <r>
    <x v="71"/>
    <x v="110"/>
    <n v="93"/>
    <n v="41.15"/>
    <n v="230.53"/>
  </r>
  <r>
    <x v="72"/>
    <x v="110"/>
    <n v="93"/>
    <n v="0"/>
    <n v="0"/>
  </r>
  <r>
    <x v="73"/>
    <x v="110"/>
    <n v="93"/>
    <n v="0"/>
    <n v="0"/>
  </r>
  <r>
    <x v="74"/>
    <x v="110"/>
    <n v="93"/>
    <n v="0"/>
    <n v="0"/>
  </r>
  <r>
    <x v="75"/>
    <x v="110"/>
    <n v="93"/>
    <n v="0"/>
    <n v="0"/>
  </r>
  <r>
    <x v="76"/>
    <x v="110"/>
    <n v="93"/>
    <n v="0"/>
    <n v="0"/>
  </r>
  <r>
    <x v="77"/>
    <x v="110"/>
    <n v="93"/>
    <n v="0"/>
    <n v="0"/>
  </r>
  <r>
    <x v="78"/>
    <x v="110"/>
    <n v="93"/>
    <n v="0"/>
    <n v="0"/>
  </r>
  <r>
    <x v="79"/>
    <x v="110"/>
    <n v="93"/>
    <n v="0"/>
    <n v="0"/>
  </r>
  <r>
    <x v="80"/>
    <x v="110"/>
    <n v="93"/>
    <n v="0"/>
    <n v="0"/>
  </r>
  <r>
    <x v="81"/>
    <x v="110"/>
    <n v="93"/>
    <n v="0"/>
    <n v="0"/>
  </r>
  <r>
    <x v="82"/>
    <x v="110"/>
    <n v="93"/>
    <n v="0"/>
    <n v="0"/>
  </r>
  <r>
    <x v="83"/>
    <x v="110"/>
    <n v="93"/>
    <n v="0"/>
    <n v="0"/>
  </r>
  <r>
    <x v="84"/>
    <x v="110"/>
    <n v="93"/>
    <n v="0"/>
    <n v="0"/>
  </r>
  <r>
    <x v="85"/>
    <x v="110"/>
    <n v="93"/>
    <n v="0"/>
    <n v="0"/>
  </r>
  <r>
    <x v="86"/>
    <x v="110"/>
    <n v="93"/>
    <n v="0"/>
    <n v="0"/>
  </r>
  <r>
    <x v="87"/>
    <x v="110"/>
    <n v="93"/>
    <n v="0"/>
    <n v="0"/>
  </r>
  <r>
    <x v="88"/>
    <x v="110"/>
    <n v="93"/>
    <n v="0"/>
    <n v="0"/>
  </r>
  <r>
    <x v="89"/>
    <x v="110"/>
    <n v="93"/>
    <n v="0"/>
    <n v="0"/>
  </r>
  <r>
    <x v="90"/>
    <x v="110"/>
    <n v="93"/>
    <n v="0"/>
    <n v="0"/>
  </r>
  <r>
    <x v="91"/>
    <x v="110"/>
    <n v="93"/>
    <n v="0"/>
    <n v="0"/>
  </r>
  <r>
    <x v="92"/>
    <x v="110"/>
    <n v="93"/>
    <n v="0"/>
    <n v="0"/>
  </r>
  <r>
    <x v="93"/>
    <x v="110"/>
    <n v="93"/>
    <n v="0"/>
    <n v="0"/>
  </r>
  <r>
    <x v="94"/>
    <x v="110"/>
    <n v="93"/>
    <n v="0"/>
    <n v="0"/>
  </r>
  <r>
    <x v="95"/>
    <x v="110"/>
    <n v="93"/>
    <n v="0"/>
    <n v="0"/>
  </r>
  <r>
    <x v="0"/>
    <x v="111"/>
    <n v="93.3"/>
    <n v="37.090000000000003"/>
    <n v="214.41"/>
  </r>
  <r>
    <x v="1"/>
    <x v="111"/>
    <n v="93.3"/>
    <n v="33.21"/>
    <n v="163.83000000000001"/>
  </r>
  <r>
    <x v="2"/>
    <x v="111"/>
    <n v="93.3"/>
    <n v="29.67"/>
    <n v="163.03"/>
  </r>
  <r>
    <x v="3"/>
    <x v="111"/>
    <n v="93.3"/>
    <n v="27.57"/>
    <n v="162.31"/>
  </r>
  <r>
    <x v="4"/>
    <x v="111"/>
    <n v="93.3"/>
    <n v="33.75"/>
    <n v="162.05000000000001"/>
  </r>
  <r>
    <x v="5"/>
    <x v="111"/>
    <n v="93.3"/>
    <n v="30.22"/>
    <n v="165.15"/>
  </r>
  <r>
    <x v="6"/>
    <x v="111"/>
    <n v="93.3"/>
    <n v="29.05"/>
    <n v="148.68"/>
  </r>
  <r>
    <x v="7"/>
    <x v="111"/>
    <n v="93.3"/>
    <n v="32.549999999999997"/>
    <n v="166.2"/>
  </r>
  <r>
    <x v="8"/>
    <x v="111"/>
    <n v="93.3"/>
    <n v="-10.25"/>
    <n v="144.71"/>
  </r>
  <r>
    <x v="9"/>
    <x v="111"/>
    <n v="93.3"/>
    <n v="-5.77"/>
    <n v="143.75"/>
  </r>
  <r>
    <x v="10"/>
    <x v="111"/>
    <n v="93.3"/>
    <n v="-1.0900000000000001"/>
    <n v="149.38999999999999"/>
  </r>
  <r>
    <x v="11"/>
    <x v="111"/>
    <n v="93.3"/>
    <n v="-501.19"/>
    <n v="32.56"/>
  </r>
  <r>
    <x v="12"/>
    <x v="111"/>
    <n v="93.3"/>
    <n v="33.119999999999997"/>
    <n v="115.37"/>
  </r>
  <r>
    <x v="13"/>
    <x v="111"/>
    <n v="93.3"/>
    <n v="35.42"/>
    <n v="86.87"/>
  </r>
  <r>
    <x v="14"/>
    <x v="111"/>
    <n v="93.3"/>
    <n v="35.65"/>
    <n v="90.42"/>
  </r>
  <r>
    <x v="15"/>
    <x v="111"/>
    <n v="93.3"/>
    <n v="29.99"/>
    <n v="92.56"/>
  </r>
  <r>
    <x v="16"/>
    <x v="111"/>
    <n v="93.3"/>
    <n v="29.28"/>
    <n v="97.35"/>
  </r>
  <r>
    <x v="17"/>
    <x v="111"/>
    <n v="93.3"/>
    <n v="28.99"/>
    <n v="86.83"/>
  </r>
  <r>
    <x v="18"/>
    <x v="111"/>
    <n v="93.3"/>
    <n v="26.34"/>
    <n v="81.55"/>
  </r>
  <r>
    <x v="19"/>
    <x v="111"/>
    <n v="93.3"/>
    <n v="27.39"/>
    <n v="89.83"/>
  </r>
  <r>
    <x v="20"/>
    <x v="111"/>
    <n v="93.3"/>
    <n v="28.14"/>
    <n v="96.11"/>
  </r>
  <r>
    <x v="21"/>
    <x v="111"/>
    <n v="93.3"/>
    <n v="26.8"/>
    <n v="87.56"/>
  </r>
  <r>
    <x v="22"/>
    <x v="111"/>
    <n v="93.3"/>
    <n v="24.57"/>
    <n v="89.94"/>
  </r>
  <r>
    <x v="23"/>
    <x v="111"/>
    <n v="93.3"/>
    <n v="3.63"/>
    <n v="69.98"/>
  </r>
  <r>
    <x v="24"/>
    <x v="111"/>
    <n v="93.3"/>
    <n v="4.83"/>
    <n v="261.36"/>
  </r>
  <r>
    <x v="25"/>
    <x v="111"/>
    <n v="93.3"/>
    <n v="39.15"/>
    <n v="206.08"/>
  </r>
  <r>
    <x v="26"/>
    <x v="111"/>
    <n v="93.3"/>
    <n v="34.79"/>
    <n v="185.76"/>
  </r>
  <r>
    <x v="27"/>
    <x v="111"/>
    <n v="93.3"/>
    <n v="41.3"/>
    <n v="204.01"/>
  </r>
  <r>
    <x v="28"/>
    <x v="111"/>
    <n v="93.3"/>
    <n v="38.49"/>
    <n v="194.74"/>
  </r>
  <r>
    <x v="29"/>
    <x v="111"/>
    <n v="93.3"/>
    <n v="43.07"/>
    <n v="210.58"/>
  </r>
  <r>
    <x v="30"/>
    <x v="111"/>
    <n v="93.3"/>
    <n v="35.68"/>
    <n v="201.28"/>
  </r>
  <r>
    <x v="31"/>
    <x v="111"/>
    <n v="93.3"/>
    <n v="39.72"/>
    <n v="213.57"/>
  </r>
  <r>
    <x v="32"/>
    <x v="111"/>
    <n v="93.3"/>
    <n v="37.880000000000003"/>
    <n v="206.14"/>
  </r>
  <r>
    <x v="33"/>
    <x v="111"/>
    <n v="93.3"/>
    <n v="36.619999999999997"/>
    <n v="204.21"/>
  </r>
  <r>
    <x v="34"/>
    <x v="111"/>
    <n v="93.3"/>
    <n v="39.96"/>
    <n v="222.33"/>
  </r>
  <r>
    <x v="35"/>
    <x v="111"/>
    <n v="93.3"/>
    <n v="7.48"/>
    <n v="180.19"/>
  </r>
  <r>
    <x v="36"/>
    <x v="111"/>
    <n v="93.3"/>
    <n v="30.91"/>
    <n v="319.33"/>
  </r>
  <r>
    <x v="37"/>
    <x v="111"/>
    <n v="93.3"/>
    <n v="57.81"/>
    <n v="232.44"/>
  </r>
  <r>
    <x v="38"/>
    <x v="111"/>
    <n v="93.3"/>
    <n v="67.62"/>
    <n v="279.07"/>
  </r>
  <r>
    <x v="39"/>
    <x v="111"/>
    <n v="93.3"/>
    <n v="57.07"/>
    <n v="0"/>
  </r>
  <r>
    <x v="40"/>
    <x v="111"/>
    <n v="93.3"/>
    <n v="64.61"/>
    <n v="0"/>
  </r>
  <r>
    <x v="41"/>
    <x v="111"/>
    <n v="93.3"/>
    <n v="65.75"/>
    <n v="276.04000000000002"/>
  </r>
  <r>
    <x v="42"/>
    <x v="111"/>
    <n v="93.3"/>
    <n v="67.03"/>
    <n v="0"/>
  </r>
  <r>
    <x v="43"/>
    <x v="111"/>
    <n v="93.3"/>
    <n v="57.75"/>
    <n v="0"/>
  </r>
  <r>
    <x v="44"/>
    <x v="111"/>
    <n v="93.3"/>
    <n v="60.94"/>
    <n v="0"/>
  </r>
  <r>
    <x v="45"/>
    <x v="111"/>
    <n v="93.3"/>
    <n v="61.13"/>
    <n v="0"/>
  </r>
  <r>
    <x v="46"/>
    <x v="111"/>
    <n v="93.3"/>
    <n v="54.91"/>
    <n v="0"/>
  </r>
  <r>
    <x v="47"/>
    <x v="111"/>
    <n v="93.3"/>
    <n v="27.17"/>
    <n v="212.62"/>
  </r>
  <r>
    <x v="48"/>
    <x v="111"/>
    <n v="93.3"/>
    <n v="91.87"/>
    <n v="385.72"/>
  </r>
  <r>
    <x v="49"/>
    <x v="111"/>
    <n v="93.3"/>
    <n v="77.45"/>
    <n v="268.36"/>
  </r>
  <r>
    <x v="50"/>
    <x v="111"/>
    <n v="93.3"/>
    <n v="71.510000000000005"/>
    <n v="262.72000000000003"/>
  </r>
  <r>
    <x v="51"/>
    <x v="111"/>
    <n v="93.3"/>
    <n v="65.03"/>
    <n v="271.32"/>
  </r>
  <r>
    <x v="52"/>
    <x v="111"/>
    <n v="93.3"/>
    <n v="57.76"/>
    <n v="266.69"/>
  </r>
  <r>
    <x v="53"/>
    <x v="111"/>
    <n v="93.3"/>
    <n v="62.68"/>
    <n v="0"/>
  </r>
  <r>
    <x v="54"/>
    <x v="111"/>
    <n v="93.3"/>
    <n v="57.02"/>
    <n v="0"/>
  </r>
  <r>
    <x v="55"/>
    <x v="111"/>
    <n v="93.3"/>
    <n v="63.17"/>
    <n v="0"/>
  </r>
  <r>
    <x v="56"/>
    <x v="111"/>
    <n v="93.3"/>
    <n v="63.49"/>
    <n v="0"/>
  </r>
  <r>
    <x v="57"/>
    <x v="111"/>
    <n v="93.3"/>
    <n v="69.33"/>
    <n v="0"/>
  </r>
  <r>
    <x v="58"/>
    <x v="111"/>
    <n v="93.3"/>
    <n v="62.93"/>
    <n v="0"/>
  </r>
  <r>
    <x v="59"/>
    <x v="111"/>
    <n v="93.3"/>
    <n v="21.2"/>
    <n v="235.3"/>
  </r>
  <r>
    <x v="60"/>
    <x v="111"/>
    <n v="93.3"/>
    <n v="83.91"/>
    <n v="326.04000000000002"/>
  </r>
  <r>
    <x v="61"/>
    <x v="111"/>
    <n v="93.3"/>
    <n v="68.180000000000007"/>
    <n v="256.68"/>
  </r>
  <r>
    <x v="62"/>
    <x v="111"/>
    <n v="93.3"/>
    <n v="69.5"/>
    <n v="282.95"/>
  </r>
  <r>
    <x v="63"/>
    <x v="111"/>
    <n v="93.3"/>
    <n v="58.24"/>
    <n v="258.52"/>
  </r>
  <r>
    <x v="64"/>
    <x v="111"/>
    <n v="93.3"/>
    <n v="64.150000000000006"/>
    <n v="0"/>
  </r>
  <r>
    <x v="65"/>
    <x v="111"/>
    <n v="93.3"/>
    <n v="70.63"/>
    <n v="0"/>
  </r>
  <r>
    <x v="66"/>
    <x v="111"/>
    <n v="93.3"/>
    <n v="65.67"/>
    <n v="0"/>
  </r>
  <r>
    <x v="67"/>
    <x v="111"/>
    <n v="93.3"/>
    <n v="65.31"/>
    <n v="0"/>
  </r>
  <r>
    <x v="68"/>
    <x v="111"/>
    <n v="93.3"/>
    <n v="58.5"/>
    <n v="0"/>
  </r>
  <r>
    <x v="69"/>
    <x v="111"/>
    <n v="93.3"/>
    <n v="66.27"/>
    <n v="274.24"/>
  </r>
  <r>
    <x v="70"/>
    <x v="111"/>
    <n v="93.3"/>
    <n v="69.67"/>
    <n v="281.17"/>
  </r>
  <r>
    <x v="71"/>
    <x v="111"/>
    <n v="93.3"/>
    <n v="40.6"/>
    <n v="229.38"/>
  </r>
  <r>
    <x v="72"/>
    <x v="111"/>
    <n v="93.3"/>
    <n v="0"/>
    <n v="0"/>
  </r>
  <r>
    <x v="73"/>
    <x v="111"/>
    <n v="93.3"/>
    <n v="0"/>
    <n v="0"/>
  </r>
  <r>
    <x v="74"/>
    <x v="111"/>
    <n v="93.3"/>
    <n v="0"/>
    <n v="0"/>
  </r>
  <r>
    <x v="75"/>
    <x v="111"/>
    <n v="93.3"/>
    <n v="0"/>
    <n v="0"/>
  </r>
  <r>
    <x v="76"/>
    <x v="111"/>
    <n v="93.3"/>
    <n v="0"/>
    <n v="0"/>
  </r>
  <r>
    <x v="77"/>
    <x v="111"/>
    <n v="93.3"/>
    <n v="0"/>
    <n v="0"/>
  </r>
  <r>
    <x v="78"/>
    <x v="111"/>
    <n v="93.3"/>
    <n v="0"/>
    <n v="0"/>
  </r>
  <r>
    <x v="79"/>
    <x v="111"/>
    <n v="93.3"/>
    <n v="0"/>
    <n v="0"/>
  </r>
  <r>
    <x v="80"/>
    <x v="111"/>
    <n v="93.3"/>
    <n v="0"/>
    <n v="0"/>
  </r>
  <r>
    <x v="81"/>
    <x v="111"/>
    <n v="93.3"/>
    <n v="0"/>
    <n v="0"/>
  </r>
  <r>
    <x v="82"/>
    <x v="111"/>
    <n v="93.3"/>
    <n v="0"/>
    <n v="0"/>
  </r>
  <r>
    <x v="83"/>
    <x v="111"/>
    <n v="93.3"/>
    <n v="0"/>
    <n v="0"/>
  </r>
  <r>
    <x v="84"/>
    <x v="111"/>
    <n v="93.3"/>
    <n v="0"/>
    <n v="0"/>
  </r>
  <r>
    <x v="85"/>
    <x v="111"/>
    <n v="93.3"/>
    <n v="0"/>
    <n v="0"/>
  </r>
  <r>
    <x v="86"/>
    <x v="111"/>
    <n v="93.3"/>
    <n v="0"/>
    <n v="0"/>
  </r>
  <r>
    <x v="87"/>
    <x v="111"/>
    <n v="93.3"/>
    <n v="0"/>
    <n v="0"/>
  </r>
  <r>
    <x v="88"/>
    <x v="111"/>
    <n v="93.3"/>
    <n v="0"/>
    <n v="0"/>
  </r>
  <r>
    <x v="89"/>
    <x v="111"/>
    <n v="93.3"/>
    <n v="0"/>
    <n v="0"/>
  </r>
  <r>
    <x v="90"/>
    <x v="111"/>
    <n v="93.3"/>
    <n v="0"/>
    <n v="0"/>
  </r>
  <r>
    <x v="91"/>
    <x v="111"/>
    <n v="93.3"/>
    <n v="0"/>
    <n v="0"/>
  </r>
  <r>
    <x v="92"/>
    <x v="111"/>
    <n v="93.3"/>
    <n v="0"/>
    <n v="0"/>
  </r>
  <r>
    <x v="93"/>
    <x v="111"/>
    <n v="93.3"/>
    <n v="0"/>
    <n v="0"/>
  </r>
  <r>
    <x v="94"/>
    <x v="111"/>
    <n v="93.3"/>
    <n v="0"/>
    <n v="0"/>
  </r>
  <r>
    <x v="95"/>
    <x v="111"/>
    <n v="93.3"/>
    <n v="0"/>
    <n v="0"/>
  </r>
  <r>
    <x v="0"/>
    <x v="112"/>
    <n v="93.6"/>
    <n v="36.93"/>
    <n v="214.74"/>
  </r>
  <r>
    <x v="1"/>
    <x v="112"/>
    <n v="93.6"/>
    <n v="32.97"/>
    <n v="163.87"/>
  </r>
  <r>
    <x v="2"/>
    <x v="112"/>
    <n v="93.6"/>
    <n v="29.46"/>
    <n v="163.06"/>
  </r>
  <r>
    <x v="3"/>
    <x v="112"/>
    <n v="93.6"/>
    <n v="27.45"/>
    <n v="162.41"/>
  </r>
  <r>
    <x v="4"/>
    <x v="112"/>
    <n v="93.6"/>
    <n v="33.51"/>
    <n v="162.15"/>
  </r>
  <r>
    <x v="5"/>
    <x v="112"/>
    <n v="93.6"/>
    <n v="30.11"/>
    <n v="165.28"/>
  </r>
  <r>
    <x v="6"/>
    <x v="112"/>
    <n v="93.6"/>
    <n v="28.99"/>
    <n v="148.80000000000001"/>
  </r>
  <r>
    <x v="7"/>
    <x v="112"/>
    <n v="93.6"/>
    <n v="32.270000000000003"/>
    <n v="166.27"/>
  </r>
  <r>
    <x v="8"/>
    <x v="112"/>
    <n v="93.6"/>
    <n v="-10.01"/>
    <n v="144.61000000000001"/>
  </r>
  <r>
    <x v="9"/>
    <x v="112"/>
    <n v="93.6"/>
    <n v="-5.85"/>
    <n v="143.61000000000001"/>
  </r>
  <r>
    <x v="10"/>
    <x v="112"/>
    <n v="93.6"/>
    <n v="-1.28"/>
    <n v="149.4"/>
  </r>
  <r>
    <x v="11"/>
    <x v="112"/>
    <n v="93.6"/>
    <n v="-499.58"/>
    <n v="41.54"/>
  </r>
  <r>
    <x v="12"/>
    <x v="112"/>
    <n v="93.6"/>
    <n v="33.04"/>
    <n v="115.61"/>
  </r>
  <r>
    <x v="13"/>
    <x v="112"/>
    <n v="93.6"/>
    <n v="35.31"/>
    <n v="86.98"/>
  </r>
  <r>
    <x v="14"/>
    <x v="112"/>
    <n v="93.6"/>
    <n v="35.520000000000003"/>
    <n v="90.46"/>
  </r>
  <r>
    <x v="15"/>
    <x v="112"/>
    <n v="93.6"/>
    <n v="29.9"/>
    <n v="92.65"/>
  </r>
  <r>
    <x v="16"/>
    <x v="112"/>
    <n v="93.6"/>
    <n v="29.19"/>
    <n v="97.42"/>
  </r>
  <r>
    <x v="17"/>
    <x v="112"/>
    <n v="93.6"/>
    <n v="28.89"/>
    <n v="86.9"/>
  </r>
  <r>
    <x v="18"/>
    <x v="112"/>
    <n v="93.6"/>
    <n v="26.26"/>
    <n v="81.650000000000006"/>
  </r>
  <r>
    <x v="19"/>
    <x v="112"/>
    <n v="93.6"/>
    <n v="27.3"/>
    <n v="89.93"/>
  </r>
  <r>
    <x v="20"/>
    <x v="112"/>
    <n v="93.6"/>
    <n v="28.05"/>
    <n v="96.26"/>
  </r>
  <r>
    <x v="21"/>
    <x v="112"/>
    <n v="93.6"/>
    <n v="26.75"/>
    <n v="87.55"/>
  </r>
  <r>
    <x v="22"/>
    <x v="112"/>
    <n v="93.6"/>
    <n v="24.55"/>
    <n v="90.08"/>
  </r>
  <r>
    <x v="23"/>
    <x v="112"/>
    <n v="93.6"/>
    <n v="3.32"/>
    <n v="69.459999999999994"/>
  </r>
  <r>
    <x v="24"/>
    <x v="112"/>
    <n v="93.6"/>
    <n v="5.86"/>
    <n v="261.56"/>
  </r>
  <r>
    <x v="25"/>
    <x v="112"/>
    <n v="93.6"/>
    <n v="39"/>
    <n v="206.29"/>
  </r>
  <r>
    <x v="26"/>
    <x v="112"/>
    <n v="93.6"/>
    <n v="34.75"/>
    <n v="185.71"/>
  </r>
  <r>
    <x v="27"/>
    <x v="112"/>
    <n v="93.6"/>
    <n v="41.15"/>
    <n v="203.96"/>
  </r>
  <r>
    <x v="28"/>
    <x v="112"/>
    <n v="93.6"/>
    <n v="38.409999999999997"/>
    <n v="194.68"/>
  </r>
  <r>
    <x v="29"/>
    <x v="112"/>
    <n v="93.6"/>
    <n v="42.95"/>
    <n v="210.69"/>
  </r>
  <r>
    <x v="30"/>
    <x v="112"/>
    <n v="93.6"/>
    <n v="35.6"/>
    <n v="201.4"/>
  </r>
  <r>
    <x v="31"/>
    <x v="112"/>
    <n v="93.6"/>
    <n v="39.6"/>
    <n v="213.7"/>
  </r>
  <r>
    <x v="32"/>
    <x v="112"/>
    <n v="93.6"/>
    <n v="37.78"/>
    <n v="206.3"/>
  </r>
  <r>
    <x v="33"/>
    <x v="112"/>
    <n v="93.6"/>
    <n v="36.51"/>
    <n v="204.39"/>
  </r>
  <r>
    <x v="34"/>
    <x v="112"/>
    <n v="93.6"/>
    <n v="39.880000000000003"/>
    <n v="222.55"/>
  </r>
  <r>
    <x v="35"/>
    <x v="112"/>
    <n v="93.6"/>
    <n v="8.0299999999999994"/>
    <n v="180.25"/>
  </r>
  <r>
    <x v="36"/>
    <x v="112"/>
    <n v="93.6"/>
    <n v="30.03"/>
    <n v="318.86"/>
  </r>
  <r>
    <x v="37"/>
    <x v="112"/>
    <n v="93.6"/>
    <n v="57.4"/>
    <n v="232.22"/>
  </r>
  <r>
    <x v="38"/>
    <x v="112"/>
    <n v="93.6"/>
    <n v="67.28"/>
    <n v="278.75"/>
  </r>
  <r>
    <x v="39"/>
    <x v="112"/>
    <n v="93.6"/>
    <n v="56.75"/>
    <n v="0"/>
  </r>
  <r>
    <x v="40"/>
    <x v="112"/>
    <n v="93.6"/>
    <n v="64.260000000000005"/>
    <n v="0"/>
  </r>
  <r>
    <x v="41"/>
    <x v="112"/>
    <n v="93.6"/>
    <n v="65.31"/>
    <n v="275.89999999999998"/>
  </r>
  <r>
    <x v="42"/>
    <x v="112"/>
    <n v="93.6"/>
    <n v="66.64"/>
    <n v="0"/>
  </r>
  <r>
    <x v="43"/>
    <x v="112"/>
    <n v="93.6"/>
    <n v="57.39"/>
    <n v="0"/>
  </r>
  <r>
    <x v="44"/>
    <x v="112"/>
    <n v="93.6"/>
    <n v="60.48"/>
    <n v="0"/>
  </r>
  <r>
    <x v="45"/>
    <x v="112"/>
    <n v="93.6"/>
    <n v="60.65"/>
    <n v="0"/>
  </r>
  <r>
    <x v="46"/>
    <x v="112"/>
    <n v="93.6"/>
    <n v="54.54"/>
    <n v="0"/>
  </r>
  <r>
    <x v="47"/>
    <x v="112"/>
    <n v="93.6"/>
    <n v="27.38"/>
    <n v="211.86"/>
  </r>
  <r>
    <x v="48"/>
    <x v="112"/>
    <n v="93.6"/>
    <n v="91.07"/>
    <n v="385.67"/>
  </r>
  <r>
    <x v="49"/>
    <x v="112"/>
    <n v="93.6"/>
    <n v="76.88"/>
    <n v="268.13"/>
  </r>
  <r>
    <x v="50"/>
    <x v="112"/>
    <n v="93.6"/>
    <n v="71.02"/>
    <n v="262.64999999999998"/>
  </r>
  <r>
    <x v="51"/>
    <x v="112"/>
    <n v="93.6"/>
    <n v="64.63"/>
    <n v="271.33999999999997"/>
  </r>
  <r>
    <x v="52"/>
    <x v="112"/>
    <n v="93.6"/>
    <n v="57.3"/>
    <n v="266.72000000000003"/>
  </r>
  <r>
    <x v="53"/>
    <x v="112"/>
    <n v="93.6"/>
    <n v="62.44"/>
    <n v="0"/>
  </r>
  <r>
    <x v="54"/>
    <x v="112"/>
    <n v="93.6"/>
    <n v="56.69"/>
    <n v="0"/>
  </r>
  <r>
    <x v="55"/>
    <x v="112"/>
    <n v="93.6"/>
    <n v="62.77"/>
    <n v="0"/>
  </r>
  <r>
    <x v="56"/>
    <x v="112"/>
    <n v="93.6"/>
    <n v="63.02"/>
    <n v="0"/>
  </r>
  <r>
    <x v="57"/>
    <x v="112"/>
    <n v="93.6"/>
    <n v="68.77"/>
    <n v="0"/>
  </r>
  <r>
    <x v="58"/>
    <x v="112"/>
    <n v="93.6"/>
    <n v="62.57"/>
    <n v="0"/>
  </r>
  <r>
    <x v="59"/>
    <x v="112"/>
    <n v="93.6"/>
    <n v="21.59"/>
    <n v="235.32"/>
  </r>
  <r>
    <x v="60"/>
    <x v="112"/>
    <n v="93.6"/>
    <n v="83.13"/>
    <n v="326.16000000000003"/>
  </r>
  <r>
    <x v="61"/>
    <x v="112"/>
    <n v="93.6"/>
    <n v="67.61"/>
    <n v="256.48"/>
  </r>
  <r>
    <x v="62"/>
    <x v="112"/>
    <n v="93.6"/>
    <n v="68.94"/>
    <n v="282.77999999999997"/>
  </r>
  <r>
    <x v="63"/>
    <x v="112"/>
    <n v="93.6"/>
    <n v="57.79"/>
    <n v="258.47000000000003"/>
  </r>
  <r>
    <x v="64"/>
    <x v="112"/>
    <n v="93.6"/>
    <n v="63.67"/>
    <n v="0"/>
  </r>
  <r>
    <x v="65"/>
    <x v="112"/>
    <n v="93.6"/>
    <n v="70.17"/>
    <n v="0"/>
  </r>
  <r>
    <x v="66"/>
    <x v="112"/>
    <n v="93.6"/>
    <n v="65.27"/>
    <n v="0"/>
  </r>
  <r>
    <x v="67"/>
    <x v="112"/>
    <n v="93.6"/>
    <n v="64.81"/>
    <n v="0"/>
  </r>
  <r>
    <x v="68"/>
    <x v="112"/>
    <n v="93.6"/>
    <n v="58.16"/>
    <n v="0"/>
  </r>
  <r>
    <x v="69"/>
    <x v="112"/>
    <n v="93.6"/>
    <n v="65.790000000000006"/>
    <n v="274.23"/>
  </r>
  <r>
    <x v="70"/>
    <x v="112"/>
    <n v="93.6"/>
    <n v="69.12"/>
    <n v="280.83"/>
  </r>
  <r>
    <x v="71"/>
    <x v="112"/>
    <n v="93.6"/>
    <n v="40.409999999999997"/>
    <n v="229.16"/>
  </r>
  <r>
    <x v="72"/>
    <x v="112"/>
    <n v="93.6"/>
    <n v="0"/>
    <n v="0"/>
  </r>
  <r>
    <x v="73"/>
    <x v="112"/>
    <n v="93.6"/>
    <n v="0"/>
    <n v="0"/>
  </r>
  <r>
    <x v="74"/>
    <x v="112"/>
    <n v="93.6"/>
    <n v="0"/>
    <n v="0"/>
  </r>
  <r>
    <x v="75"/>
    <x v="112"/>
    <n v="93.6"/>
    <n v="0"/>
    <n v="0"/>
  </r>
  <r>
    <x v="76"/>
    <x v="112"/>
    <n v="93.6"/>
    <n v="0"/>
    <n v="0"/>
  </r>
  <r>
    <x v="77"/>
    <x v="112"/>
    <n v="93.6"/>
    <n v="0"/>
    <n v="0"/>
  </r>
  <r>
    <x v="78"/>
    <x v="112"/>
    <n v="93.6"/>
    <n v="0"/>
    <n v="0"/>
  </r>
  <r>
    <x v="79"/>
    <x v="112"/>
    <n v="93.6"/>
    <n v="0"/>
    <n v="0"/>
  </r>
  <r>
    <x v="80"/>
    <x v="112"/>
    <n v="93.6"/>
    <n v="0"/>
    <n v="0"/>
  </r>
  <r>
    <x v="81"/>
    <x v="112"/>
    <n v="93.6"/>
    <n v="0"/>
    <n v="0"/>
  </r>
  <r>
    <x v="82"/>
    <x v="112"/>
    <n v="93.6"/>
    <n v="0"/>
    <n v="0"/>
  </r>
  <r>
    <x v="83"/>
    <x v="112"/>
    <n v="93.6"/>
    <n v="0"/>
    <n v="0"/>
  </r>
  <r>
    <x v="84"/>
    <x v="112"/>
    <n v="93.6"/>
    <n v="0"/>
    <n v="0"/>
  </r>
  <r>
    <x v="85"/>
    <x v="112"/>
    <n v="93.6"/>
    <n v="0"/>
    <n v="0"/>
  </r>
  <r>
    <x v="86"/>
    <x v="112"/>
    <n v="93.6"/>
    <n v="0"/>
    <n v="0"/>
  </r>
  <r>
    <x v="87"/>
    <x v="112"/>
    <n v="93.6"/>
    <n v="0"/>
    <n v="0"/>
  </r>
  <r>
    <x v="88"/>
    <x v="112"/>
    <n v="93.6"/>
    <n v="0"/>
    <n v="0"/>
  </r>
  <r>
    <x v="89"/>
    <x v="112"/>
    <n v="93.6"/>
    <n v="0"/>
    <n v="0"/>
  </r>
  <r>
    <x v="90"/>
    <x v="112"/>
    <n v="93.6"/>
    <n v="0"/>
    <n v="0"/>
  </r>
  <r>
    <x v="91"/>
    <x v="112"/>
    <n v="93.6"/>
    <n v="0"/>
    <n v="0"/>
  </r>
  <r>
    <x v="92"/>
    <x v="112"/>
    <n v="93.6"/>
    <n v="0"/>
    <n v="0"/>
  </r>
  <r>
    <x v="93"/>
    <x v="112"/>
    <n v="93.6"/>
    <n v="0"/>
    <n v="0"/>
  </r>
  <r>
    <x v="94"/>
    <x v="112"/>
    <n v="93.6"/>
    <n v="0"/>
    <n v="0"/>
  </r>
  <r>
    <x v="95"/>
    <x v="112"/>
    <n v="93.6"/>
    <n v="0"/>
    <n v="0"/>
  </r>
  <r>
    <x v="0"/>
    <x v="113"/>
    <n v="93.9"/>
    <n v="36.92"/>
    <n v="215.09"/>
  </r>
  <r>
    <x v="1"/>
    <x v="113"/>
    <n v="93.9"/>
    <n v="32.869999999999997"/>
    <n v="163.94"/>
  </r>
  <r>
    <x v="2"/>
    <x v="113"/>
    <n v="93.9"/>
    <n v="29.37"/>
    <n v="163.12"/>
  </r>
  <r>
    <x v="3"/>
    <x v="113"/>
    <n v="93.9"/>
    <n v="27.45"/>
    <n v="162.53"/>
  </r>
  <r>
    <x v="4"/>
    <x v="113"/>
    <n v="93.9"/>
    <n v="33.39"/>
    <n v="162.28"/>
  </r>
  <r>
    <x v="5"/>
    <x v="113"/>
    <n v="93.9"/>
    <n v="30.11"/>
    <n v="165.44"/>
  </r>
  <r>
    <x v="6"/>
    <x v="113"/>
    <n v="93.9"/>
    <n v="29.04"/>
    <n v="148.96"/>
  </r>
  <r>
    <x v="7"/>
    <x v="113"/>
    <n v="93.9"/>
    <n v="32.119999999999997"/>
    <n v="166.37"/>
  </r>
  <r>
    <x v="8"/>
    <x v="113"/>
    <n v="93.9"/>
    <n v="-9.64"/>
    <n v="144.55000000000001"/>
  </r>
  <r>
    <x v="9"/>
    <x v="113"/>
    <n v="93.9"/>
    <n v="-5.79"/>
    <n v="143.51"/>
  </r>
  <r>
    <x v="10"/>
    <x v="113"/>
    <n v="93.9"/>
    <n v="-1.32"/>
    <n v="149.44"/>
  </r>
  <r>
    <x v="11"/>
    <x v="113"/>
    <n v="93.9"/>
    <n v="-498.24"/>
    <n v="49.7"/>
  </r>
  <r>
    <x v="12"/>
    <x v="113"/>
    <n v="93.9"/>
    <n v="32.99"/>
    <n v="115.85"/>
  </r>
  <r>
    <x v="13"/>
    <x v="113"/>
    <n v="93.9"/>
    <n v="35.229999999999997"/>
    <n v="87.11"/>
  </r>
  <r>
    <x v="14"/>
    <x v="113"/>
    <n v="93.9"/>
    <n v="35.42"/>
    <n v="90.51"/>
  </r>
  <r>
    <x v="15"/>
    <x v="113"/>
    <n v="93.9"/>
    <n v="29.83"/>
    <n v="92.74"/>
  </r>
  <r>
    <x v="16"/>
    <x v="113"/>
    <n v="93.9"/>
    <n v="29.12"/>
    <n v="97.53"/>
  </r>
  <r>
    <x v="17"/>
    <x v="113"/>
    <n v="93.9"/>
    <n v="28.82"/>
    <n v="86.99"/>
  </r>
  <r>
    <x v="18"/>
    <x v="113"/>
    <n v="93.9"/>
    <n v="26.19"/>
    <n v="81.760000000000005"/>
  </r>
  <r>
    <x v="19"/>
    <x v="113"/>
    <n v="93.9"/>
    <n v="27.24"/>
    <n v="90.06"/>
  </r>
  <r>
    <x v="20"/>
    <x v="113"/>
    <n v="93.9"/>
    <n v="27.99"/>
    <n v="96.42"/>
  </r>
  <r>
    <x v="21"/>
    <x v="113"/>
    <n v="93.9"/>
    <n v="26.72"/>
    <n v="87.59"/>
  </r>
  <r>
    <x v="22"/>
    <x v="113"/>
    <n v="93.9"/>
    <n v="24.55"/>
    <n v="90.23"/>
  </r>
  <r>
    <x v="23"/>
    <x v="113"/>
    <n v="93.9"/>
    <n v="3.05"/>
    <n v="68.95"/>
  </r>
  <r>
    <x v="24"/>
    <x v="113"/>
    <n v="93.9"/>
    <n v="6.97"/>
    <n v="261.81"/>
  </r>
  <r>
    <x v="25"/>
    <x v="113"/>
    <n v="93.9"/>
    <n v="38.979999999999997"/>
    <n v="206.53"/>
  </r>
  <r>
    <x v="26"/>
    <x v="113"/>
    <n v="93.9"/>
    <n v="34.840000000000003"/>
    <n v="185.72"/>
  </r>
  <r>
    <x v="27"/>
    <x v="113"/>
    <n v="93.9"/>
    <n v="41.15"/>
    <n v="203.97"/>
  </r>
  <r>
    <x v="28"/>
    <x v="113"/>
    <n v="93.9"/>
    <n v="38.450000000000003"/>
    <n v="194.67"/>
  </r>
  <r>
    <x v="29"/>
    <x v="113"/>
    <n v="93.9"/>
    <n v="42.97"/>
    <n v="210.84"/>
  </r>
  <r>
    <x v="30"/>
    <x v="113"/>
    <n v="93.9"/>
    <n v="35.65"/>
    <n v="201.56"/>
  </r>
  <r>
    <x v="31"/>
    <x v="113"/>
    <n v="93.9"/>
    <n v="39.61"/>
    <n v="213.87"/>
  </r>
  <r>
    <x v="32"/>
    <x v="113"/>
    <n v="93.9"/>
    <n v="37.82"/>
    <n v="206.5"/>
  </r>
  <r>
    <x v="33"/>
    <x v="113"/>
    <n v="93.9"/>
    <n v="36.56"/>
    <n v="204.6"/>
  </r>
  <r>
    <x v="34"/>
    <x v="113"/>
    <n v="93.9"/>
    <n v="39.950000000000003"/>
    <n v="222.8"/>
  </r>
  <r>
    <x v="35"/>
    <x v="113"/>
    <n v="93.9"/>
    <n v="8.64"/>
    <n v="180.36"/>
  </r>
  <r>
    <x v="36"/>
    <x v="113"/>
    <n v="93.9"/>
    <n v="29.67"/>
    <n v="318.55"/>
  </r>
  <r>
    <x v="37"/>
    <x v="113"/>
    <n v="93.9"/>
    <n v="57.25"/>
    <n v="232.1"/>
  </r>
  <r>
    <x v="38"/>
    <x v="113"/>
    <n v="93.9"/>
    <n v="67.22"/>
    <n v="278.52999999999997"/>
  </r>
  <r>
    <x v="39"/>
    <x v="113"/>
    <n v="93.9"/>
    <n v="56.67"/>
    <n v="0"/>
  </r>
  <r>
    <x v="40"/>
    <x v="113"/>
    <n v="93.9"/>
    <n v="64.2"/>
    <n v="0"/>
  </r>
  <r>
    <x v="41"/>
    <x v="113"/>
    <n v="93.9"/>
    <n v="65.16"/>
    <n v="275.83999999999997"/>
  </r>
  <r>
    <x v="42"/>
    <x v="113"/>
    <n v="93.9"/>
    <n v="66.53"/>
    <n v="0"/>
  </r>
  <r>
    <x v="43"/>
    <x v="113"/>
    <n v="93.9"/>
    <n v="57.3"/>
    <n v="0"/>
  </r>
  <r>
    <x v="44"/>
    <x v="113"/>
    <n v="93.9"/>
    <n v="60.32"/>
    <n v="0"/>
  </r>
  <r>
    <x v="45"/>
    <x v="113"/>
    <n v="93.9"/>
    <n v="60.48"/>
    <n v="0"/>
  </r>
  <r>
    <x v="46"/>
    <x v="113"/>
    <n v="93.9"/>
    <n v="54.42"/>
    <n v="0"/>
  </r>
  <r>
    <x v="47"/>
    <x v="113"/>
    <n v="93.9"/>
    <n v="27.76"/>
    <n v="211.24"/>
  </r>
  <r>
    <x v="48"/>
    <x v="113"/>
    <n v="93.9"/>
    <n v="90.74"/>
    <n v="385.72"/>
  </r>
  <r>
    <x v="49"/>
    <x v="113"/>
    <n v="93.9"/>
    <n v="76.650000000000006"/>
    <n v="268.02999999999997"/>
  </r>
  <r>
    <x v="50"/>
    <x v="113"/>
    <n v="93.9"/>
    <n v="70.819999999999993"/>
    <n v="262.73"/>
  </r>
  <r>
    <x v="51"/>
    <x v="113"/>
    <n v="93.9"/>
    <n v="64.510000000000005"/>
    <n v="271.52"/>
  </r>
  <r>
    <x v="52"/>
    <x v="113"/>
    <n v="93.9"/>
    <n v="57.13"/>
    <n v="266.89"/>
  </r>
  <r>
    <x v="53"/>
    <x v="113"/>
    <n v="93.9"/>
    <n v="62.46"/>
    <n v="0"/>
  </r>
  <r>
    <x v="54"/>
    <x v="113"/>
    <n v="93.9"/>
    <n v="56.59"/>
    <n v="0"/>
  </r>
  <r>
    <x v="55"/>
    <x v="113"/>
    <n v="93.9"/>
    <n v="62.65"/>
    <n v="0"/>
  </r>
  <r>
    <x v="56"/>
    <x v="113"/>
    <n v="93.9"/>
    <n v="62.85"/>
    <n v="0"/>
  </r>
  <r>
    <x v="57"/>
    <x v="113"/>
    <n v="93.9"/>
    <n v="68.540000000000006"/>
    <n v="0"/>
  </r>
  <r>
    <x v="58"/>
    <x v="113"/>
    <n v="93.9"/>
    <n v="62.47"/>
    <n v="0"/>
  </r>
  <r>
    <x v="59"/>
    <x v="113"/>
    <n v="93.9"/>
    <n v="22.17"/>
    <n v="235.42"/>
  </r>
  <r>
    <x v="60"/>
    <x v="113"/>
    <n v="93.9"/>
    <n v="82.76"/>
    <n v="326.35000000000002"/>
  </r>
  <r>
    <x v="61"/>
    <x v="113"/>
    <n v="93.9"/>
    <n v="67.36"/>
    <n v="256.36"/>
  </r>
  <r>
    <x v="62"/>
    <x v="113"/>
    <n v="93.9"/>
    <n v="68.7"/>
    <n v="282.77"/>
  </r>
  <r>
    <x v="63"/>
    <x v="113"/>
    <n v="93.9"/>
    <n v="57.62"/>
    <n v="258.58"/>
  </r>
  <r>
    <x v="64"/>
    <x v="113"/>
    <n v="93.9"/>
    <n v="63.51"/>
    <n v="0"/>
  </r>
  <r>
    <x v="65"/>
    <x v="113"/>
    <n v="93.9"/>
    <n v="70.03"/>
    <n v="0"/>
  </r>
  <r>
    <x v="66"/>
    <x v="113"/>
    <n v="93.9"/>
    <n v="65.150000000000006"/>
    <n v="0"/>
  </r>
  <r>
    <x v="67"/>
    <x v="113"/>
    <n v="93.9"/>
    <n v="64.62"/>
    <n v="0"/>
  </r>
  <r>
    <x v="68"/>
    <x v="113"/>
    <n v="93.9"/>
    <n v="58.09"/>
    <n v="0"/>
  </r>
  <r>
    <x v="69"/>
    <x v="113"/>
    <n v="93.9"/>
    <n v="65.63"/>
    <n v="274.3"/>
  </r>
  <r>
    <x v="70"/>
    <x v="113"/>
    <n v="93.9"/>
    <n v="68.91"/>
    <n v="280.67"/>
  </r>
  <r>
    <x v="71"/>
    <x v="113"/>
    <n v="93.9"/>
    <n v="40.53"/>
    <n v="229.49"/>
  </r>
  <r>
    <x v="72"/>
    <x v="113"/>
    <n v="93.9"/>
    <n v="0"/>
    <n v="0"/>
  </r>
  <r>
    <x v="73"/>
    <x v="113"/>
    <n v="93.9"/>
    <n v="0"/>
    <n v="0"/>
  </r>
  <r>
    <x v="74"/>
    <x v="113"/>
    <n v="93.9"/>
    <n v="0"/>
    <n v="0"/>
  </r>
  <r>
    <x v="75"/>
    <x v="113"/>
    <n v="93.9"/>
    <n v="0"/>
    <n v="0"/>
  </r>
  <r>
    <x v="76"/>
    <x v="113"/>
    <n v="93.9"/>
    <n v="0"/>
    <n v="0"/>
  </r>
  <r>
    <x v="77"/>
    <x v="113"/>
    <n v="93.9"/>
    <n v="0"/>
    <n v="0"/>
  </r>
  <r>
    <x v="78"/>
    <x v="113"/>
    <n v="93.9"/>
    <n v="0"/>
    <n v="0"/>
  </r>
  <r>
    <x v="79"/>
    <x v="113"/>
    <n v="93.9"/>
    <n v="0"/>
    <n v="0"/>
  </r>
  <r>
    <x v="80"/>
    <x v="113"/>
    <n v="93.9"/>
    <n v="0"/>
    <n v="0"/>
  </r>
  <r>
    <x v="81"/>
    <x v="113"/>
    <n v="93.9"/>
    <n v="0"/>
    <n v="0"/>
  </r>
  <r>
    <x v="82"/>
    <x v="113"/>
    <n v="93.9"/>
    <n v="0"/>
    <n v="0"/>
  </r>
  <r>
    <x v="83"/>
    <x v="113"/>
    <n v="93.9"/>
    <n v="0"/>
    <n v="0"/>
  </r>
  <r>
    <x v="84"/>
    <x v="113"/>
    <n v="93.9"/>
    <n v="0"/>
    <n v="0"/>
  </r>
  <r>
    <x v="85"/>
    <x v="113"/>
    <n v="93.9"/>
    <n v="0"/>
    <n v="0"/>
  </r>
  <r>
    <x v="86"/>
    <x v="113"/>
    <n v="93.9"/>
    <n v="0"/>
    <n v="0"/>
  </r>
  <r>
    <x v="87"/>
    <x v="113"/>
    <n v="93.9"/>
    <n v="0"/>
    <n v="0"/>
  </r>
  <r>
    <x v="88"/>
    <x v="113"/>
    <n v="93.9"/>
    <n v="0"/>
    <n v="0"/>
  </r>
  <r>
    <x v="89"/>
    <x v="113"/>
    <n v="93.9"/>
    <n v="0"/>
    <n v="0"/>
  </r>
  <r>
    <x v="90"/>
    <x v="113"/>
    <n v="93.9"/>
    <n v="0"/>
    <n v="0"/>
  </r>
  <r>
    <x v="91"/>
    <x v="113"/>
    <n v="93.9"/>
    <n v="0"/>
    <n v="0"/>
  </r>
  <r>
    <x v="92"/>
    <x v="113"/>
    <n v="93.9"/>
    <n v="0"/>
    <n v="0"/>
  </r>
  <r>
    <x v="93"/>
    <x v="113"/>
    <n v="93.9"/>
    <n v="0"/>
    <n v="0"/>
  </r>
  <r>
    <x v="94"/>
    <x v="113"/>
    <n v="93.9"/>
    <n v="0"/>
    <n v="0"/>
  </r>
  <r>
    <x v="95"/>
    <x v="113"/>
    <n v="93.9"/>
    <n v="0"/>
    <n v="0"/>
  </r>
  <r>
    <x v="0"/>
    <x v="114"/>
    <n v="94.2"/>
    <n v="37.049999999999997"/>
    <n v="215.47"/>
  </r>
  <r>
    <x v="1"/>
    <x v="114"/>
    <n v="94.2"/>
    <n v="32.880000000000003"/>
    <n v="164.04"/>
  </r>
  <r>
    <x v="2"/>
    <x v="114"/>
    <n v="94.2"/>
    <n v="29.39"/>
    <n v="163.21"/>
  </r>
  <r>
    <x v="3"/>
    <x v="114"/>
    <n v="94.2"/>
    <n v="27.54"/>
    <n v="162.68"/>
  </r>
  <r>
    <x v="4"/>
    <x v="114"/>
    <n v="94.2"/>
    <n v="33.380000000000003"/>
    <n v="162.43"/>
  </r>
  <r>
    <x v="5"/>
    <x v="114"/>
    <n v="94.2"/>
    <n v="30.22"/>
    <n v="165.63"/>
  </r>
  <r>
    <x v="6"/>
    <x v="114"/>
    <n v="94.2"/>
    <n v="29.19"/>
    <n v="149.13"/>
  </r>
  <r>
    <x v="7"/>
    <x v="114"/>
    <n v="94.2"/>
    <n v="32.08"/>
    <n v="166.5"/>
  </r>
  <r>
    <x v="8"/>
    <x v="114"/>
    <n v="94.2"/>
    <n v="-9.19"/>
    <n v="144.53"/>
  </r>
  <r>
    <x v="9"/>
    <x v="114"/>
    <n v="94.2"/>
    <n v="-5.61"/>
    <n v="143.44999999999999"/>
  </r>
  <r>
    <x v="10"/>
    <x v="114"/>
    <n v="94.2"/>
    <n v="-1.23"/>
    <n v="149.52000000000001"/>
  </r>
  <r>
    <x v="11"/>
    <x v="114"/>
    <n v="94.2"/>
    <n v="-497.15"/>
    <n v="57.12"/>
  </r>
  <r>
    <x v="12"/>
    <x v="114"/>
    <n v="94.2"/>
    <n v="32.97"/>
    <n v="116.1"/>
  </r>
  <r>
    <x v="13"/>
    <x v="114"/>
    <n v="94.2"/>
    <n v="35.18"/>
    <n v="87.28"/>
  </r>
  <r>
    <x v="14"/>
    <x v="114"/>
    <n v="94.2"/>
    <n v="35.35"/>
    <n v="90.57"/>
  </r>
  <r>
    <x v="15"/>
    <x v="114"/>
    <n v="94.2"/>
    <n v="29.79"/>
    <n v="92.85"/>
  </r>
  <r>
    <x v="16"/>
    <x v="114"/>
    <n v="94.2"/>
    <n v="29.08"/>
    <n v="97.67"/>
  </r>
  <r>
    <x v="17"/>
    <x v="114"/>
    <n v="94.2"/>
    <n v="28.78"/>
    <n v="87.1"/>
  </r>
  <r>
    <x v="18"/>
    <x v="114"/>
    <n v="94.2"/>
    <n v="26.16"/>
    <n v="81.87"/>
  </r>
  <r>
    <x v="19"/>
    <x v="114"/>
    <n v="94.2"/>
    <n v="27.2"/>
    <n v="90.23"/>
  </r>
  <r>
    <x v="20"/>
    <x v="114"/>
    <n v="94.2"/>
    <n v="27.95"/>
    <n v="96.59"/>
  </r>
  <r>
    <x v="21"/>
    <x v="114"/>
    <n v="94.2"/>
    <n v="26.71"/>
    <n v="87.67"/>
  </r>
  <r>
    <x v="22"/>
    <x v="114"/>
    <n v="94.2"/>
    <n v="24.57"/>
    <n v="90.39"/>
  </r>
  <r>
    <x v="23"/>
    <x v="114"/>
    <n v="94.2"/>
    <n v="2.82"/>
    <n v="68.459999999999994"/>
  </r>
  <r>
    <x v="24"/>
    <x v="114"/>
    <n v="94.2"/>
    <n v="8.15"/>
    <n v="262.11"/>
  </r>
  <r>
    <x v="25"/>
    <x v="114"/>
    <n v="94.2"/>
    <n v="39.1"/>
    <n v="206.8"/>
  </r>
  <r>
    <x v="26"/>
    <x v="114"/>
    <n v="94.2"/>
    <n v="35.04"/>
    <n v="185.78"/>
  </r>
  <r>
    <x v="27"/>
    <x v="114"/>
    <n v="94.2"/>
    <n v="41.28"/>
    <n v="204.04"/>
  </r>
  <r>
    <x v="28"/>
    <x v="114"/>
    <n v="94.2"/>
    <n v="38.6"/>
    <n v="194.72"/>
  </r>
  <r>
    <x v="29"/>
    <x v="114"/>
    <n v="94.2"/>
    <n v="43.12"/>
    <n v="211.02"/>
  </r>
  <r>
    <x v="30"/>
    <x v="114"/>
    <n v="94.2"/>
    <n v="35.82"/>
    <n v="201.74"/>
  </r>
  <r>
    <x v="31"/>
    <x v="114"/>
    <n v="94.2"/>
    <n v="39.75"/>
    <n v="214.07"/>
  </r>
  <r>
    <x v="32"/>
    <x v="114"/>
    <n v="94.2"/>
    <n v="37.979999999999997"/>
    <n v="206.72"/>
  </r>
  <r>
    <x v="33"/>
    <x v="114"/>
    <n v="94.2"/>
    <n v="36.729999999999997"/>
    <n v="204.83"/>
  </r>
  <r>
    <x v="34"/>
    <x v="114"/>
    <n v="94.2"/>
    <n v="40.159999999999997"/>
    <n v="223.08"/>
  </r>
  <r>
    <x v="35"/>
    <x v="114"/>
    <n v="94.2"/>
    <n v="9.3000000000000007"/>
    <n v="180.49"/>
  </r>
  <r>
    <x v="36"/>
    <x v="114"/>
    <n v="94.2"/>
    <n v="29.76"/>
    <n v="318.43"/>
  </r>
  <r>
    <x v="37"/>
    <x v="114"/>
    <n v="94.2"/>
    <n v="57.32"/>
    <n v="232.08"/>
  </r>
  <r>
    <x v="38"/>
    <x v="114"/>
    <n v="94.2"/>
    <n v="67.400000000000006"/>
    <n v="278.41000000000003"/>
  </r>
  <r>
    <x v="39"/>
    <x v="114"/>
    <n v="94.2"/>
    <n v="56.8"/>
    <n v="0"/>
  </r>
  <r>
    <x v="40"/>
    <x v="114"/>
    <n v="94.2"/>
    <n v="64.39"/>
    <n v="0"/>
  </r>
  <r>
    <x v="41"/>
    <x v="114"/>
    <n v="94.2"/>
    <n v="65.28"/>
    <n v="275.86"/>
  </r>
  <r>
    <x v="42"/>
    <x v="114"/>
    <n v="94.2"/>
    <n v="66.69"/>
    <n v="0"/>
  </r>
  <r>
    <x v="43"/>
    <x v="114"/>
    <n v="94.2"/>
    <n v="57.44"/>
    <n v="0"/>
  </r>
  <r>
    <x v="44"/>
    <x v="114"/>
    <n v="94.2"/>
    <n v="60.41"/>
    <n v="0"/>
  </r>
  <r>
    <x v="45"/>
    <x v="114"/>
    <n v="94.2"/>
    <n v="60.57"/>
    <n v="0"/>
  </r>
  <r>
    <x v="46"/>
    <x v="114"/>
    <n v="94.2"/>
    <n v="54.53"/>
    <n v="0"/>
  </r>
  <r>
    <x v="47"/>
    <x v="114"/>
    <n v="94.2"/>
    <n v="28.28"/>
    <n v="210.85"/>
  </r>
  <r>
    <x v="48"/>
    <x v="114"/>
    <n v="94.2"/>
    <n v="90.84"/>
    <n v="385.86"/>
  </r>
  <r>
    <x v="49"/>
    <x v="114"/>
    <n v="94.2"/>
    <n v="76.709999999999994"/>
    <n v="268.10000000000002"/>
  </r>
  <r>
    <x v="50"/>
    <x v="114"/>
    <n v="94.2"/>
    <n v="70.88"/>
    <n v="262.97000000000003"/>
  </r>
  <r>
    <x v="51"/>
    <x v="114"/>
    <n v="94.2"/>
    <n v="64.650000000000006"/>
    <n v="271.83"/>
  </r>
  <r>
    <x v="52"/>
    <x v="114"/>
    <n v="94.2"/>
    <n v="57.22"/>
    <n v="267.20999999999998"/>
  </r>
  <r>
    <x v="53"/>
    <x v="114"/>
    <n v="94.2"/>
    <n v="62.72"/>
    <n v="0"/>
  </r>
  <r>
    <x v="54"/>
    <x v="114"/>
    <n v="94.2"/>
    <n v="56.71"/>
    <n v="0"/>
  </r>
  <r>
    <x v="55"/>
    <x v="114"/>
    <n v="94.2"/>
    <n v="62.77"/>
    <n v="0"/>
  </r>
  <r>
    <x v="56"/>
    <x v="114"/>
    <n v="94.2"/>
    <n v="62.94"/>
    <n v="0"/>
  </r>
  <r>
    <x v="57"/>
    <x v="114"/>
    <n v="94.2"/>
    <n v="68.599999999999994"/>
    <n v="0"/>
  </r>
  <r>
    <x v="58"/>
    <x v="114"/>
    <n v="94.2"/>
    <n v="62.61"/>
    <n v="0"/>
  </r>
  <r>
    <x v="59"/>
    <x v="114"/>
    <n v="94.2"/>
    <n v="22.93"/>
    <n v="235.63"/>
  </r>
  <r>
    <x v="60"/>
    <x v="114"/>
    <n v="94.2"/>
    <n v="82.77"/>
    <n v="326.61"/>
  </r>
  <r>
    <x v="61"/>
    <x v="114"/>
    <n v="94.2"/>
    <n v="67.39"/>
    <n v="256.31"/>
  </r>
  <r>
    <x v="62"/>
    <x v="114"/>
    <n v="94.2"/>
    <n v="68.75"/>
    <n v="282.95"/>
  </r>
  <r>
    <x v="63"/>
    <x v="114"/>
    <n v="94.2"/>
    <n v="57.7"/>
    <n v="258.83"/>
  </r>
  <r>
    <x v="64"/>
    <x v="114"/>
    <n v="94.2"/>
    <n v="63.62"/>
    <n v="0"/>
  </r>
  <r>
    <x v="65"/>
    <x v="114"/>
    <n v="94.2"/>
    <n v="70.19"/>
    <n v="0"/>
  </r>
  <r>
    <x v="66"/>
    <x v="114"/>
    <n v="94.2"/>
    <n v="65.290000000000006"/>
    <n v="0"/>
  </r>
  <r>
    <x v="67"/>
    <x v="114"/>
    <n v="94.2"/>
    <n v="64.69"/>
    <n v="0"/>
  </r>
  <r>
    <x v="68"/>
    <x v="114"/>
    <n v="94.2"/>
    <n v="58.26"/>
    <n v="0"/>
  </r>
  <r>
    <x v="69"/>
    <x v="114"/>
    <n v="94.2"/>
    <n v="65.760000000000005"/>
    <n v="274.47000000000003"/>
  </r>
  <r>
    <x v="70"/>
    <x v="114"/>
    <n v="94.2"/>
    <n v="68.989999999999995"/>
    <n v="280.73"/>
  </r>
  <r>
    <x v="71"/>
    <x v="114"/>
    <n v="94.2"/>
    <n v="40.92"/>
    <n v="230.1"/>
  </r>
  <r>
    <x v="72"/>
    <x v="114"/>
    <n v="94.2"/>
    <n v="0"/>
    <n v="0"/>
  </r>
  <r>
    <x v="73"/>
    <x v="114"/>
    <n v="94.2"/>
    <n v="0"/>
    <n v="0"/>
  </r>
  <r>
    <x v="74"/>
    <x v="114"/>
    <n v="94.2"/>
    <n v="0"/>
    <n v="0"/>
  </r>
  <r>
    <x v="75"/>
    <x v="114"/>
    <n v="94.2"/>
    <n v="0"/>
    <n v="0"/>
  </r>
  <r>
    <x v="76"/>
    <x v="114"/>
    <n v="94.2"/>
    <n v="0"/>
    <n v="0"/>
  </r>
  <r>
    <x v="77"/>
    <x v="114"/>
    <n v="94.2"/>
    <n v="0"/>
    <n v="0"/>
  </r>
  <r>
    <x v="78"/>
    <x v="114"/>
    <n v="94.2"/>
    <n v="0"/>
    <n v="0"/>
  </r>
  <r>
    <x v="79"/>
    <x v="114"/>
    <n v="94.2"/>
    <n v="0"/>
    <n v="0"/>
  </r>
  <r>
    <x v="80"/>
    <x v="114"/>
    <n v="94.2"/>
    <n v="0"/>
    <n v="0"/>
  </r>
  <r>
    <x v="81"/>
    <x v="114"/>
    <n v="94.2"/>
    <n v="0"/>
    <n v="0"/>
  </r>
  <r>
    <x v="82"/>
    <x v="114"/>
    <n v="94.2"/>
    <n v="0"/>
    <n v="0"/>
  </r>
  <r>
    <x v="83"/>
    <x v="114"/>
    <n v="94.2"/>
    <n v="0"/>
    <n v="0"/>
  </r>
  <r>
    <x v="84"/>
    <x v="114"/>
    <n v="94.2"/>
    <n v="0"/>
    <n v="0"/>
  </r>
  <r>
    <x v="85"/>
    <x v="114"/>
    <n v="94.2"/>
    <n v="0"/>
    <n v="0"/>
  </r>
  <r>
    <x v="86"/>
    <x v="114"/>
    <n v="94.2"/>
    <n v="0"/>
    <n v="0"/>
  </r>
  <r>
    <x v="87"/>
    <x v="114"/>
    <n v="94.2"/>
    <n v="0"/>
    <n v="0"/>
  </r>
  <r>
    <x v="88"/>
    <x v="114"/>
    <n v="94.2"/>
    <n v="0"/>
    <n v="0"/>
  </r>
  <r>
    <x v="89"/>
    <x v="114"/>
    <n v="94.2"/>
    <n v="0"/>
    <n v="0"/>
  </r>
  <r>
    <x v="90"/>
    <x v="114"/>
    <n v="94.2"/>
    <n v="0"/>
    <n v="0"/>
  </r>
  <r>
    <x v="91"/>
    <x v="114"/>
    <n v="94.2"/>
    <n v="0"/>
    <n v="0"/>
  </r>
  <r>
    <x v="92"/>
    <x v="114"/>
    <n v="94.2"/>
    <n v="0"/>
    <n v="0"/>
  </r>
  <r>
    <x v="93"/>
    <x v="114"/>
    <n v="94.2"/>
    <n v="0"/>
    <n v="0"/>
  </r>
  <r>
    <x v="94"/>
    <x v="114"/>
    <n v="94.2"/>
    <n v="0"/>
    <n v="0"/>
  </r>
  <r>
    <x v="95"/>
    <x v="114"/>
    <n v="94.2"/>
    <n v="0"/>
    <n v="0"/>
  </r>
  <r>
    <x v="0"/>
    <x v="115"/>
    <n v="94.5"/>
    <n v="37.31"/>
    <n v="215.88"/>
  </r>
  <r>
    <x v="1"/>
    <x v="115"/>
    <n v="94.5"/>
    <n v="32.99"/>
    <n v="164.16"/>
  </r>
  <r>
    <x v="2"/>
    <x v="115"/>
    <n v="94.5"/>
    <n v="29.51"/>
    <n v="163.33000000000001"/>
  </r>
  <r>
    <x v="3"/>
    <x v="115"/>
    <n v="94.5"/>
    <n v="27.73"/>
    <n v="162.86000000000001"/>
  </r>
  <r>
    <x v="4"/>
    <x v="115"/>
    <n v="94.5"/>
    <n v="33.47"/>
    <n v="162.61000000000001"/>
  </r>
  <r>
    <x v="5"/>
    <x v="115"/>
    <n v="94.5"/>
    <n v="30.42"/>
    <n v="165.84"/>
  </r>
  <r>
    <x v="6"/>
    <x v="115"/>
    <n v="94.5"/>
    <n v="29.43"/>
    <n v="149.33000000000001"/>
  </r>
  <r>
    <x v="7"/>
    <x v="115"/>
    <n v="94.5"/>
    <n v="32.14"/>
    <n v="166.66"/>
  </r>
  <r>
    <x v="8"/>
    <x v="115"/>
    <n v="94.5"/>
    <n v="-8.67"/>
    <n v="144.55000000000001"/>
  </r>
  <r>
    <x v="9"/>
    <x v="115"/>
    <n v="94.5"/>
    <n v="-5.32"/>
    <n v="143.43"/>
  </r>
  <r>
    <x v="10"/>
    <x v="115"/>
    <n v="94.5"/>
    <n v="-1.04"/>
    <n v="149.62"/>
  </r>
  <r>
    <x v="11"/>
    <x v="115"/>
    <n v="94.5"/>
    <n v="-496.29"/>
    <n v="63.85"/>
  </r>
  <r>
    <x v="12"/>
    <x v="115"/>
    <n v="94.5"/>
    <n v="32.97"/>
    <n v="116.34"/>
  </r>
  <r>
    <x v="13"/>
    <x v="115"/>
    <n v="94.5"/>
    <n v="35.15"/>
    <n v="87.47"/>
  </r>
  <r>
    <x v="14"/>
    <x v="115"/>
    <n v="94.5"/>
    <n v="35.299999999999997"/>
    <n v="90.64"/>
  </r>
  <r>
    <x v="15"/>
    <x v="115"/>
    <n v="94.5"/>
    <n v="29.78"/>
    <n v="92.96"/>
  </r>
  <r>
    <x v="16"/>
    <x v="115"/>
    <n v="94.5"/>
    <n v="29.06"/>
    <n v="97.86"/>
  </r>
  <r>
    <x v="17"/>
    <x v="115"/>
    <n v="94.5"/>
    <n v="28.76"/>
    <n v="87.24"/>
  </r>
  <r>
    <x v="18"/>
    <x v="115"/>
    <n v="94.5"/>
    <n v="26.14"/>
    <n v="81.99"/>
  </r>
  <r>
    <x v="19"/>
    <x v="115"/>
    <n v="94.5"/>
    <n v="27.18"/>
    <n v="90.42"/>
  </r>
  <r>
    <x v="20"/>
    <x v="115"/>
    <n v="94.5"/>
    <n v="27.93"/>
    <n v="96.77"/>
  </r>
  <r>
    <x v="21"/>
    <x v="115"/>
    <n v="94.5"/>
    <n v="26.73"/>
    <n v="87.8"/>
  </r>
  <r>
    <x v="22"/>
    <x v="115"/>
    <n v="94.5"/>
    <n v="24.6"/>
    <n v="90.56"/>
  </r>
  <r>
    <x v="23"/>
    <x v="115"/>
    <n v="94.5"/>
    <n v="2.62"/>
    <n v="67.989999999999995"/>
  </r>
  <r>
    <x v="24"/>
    <x v="115"/>
    <n v="94.5"/>
    <n v="9.4"/>
    <n v="262.45999999999998"/>
  </r>
  <r>
    <x v="25"/>
    <x v="115"/>
    <n v="94.5"/>
    <n v="39.340000000000003"/>
    <n v="207.1"/>
  </r>
  <r>
    <x v="26"/>
    <x v="115"/>
    <n v="94.5"/>
    <n v="35.340000000000003"/>
    <n v="185.9"/>
  </r>
  <r>
    <x v="27"/>
    <x v="115"/>
    <n v="94.5"/>
    <n v="41.52"/>
    <n v="204.18"/>
  </r>
  <r>
    <x v="28"/>
    <x v="115"/>
    <n v="94.5"/>
    <n v="38.86"/>
    <n v="194.82"/>
  </r>
  <r>
    <x v="29"/>
    <x v="115"/>
    <n v="94.5"/>
    <n v="43.4"/>
    <n v="211.23"/>
  </r>
  <r>
    <x v="30"/>
    <x v="115"/>
    <n v="94.5"/>
    <n v="36.1"/>
    <n v="201.96"/>
  </r>
  <r>
    <x v="31"/>
    <x v="115"/>
    <n v="94.5"/>
    <n v="40"/>
    <n v="214.3"/>
  </r>
  <r>
    <x v="32"/>
    <x v="115"/>
    <n v="94.5"/>
    <n v="38.24"/>
    <n v="206.97"/>
  </r>
  <r>
    <x v="33"/>
    <x v="115"/>
    <n v="94.5"/>
    <n v="37.020000000000003"/>
    <n v="205.1"/>
  </r>
  <r>
    <x v="34"/>
    <x v="115"/>
    <n v="94.5"/>
    <n v="40.479999999999997"/>
    <n v="223.38"/>
  </r>
  <r>
    <x v="35"/>
    <x v="115"/>
    <n v="94.5"/>
    <n v="10"/>
    <n v="180.67"/>
  </r>
  <r>
    <x v="36"/>
    <x v="115"/>
    <n v="94.5"/>
    <n v="30.22"/>
    <n v="318.55"/>
  </r>
  <r>
    <x v="37"/>
    <x v="115"/>
    <n v="94.5"/>
    <n v="57.6"/>
    <n v="232.22"/>
  </r>
  <r>
    <x v="38"/>
    <x v="115"/>
    <n v="94.5"/>
    <n v="67.81"/>
    <n v="278.41000000000003"/>
  </r>
  <r>
    <x v="39"/>
    <x v="115"/>
    <n v="94.5"/>
    <n v="57.13"/>
    <n v="0"/>
  </r>
  <r>
    <x v="40"/>
    <x v="115"/>
    <n v="94.5"/>
    <n v="64.790000000000006"/>
    <n v="0"/>
  </r>
  <r>
    <x v="41"/>
    <x v="115"/>
    <n v="94.5"/>
    <n v="65.64"/>
    <n v="275.95"/>
  </r>
  <r>
    <x v="42"/>
    <x v="115"/>
    <n v="94.5"/>
    <n v="67.069999999999993"/>
    <n v="0"/>
  </r>
  <r>
    <x v="43"/>
    <x v="115"/>
    <n v="94.5"/>
    <n v="57.78"/>
    <n v="0"/>
  </r>
  <r>
    <x v="44"/>
    <x v="115"/>
    <n v="94.5"/>
    <n v="60.74"/>
    <n v="0"/>
  </r>
  <r>
    <x v="45"/>
    <x v="115"/>
    <n v="94.5"/>
    <n v="60.9"/>
    <n v="0"/>
  </r>
  <r>
    <x v="46"/>
    <x v="115"/>
    <n v="94.5"/>
    <n v="54.83"/>
    <n v="0"/>
  </r>
  <r>
    <x v="47"/>
    <x v="115"/>
    <n v="94.5"/>
    <n v="28.94"/>
    <n v="210.73"/>
  </r>
  <r>
    <x v="48"/>
    <x v="115"/>
    <n v="94.5"/>
    <n v="91.31"/>
    <n v="386.09"/>
  </r>
  <r>
    <x v="49"/>
    <x v="115"/>
    <n v="94.5"/>
    <n v="77.02"/>
    <n v="268.35000000000002"/>
  </r>
  <r>
    <x v="50"/>
    <x v="115"/>
    <n v="94.5"/>
    <n v="71.17"/>
    <n v="263.36"/>
  </r>
  <r>
    <x v="51"/>
    <x v="115"/>
    <n v="94.5"/>
    <n v="65"/>
    <n v="272.29000000000002"/>
  </r>
  <r>
    <x v="52"/>
    <x v="115"/>
    <n v="94.5"/>
    <n v="57.53"/>
    <n v="267.66000000000003"/>
  </r>
  <r>
    <x v="53"/>
    <x v="115"/>
    <n v="94.5"/>
    <n v="63.2"/>
    <n v="0"/>
  </r>
  <r>
    <x v="54"/>
    <x v="115"/>
    <n v="94.5"/>
    <n v="57.01"/>
    <n v="0"/>
  </r>
  <r>
    <x v="55"/>
    <x v="115"/>
    <n v="94.5"/>
    <n v="63.12"/>
    <n v="0"/>
  </r>
  <r>
    <x v="56"/>
    <x v="115"/>
    <n v="94.5"/>
    <n v="63.28"/>
    <n v="0"/>
  </r>
  <r>
    <x v="57"/>
    <x v="115"/>
    <n v="94.5"/>
    <n v="68.91"/>
    <n v="0"/>
  </r>
  <r>
    <x v="58"/>
    <x v="115"/>
    <n v="94.5"/>
    <n v="62.94"/>
    <n v="0"/>
  </r>
  <r>
    <x v="59"/>
    <x v="115"/>
    <n v="94.5"/>
    <n v="23.84"/>
    <n v="235.95"/>
  </r>
  <r>
    <x v="60"/>
    <x v="115"/>
    <n v="94.5"/>
    <n v="83.11"/>
    <n v="326.94"/>
  </r>
  <r>
    <x v="61"/>
    <x v="115"/>
    <n v="94.5"/>
    <n v="67.67"/>
    <n v="256.33"/>
  </r>
  <r>
    <x v="62"/>
    <x v="115"/>
    <n v="94.5"/>
    <n v="69.05"/>
    <n v="283.31"/>
  </r>
  <r>
    <x v="63"/>
    <x v="115"/>
    <n v="94.5"/>
    <n v="58"/>
    <n v="259.23"/>
  </r>
  <r>
    <x v="64"/>
    <x v="115"/>
    <n v="94.5"/>
    <n v="63.97"/>
    <n v="0"/>
  </r>
  <r>
    <x v="65"/>
    <x v="115"/>
    <n v="94.5"/>
    <n v="70.599999999999994"/>
    <n v="0"/>
  </r>
  <r>
    <x v="66"/>
    <x v="115"/>
    <n v="94.5"/>
    <n v="65.650000000000006"/>
    <n v="0"/>
  </r>
  <r>
    <x v="67"/>
    <x v="115"/>
    <n v="94.5"/>
    <n v="65.010000000000005"/>
    <n v="0"/>
  </r>
  <r>
    <x v="68"/>
    <x v="115"/>
    <n v="94.5"/>
    <n v="58.63"/>
    <n v="0"/>
  </r>
  <r>
    <x v="69"/>
    <x v="115"/>
    <n v="94.5"/>
    <n v="66.14"/>
    <n v="274.79000000000002"/>
  </r>
  <r>
    <x v="70"/>
    <x v="115"/>
    <n v="94.5"/>
    <n v="69.319999999999993"/>
    <n v="280.99"/>
  </r>
  <r>
    <x v="71"/>
    <x v="115"/>
    <n v="94.5"/>
    <n v="41.54"/>
    <n v="230.83"/>
  </r>
  <r>
    <x v="72"/>
    <x v="115"/>
    <n v="94.5"/>
    <n v="0"/>
    <n v="0"/>
  </r>
  <r>
    <x v="73"/>
    <x v="115"/>
    <n v="94.5"/>
    <n v="0"/>
    <n v="0"/>
  </r>
  <r>
    <x v="74"/>
    <x v="115"/>
    <n v="94.5"/>
    <n v="0"/>
    <n v="0"/>
  </r>
  <r>
    <x v="75"/>
    <x v="115"/>
    <n v="94.5"/>
    <n v="0"/>
    <n v="0"/>
  </r>
  <r>
    <x v="76"/>
    <x v="115"/>
    <n v="94.5"/>
    <n v="0"/>
    <n v="0"/>
  </r>
  <r>
    <x v="77"/>
    <x v="115"/>
    <n v="94.5"/>
    <n v="0"/>
    <n v="0"/>
  </r>
  <r>
    <x v="78"/>
    <x v="115"/>
    <n v="94.5"/>
    <n v="0"/>
    <n v="0"/>
  </r>
  <r>
    <x v="79"/>
    <x v="115"/>
    <n v="94.5"/>
    <n v="0"/>
    <n v="0"/>
  </r>
  <r>
    <x v="80"/>
    <x v="115"/>
    <n v="94.5"/>
    <n v="0"/>
    <n v="0"/>
  </r>
  <r>
    <x v="81"/>
    <x v="115"/>
    <n v="94.5"/>
    <n v="0"/>
    <n v="0"/>
  </r>
  <r>
    <x v="82"/>
    <x v="115"/>
    <n v="94.5"/>
    <n v="0"/>
    <n v="0"/>
  </r>
  <r>
    <x v="83"/>
    <x v="115"/>
    <n v="94.5"/>
    <n v="0"/>
    <n v="0"/>
  </r>
  <r>
    <x v="84"/>
    <x v="115"/>
    <n v="94.5"/>
    <n v="0"/>
    <n v="0"/>
  </r>
  <r>
    <x v="85"/>
    <x v="115"/>
    <n v="94.5"/>
    <n v="0"/>
    <n v="0"/>
  </r>
  <r>
    <x v="86"/>
    <x v="115"/>
    <n v="94.5"/>
    <n v="0"/>
    <n v="0"/>
  </r>
  <r>
    <x v="87"/>
    <x v="115"/>
    <n v="94.5"/>
    <n v="0"/>
    <n v="0"/>
  </r>
  <r>
    <x v="88"/>
    <x v="115"/>
    <n v="94.5"/>
    <n v="0"/>
    <n v="0"/>
  </r>
  <r>
    <x v="89"/>
    <x v="115"/>
    <n v="94.5"/>
    <n v="0"/>
    <n v="0"/>
  </r>
  <r>
    <x v="90"/>
    <x v="115"/>
    <n v="94.5"/>
    <n v="0"/>
    <n v="0"/>
  </r>
  <r>
    <x v="91"/>
    <x v="115"/>
    <n v="94.5"/>
    <n v="0"/>
    <n v="0"/>
  </r>
  <r>
    <x v="92"/>
    <x v="115"/>
    <n v="94.5"/>
    <n v="0"/>
    <n v="0"/>
  </r>
  <r>
    <x v="93"/>
    <x v="115"/>
    <n v="94.5"/>
    <n v="0"/>
    <n v="0"/>
  </r>
  <r>
    <x v="94"/>
    <x v="115"/>
    <n v="94.5"/>
    <n v="0"/>
    <n v="0"/>
  </r>
  <r>
    <x v="95"/>
    <x v="115"/>
    <n v="94.5"/>
    <n v="0"/>
    <n v="0"/>
  </r>
  <r>
    <x v="0"/>
    <x v="116"/>
    <n v="94.8"/>
    <n v="37.659999999999997"/>
    <n v="216.32"/>
  </r>
  <r>
    <x v="1"/>
    <x v="116"/>
    <n v="94.8"/>
    <n v="33.19"/>
    <n v="164.34"/>
  </r>
  <r>
    <x v="2"/>
    <x v="116"/>
    <n v="94.8"/>
    <n v="29.7"/>
    <n v="163.49"/>
  </r>
  <r>
    <x v="3"/>
    <x v="116"/>
    <n v="94.8"/>
    <n v="27.98"/>
    <n v="163.07"/>
  </r>
  <r>
    <x v="4"/>
    <x v="116"/>
    <n v="94.8"/>
    <n v="33.64"/>
    <n v="162.84"/>
  </r>
  <r>
    <x v="5"/>
    <x v="116"/>
    <n v="94.8"/>
    <n v="30.7"/>
    <n v="166.09"/>
  </r>
  <r>
    <x v="6"/>
    <x v="116"/>
    <n v="94.8"/>
    <n v="29.73"/>
    <n v="149.56"/>
  </r>
  <r>
    <x v="7"/>
    <x v="116"/>
    <n v="94.8"/>
    <n v="32.29"/>
    <n v="166.86"/>
  </r>
  <r>
    <x v="8"/>
    <x v="116"/>
    <n v="94.8"/>
    <n v="-8.1199999999999992"/>
    <n v="144.62"/>
  </r>
  <r>
    <x v="9"/>
    <x v="116"/>
    <n v="94.8"/>
    <n v="-4.97"/>
    <n v="143.47"/>
  </r>
  <r>
    <x v="10"/>
    <x v="116"/>
    <n v="94.8"/>
    <n v="-0.77"/>
    <n v="149.78"/>
  </r>
  <r>
    <x v="11"/>
    <x v="116"/>
    <n v="94.8"/>
    <n v="-495.75"/>
    <n v="69.650000000000006"/>
  </r>
  <r>
    <x v="12"/>
    <x v="116"/>
    <n v="94.8"/>
    <n v="33.01"/>
    <n v="116.6"/>
  </r>
  <r>
    <x v="13"/>
    <x v="116"/>
    <n v="94.8"/>
    <n v="35.14"/>
    <n v="87.69"/>
  </r>
  <r>
    <x v="14"/>
    <x v="116"/>
    <n v="94.8"/>
    <n v="35.29"/>
    <n v="90.73"/>
  </r>
  <r>
    <x v="15"/>
    <x v="116"/>
    <n v="94.8"/>
    <n v="29.78"/>
    <n v="93.09"/>
  </r>
  <r>
    <x v="16"/>
    <x v="116"/>
    <n v="94.8"/>
    <n v="29.07"/>
    <n v="98.08"/>
  </r>
  <r>
    <x v="17"/>
    <x v="116"/>
    <n v="94.8"/>
    <n v="28.77"/>
    <n v="87.42"/>
  </r>
  <r>
    <x v="18"/>
    <x v="116"/>
    <n v="94.8"/>
    <n v="26.14"/>
    <n v="82.12"/>
  </r>
  <r>
    <x v="19"/>
    <x v="116"/>
    <n v="94.8"/>
    <n v="27.19"/>
    <n v="90.64"/>
  </r>
  <r>
    <x v="20"/>
    <x v="116"/>
    <n v="94.8"/>
    <n v="27.94"/>
    <n v="96.96"/>
  </r>
  <r>
    <x v="21"/>
    <x v="116"/>
    <n v="94.8"/>
    <n v="26.76"/>
    <n v="87.98"/>
  </r>
  <r>
    <x v="22"/>
    <x v="116"/>
    <n v="94.8"/>
    <n v="24.66"/>
    <n v="90.75"/>
  </r>
  <r>
    <x v="23"/>
    <x v="116"/>
    <n v="94.8"/>
    <n v="2.46"/>
    <n v="67.569999999999993"/>
  </r>
  <r>
    <x v="24"/>
    <x v="116"/>
    <n v="94.8"/>
    <n v="10.62"/>
    <n v="262.87"/>
  </r>
  <r>
    <x v="25"/>
    <x v="116"/>
    <n v="94.8"/>
    <n v="39.659999999999997"/>
    <n v="207.43"/>
  </r>
  <r>
    <x v="26"/>
    <x v="116"/>
    <n v="94.8"/>
    <n v="35.71"/>
    <n v="186.15"/>
  </r>
  <r>
    <x v="27"/>
    <x v="116"/>
    <n v="94.8"/>
    <n v="41.85"/>
    <n v="204.45"/>
  </r>
  <r>
    <x v="28"/>
    <x v="116"/>
    <n v="94.8"/>
    <n v="39.200000000000003"/>
    <n v="194.99"/>
  </r>
  <r>
    <x v="29"/>
    <x v="116"/>
    <n v="94.8"/>
    <n v="43.77"/>
    <n v="211.49"/>
  </r>
  <r>
    <x v="30"/>
    <x v="116"/>
    <n v="94.8"/>
    <n v="36.46"/>
    <n v="202.22"/>
  </r>
  <r>
    <x v="31"/>
    <x v="116"/>
    <n v="94.8"/>
    <n v="40.340000000000003"/>
    <n v="214.58"/>
  </r>
  <r>
    <x v="32"/>
    <x v="116"/>
    <n v="94.8"/>
    <n v="38.590000000000003"/>
    <n v="207.26"/>
  </r>
  <r>
    <x v="33"/>
    <x v="116"/>
    <n v="94.8"/>
    <n v="37.39"/>
    <n v="205.4"/>
  </r>
  <r>
    <x v="34"/>
    <x v="116"/>
    <n v="94.8"/>
    <n v="40.89"/>
    <n v="223.73"/>
  </r>
  <r>
    <x v="35"/>
    <x v="116"/>
    <n v="94.8"/>
    <n v="10.71"/>
    <n v="180.89"/>
  </r>
  <r>
    <x v="36"/>
    <x v="116"/>
    <n v="94.8"/>
    <n v="30.96"/>
    <n v="318.95"/>
  </r>
  <r>
    <x v="37"/>
    <x v="116"/>
    <n v="94.8"/>
    <n v="58.04"/>
    <n v="232.54"/>
  </r>
  <r>
    <x v="38"/>
    <x v="116"/>
    <n v="94.8"/>
    <n v="68.38"/>
    <n v="278.64"/>
  </r>
  <r>
    <x v="39"/>
    <x v="116"/>
    <n v="94.8"/>
    <n v="57.6"/>
    <n v="0"/>
  </r>
  <r>
    <x v="40"/>
    <x v="116"/>
    <n v="94.8"/>
    <n v="65.37"/>
    <n v="0"/>
  </r>
  <r>
    <x v="41"/>
    <x v="116"/>
    <n v="94.8"/>
    <n v="66.17"/>
    <n v="276.14999999999998"/>
  </r>
  <r>
    <x v="42"/>
    <x v="116"/>
    <n v="94.8"/>
    <n v="67.62"/>
    <n v="0"/>
  </r>
  <r>
    <x v="43"/>
    <x v="116"/>
    <n v="94.8"/>
    <n v="58.28"/>
    <n v="0"/>
  </r>
  <r>
    <x v="44"/>
    <x v="116"/>
    <n v="94.8"/>
    <n v="61.24"/>
    <n v="0"/>
  </r>
  <r>
    <x v="45"/>
    <x v="116"/>
    <n v="94.8"/>
    <n v="61.41"/>
    <n v="0"/>
  </r>
  <r>
    <x v="46"/>
    <x v="116"/>
    <n v="94.8"/>
    <n v="55.29"/>
    <n v="0"/>
  </r>
  <r>
    <x v="47"/>
    <x v="116"/>
    <n v="94.8"/>
    <n v="29.67"/>
    <n v="210.85"/>
  </r>
  <r>
    <x v="48"/>
    <x v="116"/>
    <n v="94.8"/>
    <n v="92.07"/>
    <n v="386.45"/>
  </r>
  <r>
    <x v="49"/>
    <x v="116"/>
    <n v="94.8"/>
    <n v="77.540000000000006"/>
    <n v="268.79000000000002"/>
  </r>
  <r>
    <x v="50"/>
    <x v="116"/>
    <n v="94.8"/>
    <n v="71.64"/>
    <n v="263.87"/>
  </r>
  <r>
    <x v="51"/>
    <x v="116"/>
    <n v="94.8"/>
    <n v="65.53"/>
    <n v="272.85000000000002"/>
  </r>
  <r>
    <x v="52"/>
    <x v="116"/>
    <n v="94.8"/>
    <n v="58.02"/>
    <n v="268.22000000000003"/>
  </r>
  <r>
    <x v="53"/>
    <x v="116"/>
    <n v="94.8"/>
    <n v="63.83"/>
    <n v="0"/>
  </r>
  <r>
    <x v="54"/>
    <x v="116"/>
    <n v="94.8"/>
    <n v="57.46"/>
    <n v="0"/>
  </r>
  <r>
    <x v="55"/>
    <x v="116"/>
    <n v="94.8"/>
    <n v="63.63"/>
    <n v="0"/>
  </r>
  <r>
    <x v="56"/>
    <x v="116"/>
    <n v="94.8"/>
    <n v="63.8"/>
    <n v="0"/>
  </r>
  <r>
    <x v="57"/>
    <x v="116"/>
    <n v="94.8"/>
    <n v="69.42"/>
    <n v="0"/>
  </r>
  <r>
    <x v="58"/>
    <x v="116"/>
    <n v="94.8"/>
    <n v="63.43"/>
    <n v="0"/>
  </r>
  <r>
    <x v="59"/>
    <x v="116"/>
    <n v="94.8"/>
    <n v="24.82"/>
    <n v="236.41"/>
  </r>
  <r>
    <x v="60"/>
    <x v="116"/>
    <n v="94.8"/>
    <n v="83.71"/>
    <n v="327.36"/>
  </r>
  <r>
    <x v="61"/>
    <x v="116"/>
    <n v="94.8"/>
    <n v="68.150000000000006"/>
    <n v="256.45999999999998"/>
  </r>
  <r>
    <x v="62"/>
    <x v="116"/>
    <n v="94.8"/>
    <n v="69.55"/>
    <n v="283.83999999999997"/>
  </r>
  <r>
    <x v="63"/>
    <x v="116"/>
    <n v="94.8"/>
    <n v="58.47"/>
    <n v="259.74"/>
  </r>
  <r>
    <x v="64"/>
    <x v="116"/>
    <n v="94.8"/>
    <n v="64.5"/>
    <n v="0"/>
  </r>
  <r>
    <x v="65"/>
    <x v="116"/>
    <n v="94.8"/>
    <n v="71.209999999999994"/>
    <n v="0"/>
  </r>
  <r>
    <x v="66"/>
    <x v="116"/>
    <n v="94.8"/>
    <n v="66.180000000000007"/>
    <n v="0"/>
  </r>
  <r>
    <x v="67"/>
    <x v="116"/>
    <n v="94.8"/>
    <n v="65.52"/>
    <n v="0"/>
  </r>
  <r>
    <x v="68"/>
    <x v="116"/>
    <n v="94.8"/>
    <n v="59.16"/>
    <n v="0"/>
  </r>
  <r>
    <x v="69"/>
    <x v="116"/>
    <n v="94.8"/>
    <n v="66.709999999999994"/>
    <n v="275.27"/>
  </r>
  <r>
    <x v="70"/>
    <x v="116"/>
    <n v="94.8"/>
    <n v="69.86"/>
    <n v="281.45"/>
  </r>
  <r>
    <x v="71"/>
    <x v="116"/>
    <n v="94.8"/>
    <n v="42.31"/>
    <n v="231.59"/>
  </r>
  <r>
    <x v="72"/>
    <x v="116"/>
    <n v="94.8"/>
    <n v="0"/>
    <n v="0"/>
  </r>
  <r>
    <x v="73"/>
    <x v="116"/>
    <n v="94.8"/>
    <n v="0"/>
    <n v="0"/>
  </r>
  <r>
    <x v="74"/>
    <x v="116"/>
    <n v="94.8"/>
    <n v="0"/>
    <n v="0"/>
  </r>
  <r>
    <x v="75"/>
    <x v="116"/>
    <n v="94.8"/>
    <n v="0"/>
    <n v="0"/>
  </r>
  <r>
    <x v="76"/>
    <x v="116"/>
    <n v="94.8"/>
    <n v="0"/>
    <n v="0"/>
  </r>
  <r>
    <x v="77"/>
    <x v="116"/>
    <n v="94.8"/>
    <n v="0"/>
    <n v="0"/>
  </r>
  <r>
    <x v="78"/>
    <x v="116"/>
    <n v="94.8"/>
    <n v="0"/>
    <n v="0"/>
  </r>
  <r>
    <x v="79"/>
    <x v="116"/>
    <n v="94.8"/>
    <n v="0"/>
    <n v="0"/>
  </r>
  <r>
    <x v="80"/>
    <x v="116"/>
    <n v="94.8"/>
    <n v="0"/>
    <n v="0"/>
  </r>
  <r>
    <x v="81"/>
    <x v="116"/>
    <n v="94.8"/>
    <n v="0"/>
    <n v="0"/>
  </r>
  <r>
    <x v="82"/>
    <x v="116"/>
    <n v="94.8"/>
    <n v="0"/>
    <n v="0"/>
  </r>
  <r>
    <x v="83"/>
    <x v="116"/>
    <n v="94.8"/>
    <n v="0"/>
    <n v="0"/>
  </r>
  <r>
    <x v="84"/>
    <x v="116"/>
    <n v="94.8"/>
    <n v="0"/>
    <n v="0"/>
  </r>
  <r>
    <x v="85"/>
    <x v="116"/>
    <n v="94.8"/>
    <n v="0"/>
    <n v="0"/>
  </r>
  <r>
    <x v="86"/>
    <x v="116"/>
    <n v="94.8"/>
    <n v="0"/>
    <n v="0"/>
  </r>
  <r>
    <x v="87"/>
    <x v="116"/>
    <n v="94.8"/>
    <n v="0"/>
    <n v="0"/>
  </r>
  <r>
    <x v="88"/>
    <x v="116"/>
    <n v="94.8"/>
    <n v="0"/>
    <n v="0"/>
  </r>
  <r>
    <x v="89"/>
    <x v="116"/>
    <n v="94.8"/>
    <n v="0"/>
    <n v="0"/>
  </r>
  <r>
    <x v="90"/>
    <x v="116"/>
    <n v="94.8"/>
    <n v="0"/>
    <n v="0"/>
  </r>
  <r>
    <x v="91"/>
    <x v="116"/>
    <n v="94.8"/>
    <n v="0"/>
    <n v="0"/>
  </r>
  <r>
    <x v="92"/>
    <x v="116"/>
    <n v="94.8"/>
    <n v="0"/>
    <n v="0"/>
  </r>
  <r>
    <x v="93"/>
    <x v="116"/>
    <n v="94.8"/>
    <n v="0"/>
    <n v="0"/>
  </r>
  <r>
    <x v="94"/>
    <x v="116"/>
    <n v="94.8"/>
    <n v="0"/>
    <n v="0"/>
  </r>
  <r>
    <x v="95"/>
    <x v="116"/>
    <n v="94.8"/>
    <n v="0"/>
    <n v="0"/>
  </r>
  <r>
    <x v="0"/>
    <x v="117"/>
    <n v="95"/>
    <n v="37.979999999999997"/>
    <n v="216.86"/>
  </r>
  <r>
    <x v="1"/>
    <x v="117"/>
    <n v="95"/>
    <n v="33.4"/>
    <n v="164.63"/>
  </r>
  <r>
    <x v="2"/>
    <x v="117"/>
    <n v="95"/>
    <n v="29.89"/>
    <n v="163.78"/>
  </r>
  <r>
    <x v="3"/>
    <x v="117"/>
    <n v="95"/>
    <n v="28.21"/>
    <n v="163.4"/>
  </r>
  <r>
    <x v="4"/>
    <x v="117"/>
    <n v="95"/>
    <n v="33.82"/>
    <n v="163.16999999999999"/>
  </r>
  <r>
    <x v="5"/>
    <x v="117"/>
    <n v="95"/>
    <n v="30.95"/>
    <n v="166.44"/>
  </r>
  <r>
    <x v="6"/>
    <x v="117"/>
    <n v="95"/>
    <n v="29.99"/>
    <n v="149.88999999999999"/>
  </r>
  <r>
    <x v="7"/>
    <x v="117"/>
    <n v="95"/>
    <n v="32.47"/>
    <n v="167.19"/>
  </r>
  <r>
    <x v="8"/>
    <x v="117"/>
    <n v="95"/>
    <n v="-7.75"/>
    <n v="144.84"/>
  </r>
  <r>
    <x v="9"/>
    <x v="117"/>
    <n v="95"/>
    <n v="-4.71"/>
    <n v="143.66999999999999"/>
  </r>
  <r>
    <x v="10"/>
    <x v="117"/>
    <n v="95"/>
    <n v="-0.55000000000000004"/>
    <n v="150.05000000000001"/>
  </r>
  <r>
    <x v="11"/>
    <x v="117"/>
    <n v="95"/>
    <n v="-496"/>
    <n v="73.319999999999993"/>
  </r>
  <r>
    <x v="12"/>
    <x v="117"/>
    <n v="95"/>
    <n v="33.08"/>
    <n v="116.9"/>
  </r>
  <r>
    <x v="13"/>
    <x v="117"/>
    <n v="95"/>
    <n v="35.19"/>
    <n v="87.92"/>
  </r>
  <r>
    <x v="14"/>
    <x v="117"/>
    <n v="95"/>
    <n v="35.33"/>
    <n v="90.89"/>
  </r>
  <r>
    <x v="15"/>
    <x v="117"/>
    <n v="95"/>
    <n v="29.83"/>
    <n v="93.28"/>
  </r>
  <r>
    <x v="16"/>
    <x v="117"/>
    <n v="95"/>
    <n v="29.12"/>
    <n v="98.33"/>
  </r>
  <r>
    <x v="17"/>
    <x v="117"/>
    <n v="95"/>
    <n v="28.81"/>
    <n v="87.64"/>
  </r>
  <r>
    <x v="18"/>
    <x v="117"/>
    <n v="95"/>
    <n v="26.18"/>
    <n v="82.3"/>
  </r>
  <r>
    <x v="19"/>
    <x v="117"/>
    <n v="95"/>
    <n v="27.24"/>
    <n v="90.88"/>
  </r>
  <r>
    <x v="20"/>
    <x v="117"/>
    <n v="95"/>
    <n v="27.99"/>
    <n v="97.2"/>
  </r>
  <r>
    <x v="21"/>
    <x v="117"/>
    <n v="95"/>
    <n v="26.82"/>
    <n v="88.18"/>
  </r>
  <r>
    <x v="22"/>
    <x v="117"/>
    <n v="95"/>
    <n v="24.73"/>
    <n v="90.97"/>
  </r>
  <r>
    <x v="23"/>
    <x v="117"/>
    <n v="95"/>
    <n v="2.37"/>
    <n v="67.38"/>
  </r>
  <r>
    <x v="24"/>
    <x v="117"/>
    <n v="95"/>
    <n v="11.47"/>
    <n v="263.43"/>
  </r>
  <r>
    <x v="25"/>
    <x v="117"/>
    <n v="95"/>
    <n v="39.96"/>
    <n v="207.89"/>
  </r>
  <r>
    <x v="26"/>
    <x v="117"/>
    <n v="95"/>
    <n v="36.04"/>
    <n v="186.54"/>
  </r>
  <r>
    <x v="27"/>
    <x v="117"/>
    <n v="95"/>
    <n v="42.16"/>
    <n v="204.88"/>
  </r>
  <r>
    <x v="28"/>
    <x v="117"/>
    <n v="95"/>
    <n v="39.5"/>
    <n v="195.32"/>
  </r>
  <r>
    <x v="29"/>
    <x v="117"/>
    <n v="95"/>
    <n v="44.1"/>
    <n v="211.91"/>
  </r>
  <r>
    <x v="30"/>
    <x v="117"/>
    <n v="95"/>
    <n v="36.78"/>
    <n v="202.62"/>
  </r>
  <r>
    <x v="31"/>
    <x v="117"/>
    <n v="95"/>
    <n v="40.65"/>
    <n v="215.01"/>
  </r>
  <r>
    <x v="32"/>
    <x v="117"/>
    <n v="95"/>
    <n v="38.9"/>
    <n v="207.69"/>
  </r>
  <r>
    <x v="33"/>
    <x v="117"/>
    <n v="95"/>
    <n v="37.72"/>
    <n v="205.84"/>
  </r>
  <r>
    <x v="34"/>
    <x v="117"/>
    <n v="95"/>
    <n v="41.25"/>
    <n v="224.21"/>
  </r>
  <r>
    <x v="35"/>
    <x v="117"/>
    <n v="95"/>
    <n v="11.2"/>
    <n v="181.24"/>
  </r>
  <r>
    <x v="36"/>
    <x v="117"/>
    <n v="95"/>
    <n v="31.6"/>
    <n v="319.60000000000002"/>
  </r>
  <r>
    <x v="37"/>
    <x v="117"/>
    <n v="95"/>
    <n v="58.46"/>
    <n v="233.03"/>
  </r>
  <r>
    <x v="38"/>
    <x v="117"/>
    <n v="95"/>
    <n v="68.91"/>
    <n v="279.14999999999998"/>
  </r>
  <r>
    <x v="39"/>
    <x v="117"/>
    <n v="95"/>
    <n v="58.04"/>
    <n v="0"/>
  </r>
  <r>
    <x v="40"/>
    <x v="117"/>
    <n v="95"/>
    <n v="65.900000000000006"/>
    <n v="0"/>
  </r>
  <r>
    <x v="41"/>
    <x v="117"/>
    <n v="95"/>
    <n v="66.680000000000007"/>
    <n v="276.61"/>
  </r>
  <r>
    <x v="42"/>
    <x v="117"/>
    <n v="95"/>
    <n v="68.13"/>
    <n v="0"/>
  </r>
  <r>
    <x v="43"/>
    <x v="117"/>
    <n v="95"/>
    <n v="58.74"/>
    <n v="0"/>
  </r>
  <r>
    <x v="44"/>
    <x v="117"/>
    <n v="95"/>
    <n v="61.72"/>
    <n v="0"/>
  </r>
  <r>
    <x v="45"/>
    <x v="117"/>
    <n v="95"/>
    <n v="61.9"/>
    <n v="0"/>
  </r>
  <r>
    <x v="46"/>
    <x v="117"/>
    <n v="95"/>
    <n v="55.72"/>
    <n v="0"/>
  </r>
  <r>
    <x v="47"/>
    <x v="117"/>
    <n v="95"/>
    <n v="30.24"/>
    <n v="211.18"/>
  </r>
  <r>
    <x v="48"/>
    <x v="117"/>
    <n v="95"/>
    <n v="92.81"/>
    <n v="387.13"/>
  </r>
  <r>
    <x v="49"/>
    <x v="117"/>
    <n v="95"/>
    <n v="78.05"/>
    <n v="269.38"/>
  </r>
  <r>
    <x v="50"/>
    <x v="117"/>
    <n v="95"/>
    <n v="72.11"/>
    <n v="264.48"/>
  </r>
  <r>
    <x v="51"/>
    <x v="117"/>
    <n v="95"/>
    <n v="66.03"/>
    <n v="273.5"/>
  </r>
  <r>
    <x v="52"/>
    <x v="117"/>
    <n v="95"/>
    <n v="58.49"/>
    <n v="268.86"/>
  </r>
  <r>
    <x v="53"/>
    <x v="117"/>
    <n v="95"/>
    <n v="64.39"/>
    <n v="0"/>
  </r>
  <r>
    <x v="54"/>
    <x v="117"/>
    <n v="95"/>
    <n v="57.88"/>
    <n v="0"/>
  </r>
  <r>
    <x v="55"/>
    <x v="117"/>
    <n v="95"/>
    <n v="64.12"/>
    <n v="0"/>
  </r>
  <r>
    <x v="56"/>
    <x v="117"/>
    <n v="95"/>
    <n v="64.3"/>
    <n v="0"/>
  </r>
  <r>
    <x v="57"/>
    <x v="117"/>
    <n v="95"/>
    <n v="69.92"/>
    <n v="0"/>
  </r>
  <r>
    <x v="58"/>
    <x v="117"/>
    <n v="95"/>
    <n v="63.9"/>
    <n v="0"/>
  </r>
  <r>
    <x v="59"/>
    <x v="117"/>
    <n v="95"/>
    <n v="25.55"/>
    <n v="236.99"/>
  </r>
  <r>
    <x v="60"/>
    <x v="117"/>
    <n v="95"/>
    <n v="84.31"/>
    <n v="328.01"/>
  </r>
  <r>
    <x v="61"/>
    <x v="117"/>
    <n v="95"/>
    <n v="68.62"/>
    <n v="256.83999999999997"/>
  </r>
  <r>
    <x v="62"/>
    <x v="117"/>
    <n v="95"/>
    <n v="70.05"/>
    <n v="284.48"/>
  </r>
  <r>
    <x v="63"/>
    <x v="117"/>
    <n v="95"/>
    <n v="58.92"/>
    <n v="260.33999999999997"/>
  </r>
  <r>
    <x v="64"/>
    <x v="117"/>
    <n v="95"/>
    <n v="65.02"/>
    <n v="0"/>
  </r>
  <r>
    <x v="65"/>
    <x v="117"/>
    <n v="95"/>
    <n v="71.78"/>
    <n v="0"/>
  </r>
  <r>
    <x v="66"/>
    <x v="117"/>
    <n v="95"/>
    <n v="66.680000000000007"/>
    <n v="0"/>
  </r>
  <r>
    <x v="67"/>
    <x v="117"/>
    <n v="95"/>
    <n v="66.010000000000005"/>
    <n v="0"/>
  </r>
  <r>
    <x v="68"/>
    <x v="117"/>
    <n v="95"/>
    <n v="59.65"/>
    <n v="0"/>
  </r>
  <r>
    <x v="69"/>
    <x v="117"/>
    <n v="95"/>
    <n v="67.25"/>
    <n v="275.91000000000003"/>
  </r>
  <r>
    <x v="70"/>
    <x v="117"/>
    <n v="95"/>
    <n v="70.38"/>
    <n v="282.04000000000002"/>
  </r>
  <r>
    <x v="71"/>
    <x v="117"/>
    <n v="95"/>
    <n v="42.94"/>
    <n v="232.36"/>
  </r>
  <r>
    <x v="72"/>
    <x v="117"/>
    <n v="95"/>
    <n v="0"/>
    <n v="0"/>
  </r>
  <r>
    <x v="73"/>
    <x v="117"/>
    <n v="95"/>
    <n v="0"/>
    <n v="0"/>
  </r>
  <r>
    <x v="74"/>
    <x v="117"/>
    <n v="95"/>
    <n v="0"/>
    <n v="0"/>
  </r>
  <r>
    <x v="75"/>
    <x v="117"/>
    <n v="95"/>
    <n v="0"/>
    <n v="0"/>
  </r>
  <r>
    <x v="76"/>
    <x v="117"/>
    <n v="95"/>
    <n v="0"/>
    <n v="0"/>
  </r>
  <r>
    <x v="77"/>
    <x v="117"/>
    <n v="95"/>
    <n v="0"/>
    <n v="0"/>
  </r>
  <r>
    <x v="78"/>
    <x v="117"/>
    <n v="95"/>
    <n v="0"/>
    <n v="0"/>
  </r>
  <r>
    <x v="79"/>
    <x v="117"/>
    <n v="95"/>
    <n v="0"/>
    <n v="0"/>
  </r>
  <r>
    <x v="80"/>
    <x v="117"/>
    <n v="95"/>
    <n v="0"/>
    <n v="0"/>
  </r>
  <r>
    <x v="81"/>
    <x v="117"/>
    <n v="95"/>
    <n v="0"/>
    <n v="0"/>
  </r>
  <r>
    <x v="82"/>
    <x v="117"/>
    <n v="95"/>
    <n v="0"/>
    <n v="0"/>
  </r>
  <r>
    <x v="83"/>
    <x v="117"/>
    <n v="95"/>
    <n v="0"/>
    <n v="0"/>
  </r>
  <r>
    <x v="84"/>
    <x v="117"/>
    <n v="95"/>
    <n v="0"/>
    <n v="0"/>
  </r>
  <r>
    <x v="85"/>
    <x v="117"/>
    <n v="95"/>
    <n v="0"/>
    <n v="0"/>
  </r>
  <r>
    <x v="86"/>
    <x v="117"/>
    <n v="95"/>
    <n v="0"/>
    <n v="0"/>
  </r>
  <r>
    <x v="87"/>
    <x v="117"/>
    <n v="95"/>
    <n v="0"/>
    <n v="0"/>
  </r>
  <r>
    <x v="88"/>
    <x v="117"/>
    <n v="95"/>
    <n v="0"/>
    <n v="0"/>
  </r>
  <r>
    <x v="89"/>
    <x v="117"/>
    <n v="95"/>
    <n v="0"/>
    <n v="0"/>
  </r>
  <r>
    <x v="90"/>
    <x v="117"/>
    <n v="95"/>
    <n v="0"/>
    <n v="0"/>
  </r>
  <r>
    <x v="91"/>
    <x v="117"/>
    <n v="95"/>
    <n v="0"/>
    <n v="0"/>
  </r>
  <r>
    <x v="92"/>
    <x v="117"/>
    <n v="95"/>
    <n v="0"/>
    <n v="0"/>
  </r>
  <r>
    <x v="93"/>
    <x v="117"/>
    <n v="95"/>
    <n v="0"/>
    <n v="0"/>
  </r>
  <r>
    <x v="94"/>
    <x v="117"/>
    <n v="95"/>
    <n v="0"/>
    <n v="0"/>
  </r>
  <r>
    <x v="95"/>
    <x v="117"/>
    <n v="95"/>
    <n v="0"/>
    <n v="0"/>
  </r>
  <r>
    <x v="96"/>
    <x v="118"/>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1">
  <r>
    <x v="0"/>
    <n v="2"/>
    <x v="0"/>
    <n v="1780.9"/>
    <n v="9409.1"/>
  </r>
  <r>
    <x v="1"/>
    <n v="2"/>
    <x v="0"/>
    <n v="1424.7"/>
    <n v="5887.3"/>
  </r>
  <r>
    <x v="2"/>
    <n v="2"/>
    <x v="0"/>
    <n v="1295.0999999999999"/>
    <n v="5871"/>
  </r>
  <r>
    <x v="3"/>
    <n v="2"/>
    <x v="0"/>
    <n v="1279.9000000000001"/>
    <n v="5944.5"/>
  </r>
  <r>
    <x v="4"/>
    <n v="2"/>
    <x v="0"/>
    <n v="1312.7"/>
    <n v="6000.5"/>
  </r>
  <r>
    <x v="5"/>
    <n v="2"/>
    <x v="0"/>
    <n v="1307.9000000000001"/>
    <n v="6146"/>
  </r>
  <r>
    <x v="6"/>
    <n v="2"/>
    <x v="0"/>
    <n v="1192.8"/>
    <n v="5364.1"/>
  </r>
  <r>
    <x v="7"/>
    <n v="2"/>
    <x v="0"/>
    <n v="1325.1"/>
    <n v="6442.1"/>
  </r>
  <r>
    <x v="8"/>
    <n v="2"/>
    <x v="0"/>
    <n v="1380.5"/>
    <n v="6192.8"/>
  </r>
  <r>
    <x v="9"/>
    <n v="2"/>
    <x v="0"/>
    <n v="1313.3"/>
    <n v="6030.2"/>
  </r>
  <r>
    <x v="10"/>
    <n v="2"/>
    <x v="0"/>
    <n v="1338.9"/>
    <n v="5978.4"/>
  </r>
  <r>
    <x v="11"/>
    <n v="2"/>
    <x v="0"/>
    <n v="2374.3000000000002"/>
    <n v="6433"/>
  </r>
  <r>
    <x v="12"/>
    <n v="2"/>
    <x v="0"/>
    <n v="2350.1"/>
    <n v="8891.4"/>
  </r>
  <r>
    <x v="13"/>
    <n v="2"/>
    <x v="0"/>
    <n v="1419.7"/>
    <n v="5534"/>
  </r>
  <r>
    <x v="14"/>
    <n v="2"/>
    <x v="0"/>
    <n v="1413"/>
    <n v="5851.5"/>
  </r>
  <r>
    <x v="15"/>
    <n v="2"/>
    <x v="0"/>
    <n v="1482"/>
    <n v="6056.7"/>
  </r>
  <r>
    <x v="16"/>
    <n v="2"/>
    <x v="0"/>
    <n v="1435.6"/>
    <n v="6096.5"/>
  </r>
  <r>
    <x v="17"/>
    <n v="2"/>
    <x v="0"/>
    <n v="1710.6"/>
    <n v="5909.4"/>
  </r>
  <r>
    <x v="18"/>
    <n v="2"/>
    <x v="0"/>
    <n v="1544.6"/>
    <n v="5496.6"/>
  </r>
  <r>
    <x v="19"/>
    <n v="2"/>
    <x v="0"/>
    <n v="1731.5"/>
    <n v="6239.5"/>
  </r>
  <r>
    <x v="20"/>
    <n v="2"/>
    <x v="0"/>
    <n v="1744.7"/>
    <n v="6492.4"/>
  </r>
  <r>
    <x v="21"/>
    <n v="2"/>
    <x v="0"/>
    <n v="1696.4"/>
    <n v="6084.4"/>
  </r>
  <r>
    <x v="22"/>
    <n v="2"/>
    <x v="0"/>
    <n v="1627.3"/>
    <n v="5848.2"/>
  </r>
  <r>
    <x v="23"/>
    <n v="2"/>
    <x v="0"/>
    <n v="1590.3"/>
    <n v="5695.4"/>
  </r>
  <r>
    <x v="24"/>
    <n v="2"/>
    <x v="0"/>
    <n v="1845.8"/>
    <n v="9391.6"/>
  </r>
  <r>
    <x v="25"/>
    <n v="2"/>
    <x v="0"/>
    <n v="1559.9"/>
    <n v="5729.1"/>
  </r>
  <r>
    <x v="26"/>
    <n v="2"/>
    <x v="0"/>
    <n v="1437.3"/>
    <n v="5571"/>
  </r>
  <r>
    <x v="27"/>
    <n v="2"/>
    <x v="0"/>
    <n v="1430.1"/>
    <n v="5802.6"/>
  </r>
  <r>
    <x v="28"/>
    <n v="2"/>
    <x v="0"/>
    <n v="1280.4000000000001"/>
    <n v="5825"/>
  </r>
  <r>
    <x v="29"/>
    <n v="2"/>
    <x v="0"/>
    <n v="1717.4"/>
    <n v="6279.7"/>
  </r>
  <r>
    <x v="30"/>
    <n v="2"/>
    <x v="0"/>
    <n v="1388.3"/>
    <n v="5918.8"/>
  </r>
  <r>
    <x v="31"/>
    <n v="2"/>
    <x v="0"/>
    <n v="1680.6"/>
    <n v="6407.6"/>
  </r>
  <r>
    <x v="32"/>
    <n v="2"/>
    <x v="0"/>
    <n v="1663.7"/>
    <n v="5999.8"/>
  </r>
  <r>
    <x v="33"/>
    <n v="2"/>
    <x v="0"/>
    <n v="1420.9"/>
    <n v="5892.3"/>
  </r>
  <r>
    <x v="34"/>
    <n v="2"/>
    <x v="0"/>
    <n v="1591.6"/>
    <n v="6478.6"/>
  </r>
  <r>
    <x v="35"/>
    <n v="2"/>
    <x v="0"/>
    <n v="1310"/>
    <n v="5938.3"/>
  </r>
  <r>
    <x v="36"/>
    <n v="2"/>
    <x v="0"/>
    <n v="1958.8"/>
    <n v="9726"/>
  </r>
  <r>
    <x v="37"/>
    <n v="2"/>
    <x v="0"/>
    <n v="1711.3"/>
    <n v="5565.5"/>
  </r>
  <r>
    <x v="38"/>
    <n v="2"/>
    <x v="0"/>
    <n v="1457.2"/>
    <n v="6546.6"/>
  </r>
  <r>
    <x v="39"/>
    <n v="2"/>
    <x v="0"/>
    <n v="1318.6"/>
    <n v="5654"/>
  </r>
  <r>
    <x v="40"/>
    <n v="2"/>
    <x v="0"/>
    <n v="1533.5"/>
    <n v="6773.6"/>
  </r>
  <r>
    <x v="41"/>
    <n v="2"/>
    <x v="0"/>
    <n v="1423.9"/>
    <n v="6376.4"/>
  </r>
  <r>
    <x v="42"/>
    <n v="2"/>
    <x v="0"/>
    <n v="1398.8"/>
    <n v="6258.6"/>
  </r>
  <r>
    <x v="43"/>
    <n v="2"/>
    <x v="0"/>
    <n v="1708"/>
    <n v="6767.9"/>
  </r>
  <r>
    <x v="44"/>
    <n v="2"/>
    <x v="0"/>
    <n v="1672.3"/>
    <n v="6902.2"/>
  </r>
  <r>
    <x v="45"/>
    <n v="2"/>
    <x v="0"/>
    <n v="1537"/>
    <n v="6686.9"/>
  </r>
  <r>
    <x v="46"/>
    <n v="2"/>
    <x v="0"/>
    <n v="1518.6"/>
    <n v="5940.5"/>
  </r>
  <r>
    <x v="47"/>
    <n v="2"/>
    <x v="0"/>
    <n v="1363.5"/>
    <n v="5839.8"/>
  </r>
  <r>
    <x v="48"/>
    <n v="2"/>
    <x v="0"/>
    <n v="2519.1999999999998"/>
    <n v="10702.2"/>
  </r>
  <r>
    <x v="49"/>
    <n v="2"/>
    <x v="0"/>
    <n v="1671.9"/>
    <n v="6022.3"/>
  </r>
  <r>
    <x v="50"/>
    <n v="2"/>
    <x v="0"/>
    <n v="1773.5"/>
    <n v="5922.8"/>
  </r>
  <r>
    <x v="51"/>
    <n v="2"/>
    <x v="0"/>
    <n v="1637.8"/>
    <n v="6250.7"/>
  </r>
  <r>
    <x v="52"/>
    <n v="2"/>
    <x v="0"/>
    <n v="1605.6"/>
    <n v="6364.7"/>
  </r>
  <r>
    <x v="53"/>
    <n v="2"/>
    <x v="0"/>
    <n v="1721.6"/>
    <n v="6621"/>
  </r>
  <r>
    <x v="54"/>
    <n v="2"/>
    <x v="0"/>
    <n v="1304.0999999999999"/>
    <n v="5266.4"/>
  </r>
  <r>
    <x v="55"/>
    <n v="2"/>
    <x v="0"/>
    <n v="1602.1"/>
    <n v="6665.4"/>
  </r>
  <r>
    <x v="56"/>
    <n v="2"/>
    <x v="0"/>
    <n v="1650.7"/>
    <n v="6439.4"/>
  </r>
  <r>
    <x v="57"/>
    <n v="2"/>
    <x v="0"/>
    <n v="1706.7"/>
    <n v="6741.8"/>
  </r>
  <r>
    <x v="58"/>
    <n v="2"/>
    <x v="0"/>
    <n v="2022.1"/>
    <n v="7345.6"/>
  </r>
  <r>
    <x v="59"/>
    <n v="2"/>
    <x v="0"/>
    <n v="1845.7"/>
    <n v="6477.1"/>
  </r>
  <r>
    <x v="60"/>
    <n v="2"/>
    <x v="0"/>
    <n v="1862.4"/>
    <n v="8922.5"/>
  </r>
  <r>
    <x v="61"/>
    <n v="2"/>
    <x v="0"/>
    <n v="1412.4"/>
    <n v="5753.6"/>
  </r>
  <r>
    <x v="62"/>
    <n v="2"/>
    <x v="0"/>
    <n v="1424.7"/>
    <n v="6376.4"/>
  </r>
  <r>
    <x v="63"/>
    <n v="2"/>
    <x v="0"/>
    <n v="1436.6"/>
    <n v="5885.6"/>
  </r>
  <r>
    <x v="64"/>
    <n v="2"/>
    <x v="0"/>
    <n v="1512.2"/>
    <n v="6815.8"/>
  </r>
  <r>
    <x v="65"/>
    <n v="2"/>
    <x v="0"/>
    <n v="1532.3"/>
    <n v="6922.3"/>
  </r>
  <r>
    <x v="66"/>
    <n v="2"/>
    <x v="0"/>
    <n v="1341.6"/>
    <n v="5866.9"/>
  </r>
  <r>
    <x v="67"/>
    <n v="2"/>
    <x v="0"/>
    <n v="1453.5"/>
    <n v="6927.3"/>
  </r>
  <r>
    <x v="68"/>
    <n v="2"/>
    <x v="0"/>
    <n v="1391.2"/>
    <n v="6012.6"/>
  </r>
  <r>
    <x v="69"/>
    <n v="2"/>
    <x v="0"/>
    <n v="1477.1"/>
    <n v="6521.2"/>
  </r>
  <r>
    <x v="70"/>
    <n v="2"/>
    <x v="0"/>
    <n v="1922.4"/>
    <n v="6842.7"/>
  </r>
  <r>
    <x v="71"/>
    <n v="2"/>
    <x v="0"/>
    <n v="1518.7"/>
    <n v="6674.8"/>
  </r>
  <r>
    <x v="72"/>
    <n v="2"/>
    <x v="0"/>
    <n v="969.6"/>
    <n v="362.4"/>
  </r>
  <r>
    <x v="73"/>
    <n v="2"/>
    <x v="0"/>
    <n v="566.4"/>
    <n v="141.4"/>
  </r>
  <r>
    <x v="74"/>
    <n v="2"/>
    <x v="0"/>
    <n v="611.79999999999995"/>
    <n v="161"/>
  </r>
  <r>
    <x v="75"/>
    <n v="2"/>
    <x v="0"/>
    <n v="538.70000000000005"/>
    <n v="139.4"/>
  </r>
  <r>
    <x v="76"/>
    <n v="2"/>
    <x v="0"/>
    <n v="561.29999999999995"/>
    <n v="134.1"/>
  </r>
  <r>
    <x v="77"/>
    <n v="2"/>
    <x v="0"/>
    <n v="512.70000000000005"/>
    <n v="117.3"/>
  </r>
  <r>
    <x v="78"/>
    <n v="2"/>
    <x v="0"/>
    <n v="513.79999999999995"/>
    <n v="132"/>
  </r>
  <r>
    <x v="79"/>
    <n v="2"/>
    <x v="0"/>
    <n v="594.6"/>
    <n v="238.5"/>
  </r>
  <r>
    <x v="80"/>
    <n v="2"/>
    <x v="0"/>
    <n v="606.1"/>
    <n v="174.6"/>
  </r>
  <r>
    <x v="81"/>
    <n v="2"/>
    <x v="0"/>
    <n v="574.9"/>
    <n v="126.2"/>
  </r>
  <r>
    <x v="82"/>
    <n v="2"/>
    <x v="0"/>
    <n v="800.6"/>
    <n v="212.2"/>
  </r>
  <r>
    <x v="83"/>
    <n v="2"/>
    <x v="0"/>
    <n v="633.6"/>
    <n v="137.69999999999999"/>
  </r>
  <r>
    <x v="84"/>
    <n v="2"/>
    <x v="0"/>
    <n v="1007.4"/>
    <n v="282.89999999999998"/>
  </r>
  <r>
    <x v="85"/>
    <n v="2"/>
    <x v="0"/>
    <n v="894.2"/>
    <n v="256.39999999999998"/>
  </r>
  <r>
    <x v="86"/>
    <n v="2"/>
    <x v="0"/>
    <n v="958.4"/>
    <n v="322.2"/>
  </r>
  <r>
    <x v="87"/>
    <n v="2"/>
    <x v="0"/>
    <n v="704.5"/>
    <n v="234"/>
  </r>
  <r>
    <x v="88"/>
    <n v="2"/>
    <x v="0"/>
    <n v="625.6"/>
    <n v="172.9"/>
  </r>
  <r>
    <x v="89"/>
    <n v="2"/>
    <x v="0"/>
    <n v="689.1"/>
    <n v="162"/>
  </r>
  <r>
    <x v="90"/>
    <n v="2"/>
    <x v="0"/>
    <n v="561.5"/>
    <n v="126.8"/>
  </r>
  <r>
    <x v="91"/>
    <n v="2"/>
    <x v="0"/>
    <n v="537.6"/>
    <n v="125"/>
  </r>
  <r>
    <x v="92"/>
    <n v="2"/>
    <x v="0"/>
    <n v="629.20000000000005"/>
    <n v="168.7"/>
  </r>
  <r>
    <x v="93"/>
    <n v="2"/>
    <x v="0"/>
    <n v="763.2"/>
    <n v="241.1"/>
  </r>
  <r>
    <x v="94"/>
    <n v="2"/>
    <x v="0"/>
    <n v="711.8"/>
    <n v="165.3"/>
  </r>
  <r>
    <x v="95"/>
    <n v="2"/>
    <x v="0"/>
    <n v="904.6"/>
    <n v="296.89999999999998"/>
  </r>
  <r>
    <x v="0"/>
    <n v="2"/>
    <x v="1"/>
    <n v="1811.9"/>
    <n v="9317.2800000000007"/>
  </r>
  <r>
    <x v="1"/>
    <n v="2"/>
    <x v="1"/>
    <n v="1464.91"/>
    <n v="5963.89"/>
  </r>
  <r>
    <x v="2"/>
    <n v="2"/>
    <x v="1"/>
    <n v="1336.48"/>
    <n v="5978.1"/>
  </r>
  <r>
    <x v="3"/>
    <n v="2"/>
    <x v="1"/>
    <n v="1318.94"/>
    <n v="6034.24"/>
  </r>
  <r>
    <x v="4"/>
    <n v="2"/>
    <x v="1"/>
    <n v="1347.21"/>
    <n v="6064.68"/>
  </r>
  <r>
    <x v="5"/>
    <n v="2"/>
    <x v="1"/>
    <n v="1343.68"/>
    <n v="6200.81"/>
  </r>
  <r>
    <x v="6"/>
    <n v="2"/>
    <x v="1"/>
    <n v="1252.98"/>
    <n v="5483.42"/>
  </r>
  <r>
    <x v="7"/>
    <n v="2"/>
    <x v="1"/>
    <n v="1365.38"/>
    <n v="6526.2"/>
  </r>
  <r>
    <x v="8"/>
    <n v="2"/>
    <x v="1"/>
    <n v="1420.47"/>
    <n v="6327.55"/>
  </r>
  <r>
    <x v="9"/>
    <n v="2"/>
    <x v="1"/>
    <n v="1352.33"/>
    <n v="6136.79"/>
  </r>
  <r>
    <x v="10"/>
    <n v="2"/>
    <x v="1"/>
    <n v="1385.41"/>
    <n v="6027.82"/>
  </r>
  <r>
    <x v="11"/>
    <n v="2"/>
    <x v="1"/>
    <n v="2479.0500000000002"/>
    <n v="6526.36"/>
  </r>
  <r>
    <x v="12"/>
    <n v="2"/>
    <x v="1"/>
    <n v="2412.9299999999998"/>
    <n v="8956.9699999999993"/>
  </r>
  <r>
    <x v="13"/>
    <n v="2"/>
    <x v="1"/>
    <n v="1454.12"/>
    <n v="5600.6"/>
  </r>
  <r>
    <x v="14"/>
    <n v="2"/>
    <x v="1"/>
    <n v="1450.49"/>
    <n v="5960.67"/>
  </r>
  <r>
    <x v="15"/>
    <n v="2"/>
    <x v="1"/>
    <n v="1531.74"/>
    <n v="6139.5"/>
  </r>
  <r>
    <x v="16"/>
    <n v="2"/>
    <x v="1"/>
    <n v="1472.31"/>
    <n v="6164.74"/>
  </r>
  <r>
    <x v="17"/>
    <n v="2"/>
    <x v="1"/>
    <n v="1726.36"/>
    <n v="5963.33"/>
  </r>
  <r>
    <x v="18"/>
    <n v="2"/>
    <x v="1"/>
    <n v="1580.91"/>
    <n v="5570.51"/>
  </r>
  <r>
    <x v="19"/>
    <n v="2"/>
    <x v="1"/>
    <n v="1758.8"/>
    <n v="6284.97"/>
  </r>
  <r>
    <x v="20"/>
    <n v="2"/>
    <x v="1"/>
    <n v="1765.56"/>
    <n v="6542.35"/>
  </r>
  <r>
    <x v="21"/>
    <n v="2"/>
    <x v="1"/>
    <n v="1726.31"/>
    <n v="6139.77"/>
  </r>
  <r>
    <x v="22"/>
    <n v="2"/>
    <x v="1"/>
    <n v="1642.96"/>
    <n v="5870.3"/>
  </r>
  <r>
    <x v="23"/>
    <n v="2"/>
    <x v="1"/>
    <n v="1618.29"/>
    <n v="5711.15"/>
  </r>
  <r>
    <x v="24"/>
    <n v="2"/>
    <x v="1"/>
    <n v="1881.2"/>
    <n v="9439.56"/>
  </r>
  <r>
    <x v="25"/>
    <n v="2"/>
    <x v="1"/>
    <n v="1565.97"/>
    <n v="5755.12"/>
  </r>
  <r>
    <x v="26"/>
    <n v="2"/>
    <x v="1"/>
    <n v="1454.82"/>
    <n v="5629.55"/>
  </r>
  <r>
    <x v="27"/>
    <n v="2"/>
    <x v="1"/>
    <n v="1466.32"/>
    <n v="5891.66"/>
  </r>
  <r>
    <x v="28"/>
    <n v="2"/>
    <x v="1"/>
    <n v="1299.22"/>
    <n v="5862.95"/>
  </r>
  <r>
    <x v="29"/>
    <n v="2"/>
    <x v="1"/>
    <n v="1748.11"/>
    <n v="6346.5"/>
  </r>
  <r>
    <x v="30"/>
    <n v="2"/>
    <x v="1"/>
    <n v="1410.78"/>
    <n v="5967.17"/>
  </r>
  <r>
    <x v="31"/>
    <n v="2"/>
    <x v="1"/>
    <n v="1710.07"/>
    <n v="6471.25"/>
  </r>
  <r>
    <x v="32"/>
    <n v="2"/>
    <x v="1"/>
    <n v="1686.38"/>
    <n v="6043.63"/>
  </r>
  <r>
    <x v="33"/>
    <n v="2"/>
    <x v="1"/>
    <n v="1445.17"/>
    <n v="5952.8"/>
  </r>
  <r>
    <x v="34"/>
    <n v="2"/>
    <x v="1"/>
    <n v="1603.64"/>
    <n v="6501.95"/>
  </r>
  <r>
    <x v="35"/>
    <n v="2"/>
    <x v="1"/>
    <n v="1327.81"/>
    <n v="5906.05"/>
  </r>
  <r>
    <x v="36"/>
    <n v="2"/>
    <x v="1"/>
    <n v="2035.67"/>
    <n v="9874.7999999999993"/>
  </r>
  <r>
    <x v="37"/>
    <n v="2"/>
    <x v="1"/>
    <n v="1720.76"/>
    <n v="5588.2"/>
  </r>
  <r>
    <x v="38"/>
    <n v="2"/>
    <x v="1"/>
    <n v="1491.42"/>
    <n v="6624.8"/>
  </r>
  <r>
    <x v="39"/>
    <n v="2"/>
    <x v="1"/>
    <n v="1346.43"/>
    <n v="5702.78"/>
  </r>
  <r>
    <x v="40"/>
    <n v="2"/>
    <x v="1"/>
    <n v="1561.41"/>
    <n v="6841.19"/>
  </r>
  <r>
    <x v="41"/>
    <n v="2"/>
    <x v="1"/>
    <n v="1452.2"/>
    <n v="6431.75"/>
  </r>
  <r>
    <x v="42"/>
    <n v="2"/>
    <x v="1"/>
    <n v="1440.68"/>
    <n v="6374.38"/>
  </r>
  <r>
    <x v="43"/>
    <n v="2"/>
    <x v="1"/>
    <n v="1740.69"/>
    <n v="6818.11"/>
  </r>
  <r>
    <x v="44"/>
    <n v="2"/>
    <x v="1"/>
    <n v="1691.69"/>
    <n v="6949.39"/>
  </r>
  <r>
    <x v="45"/>
    <n v="2"/>
    <x v="1"/>
    <n v="1556.18"/>
    <n v="6732.56"/>
  </r>
  <r>
    <x v="46"/>
    <n v="2"/>
    <x v="1"/>
    <n v="1536.24"/>
    <n v="5947.21"/>
  </r>
  <r>
    <x v="47"/>
    <n v="2"/>
    <x v="1"/>
    <n v="1375.05"/>
    <n v="5785.45"/>
  </r>
  <r>
    <x v="48"/>
    <n v="2"/>
    <x v="1"/>
    <n v="2591.83"/>
    <n v="10832.7"/>
  </r>
  <r>
    <x v="49"/>
    <n v="2"/>
    <x v="1"/>
    <n v="1712.57"/>
    <n v="6047.36"/>
  </r>
  <r>
    <x v="50"/>
    <n v="2"/>
    <x v="1"/>
    <n v="1821.21"/>
    <n v="5972.14"/>
  </r>
  <r>
    <x v="51"/>
    <n v="2"/>
    <x v="1"/>
    <n v="1662.96"/>
    <n v="6310.44"/>
  </r>
  <r>
    <x v="52"/>
    <n v="2"/>
    <x v="1"/>
    <n v="1638.55"/>
    <n v="6405.01"/>
  </r>
  <r>
    <x v="53"/>
    <n v="2"/>
    <x v="1"/>
    <n v="1760.16"/>
    <n v="6703.65"/>
  </r>
  <r>
    <x v="54"/>
    <n v="2"/>
    <x v="1"/>
    <n v="1339.01"/>
    <n v="5340.52"/>
  </r>
  <r>
    <x v="55"/>
    <n v="2"/>
    <x v="1"/>
    <n v="1648.74"/>
    <n v="6759.04"/>
  </r>
  <r>
    <x v="56"/>
    <n v="2"/>
    <x v="1"/>
    <n v="1684.93"/>
    <n v="6522.96"/>
  </r>
  <r>
    <x v="57"/>
    <n v="2"/>
    <x v="1"/>
    <n v="1743.11"/>
    <n v="6816.21"/>
  </r>
  <r>
    <x v="58"/>
    <n v="2"/>
    <x v="1"/>
    <n v="2064.4899999999998"/>
    <n v="7405.56"/>
  </r>
  <r>
    <x v="59"/>
    <n v="2"/>
    <x v="1"/>
    <n v="1673.14"/>
    <n v="6275.66"/>
  </r>
  <r>
    <x v="60"/>
    <n v="2"/>
    <x v="1"/>
    <n v="1894.47"/>
    <n v="8986.33"/>
  </r>
  <r>
    <x v="61"/>
    <n v="2"/>
    <x v="1"/>
    <n v="1438.41"/>
    <n v="5803.81"/>
  </r>
  <r>
    <x v="62"/>
    <n v="2"/>
    <x v="1"/>
    <n v="1453.71"/>
    <n v="6474.59"/>
  </r>
  <r>
    <x v="63"/>
    <n v="2"/>
    <x v="1"/>
    <n v="1467.15"/>
    <n v="5929.9"/>
  </r>
  <r>
    <x v="64"/>
    <n v="2"/>
    <x v="1"/>
    <n v="1542.03"/>
    <n v="6889.75"/>
  </r>
  <r>
    <x v="65"/>
    <n v="2"/>
    <x v="1"/>
    <n v="1556.66"/>
    <n v="6982.96"/>
  </r>
  <r>
    <x v="66"/>
    <n v="2"/>
    <x v="1"/>
    <n v="1374.12"/>
    <n v="5979.39"/>
  </r>
  <r>
    <x v="67"/>
    <n v="2"/>
    <x v="1"/>
    <n v="1486.63"/>
    <n v="7036.34"/>
  </r>
  <r>
    <x v="68"/>
    <n v="2"/>
    <x v="1"/>
    <n v="1415.49"/>
    <n v="6079.63"/>
  </r>
  <r>
    <x v="69"/>
    <n v="2"/>
    <x v="1"/>
    <n v="1506.39"/>
    <n v="6589.44"/>
  </r>
  <r>
    <x v="70"/>
    <n v="2"/>
    <x v="1"/>
    <n v="1954.04"/>
    <n v="6958.23"/>
  </r>
  <r>
    <x v="71"/>
    <n v="2"/>
    <x v="1"/>
    <n v="1562.43"/>
    <n v="6788.72"/>
  </r>
  <r>
    <x v="72"/>
    <n v="2"/>
    <x v="1"/>
    <n v="780"/>
    <n v="228.04"/>
  </r>
  <r>
    <x v="73"/>
    <n v="2"/>
    <x v="1"/>
    <n v="577.85"/>
    <n v="142.26"/>
  </r>
  <r>
    <x v="74"/>
    <n v="2"/>
    <x v="1"/>
    <n v="625.99"/>
    <n v="168.31"/>
  </r>
  <r>
    <x v="75"/>
    <n v="2"/>
    <x v="1"/>
    <n v="551.49"/>
    <n v="140.47999999999999"/>
  </r>
  <r>
    <x v="76"/>
    <n v="2"/>
    <x v="1"/>
    <n v="571.1"/>
    <n v="133.72"/>
  </r>
  <r>
    <x v="77"/>
    <n v="2"/>
    <x v="1"/>
    <n v="523.32000000000005"/>
    <n v="118.26"/>
  </r>
  <r>
    <x v="78"/>
    <n v="2"/>
    <x v="1"/>
    <n v="532.72"/>
    <n v="133.83000000000001"/>
  </r>
  <r>
    <x v="79"/>
    <n v="2"/>
    <x v="1"/>
    <n v="609.85"/>
    <n v="239.21"/>
  </r>
  <r>
    <x v="80"/>
    <n v="2"/>
    <x v="1"/>
    <n v="617.75"/>
    <n v="175.81"/>
  </r>
  <r>
    <x v="81"/>
    <n v="2"/>
    <x v="1"/>
    <n v="581.24"/>
    <n v="126.09"/>
  </r>
  <r>
    <x v="82"/>
    <n v="2"/>
    <x v="1"/>
    <n v="797.74"/>
    <n v="209.69"/>
  </r>
  <r>
    <x v="83"/>
    <n v="2"/>
    <x v="1"/>
    <n v="637.14"/>
    <n v="137.77000000000001"/>
  </r>
  <r>
    <x v="84"/>
    <n v="2"/>
    <x v="1"/>
    <n v="1054.93"/>
    <n v="301.04000000000002"/>
  </r>
  <r>
    <x v="85"/>
    <n v="2"/>
    <x v="1"/>
    <n v="928.09"/>
    <n v="259.54000000000002"/>
  </r>
  <r>
    <x v="86"/>
    <n v="2"/>
    <x v="1"/>
    <n v="984.78"/>
    <n v="324.13"/>
  </r>
  <r>
    <x v="87"/>
    <n v="2"/>
    <x v="1"/>
    <n v="743.31"/>
    <n v="245.5"/>
  </r>
  <r>
    <x v="88"/>
    <n v="2"/>
    <x v="1"/>
    <n v="642.64"/>
    <n v="174.81"/>
  </r>
  <r>
    <x v="89"/>
    <n v="2"/>
    <x v="1"/>
    <n v="697.83"/>
    <n v="163.36000000000001"/>
  </r>
  <r>
    <x v="90"/>
    <n v="2"/>
    <x v="1"/>
    <n v="577.5"/>
    <n v="124.97"/>
  </r>
  <r>
    <x v="91"/>
    <n v="2"/>
    <x v="1"/>
    <n v="544.72"/>
    <n v="125.41"/>
  </r>
  <r>
    <x v="92"/>
    <n v="2"/>
    <x v="1"/>
    <n v="639.53"/>
    <n v="170.37"/>
  </r>
  <r>
    <x v="93"/>
    <n v="2"/>
    <x v="1"/>
    <n v="789.56"/>
    <n v="242.44"/>
  </r>
  <r>
    <x v="94"/>
    <n v="2"/>
    <x v="1"/>
    <n v="721.61"/>
    <n v="165.72"/>
  </r>
  <r>
    <x v="95"/>
    <n v="2"/>
    <x v="1"/>
    <n v="826.84"/>
    <n v="232.98"/>
  </r>
  <r>
    <x v="0"/>
    <n v="2"/>
    <x v="2"/>
    <n v="1822.71"/>
    <n v="9321.18"/>
  </r>
  <r>
    <x v="1"/>
    <n v="2"/>
    <x v="2"/>
    <n v="1475.87"/>
    <n v="5967.72"/>
  </r>
  <r>
    <x v="2"/>
    <n v="2"/>
    <x v="2"/>
    <n v="1344.55"/>
    <n v="5984.77"/>
  </r>
  <r>
    <x v="3"/>
    <n v="2"/>
    <x v="2"/>
    <n v="1325.72"/>
    <n v="6047.49"/>
  </r>
  <r>
    <x v="4"/>
    <n v="2"/>
    <x v="2"/>
    <n v="1357.71"/>
    <n v="6078.64"/>
  </r>
  <r>
    <x v="5"/>
    <n v="2"/>
    <x v="2"/>
    <n v="1352.81"/>
    <n v="6209.5"/>
  </r>
  <r>
    <x v="6"/>
    <n v="2"/>
    <x v="2"/>
    <n v="1259.7"/>
    <n v="5490.87"/>
  </r>
  <r>
    <x v="7"/>
    <n v="2"/>
    <x v="2"/>
    <n v="1374.66"/>
    <n v="6538.11"/>
  </r>
  <r>
    <x v="8"/>
    <n v="2"/>
    <x v="2"/>
    <n v="1432.22"/>
    <n v="6331.5"/>
  </r>
  <r>
    <x v="9"/>
    <n v="2"/>
    <x v="2"/>
    <n v="1362.27"/>
    <n v="6146.75"/>
  </r>
  <r>
    <x v="10"/>
    <n v="2"/>
    <x v="2"/>
    <n v="1389.4"/>
    <n v="6025.13"/>
  </r>
  <r>
    <x v="11"/>
    <n v="2"/>
    <x v="2"/>
    <n v="2532.6999999999998"/>
    <n v="6579.44"/>
  </r>
  <r>
    <x v="12"/>
    <n v="2"/>
    <x v="2"/>
    <n v="2428.54"/>
    <n v="8989.2900000000009"/>
  </r>
  <r>
    <x v="13"/>
    <n v="2"/>
    <x v="2"/>
    <n v="1464.03"/>
    <n v="5613.15"/>
  </r>
  <r>
    <x v="14"/>
    <n v="2"/>
    <x v="2"/>
    <n v="1457.98"/>
    <n v="5966.49"/>
  </r>
  <r>
    <x v="15"/>
    <n v="2"/>
    <x v="2"/>
    <n v="1537.58"/>
    <n v="6146.81"/>
  </r>
  <r>
    <x v="16"/>
    <n v="2"/>
    <x v="2"/>
    <n v="1481.31"/>
    <n v="6178.46"/>
  </r>
  <r>
    <x v="17"/>
    <n v="2"/>
    <x v="2"/>
    <n v="1729.54"/>
    <n v="5963"/>
  </r>
  <r>
    <x v="18"/>
    <n v="2"/>
    <x v="2"/>
    <n v="1585.36"/>
    <n v="5574.68"/>
  </r>
  <r>
    <x v="19"/>
    <n v="2"/>
    <x v="2"/>
    <n v="1764.83"/>
    <n v="6284.59"/>
  </r>
  <r>
    <x v="20"/>
    <n v="2"/>
    <x v="2"/>
    <n v="1770.07"/>
    <n v="6541.02"/>
  </r>
  <r>
    <x v="21"/>
    <n v="2"/>
    <x v="2"/>
    <n v="1728.84"/>
    <n v="6143.9"/>
  </r>
  <r>
    <x v="22"/>
    <n v="2"/>
    <x v="2"/>
    <n v="1645.08"/>
    <n v="5860.17"/>
  </r>
  <r>
    <x v="23"/>
    <n v="2"/>
    <x v="2"/>
    <n v="1625.36"/>
    <n v="5706.12"/>
  </r>
  <r>
    <x v="24"/>
    <n v="2"/>
    <x v="2"/>
    <n v="1897.87"/>
    <n v="9459.48"/>
  </r>
  <r>
    <x v="25"/>
    <n v="2"/>
    <x v="2"/>
    <n v="1571.18"/>
    <n v="5761.04"/>
  </r>
  <r>
    <x v="26"/>
    <n v="2"/>
    <x v="2"/>
    <n v="1456.48"/>
    <n v="5634.87"/>
  </r>
  <r>
    <x v="27"/>
    <n v="2"/>
    <x v="2"/>
    <n v="1476.21"/>
    <n v="5904.1"/>
  </r>
  <r>
    <x v="28"/>
    <n v="2"/>
    <x v="2"/>
    <n v="1304.51"/>
    <n v="5868.13"/>
  </r>
  <r>
    <x v="29"/>
    <n v="2"/>
    <x v="2"/>
    <n v="1752.09"/>
    <n v="6369.32"/>
  </r>
  <r>
    <x v="30"/>
    <n v="2"/>
    <x v="2"/>
    <n v="1415.17"/>
    <n v="5972.13"/>
  </r>
  <r>
    <x v="31"/>
    <n v="2"/>
    <x v="2"/>
    <n v="1711.85"/>
    <n v="6471.54"/>
  </r>
  <r>
    <x v="32"/>
    <n v="2"/>
    <x v="2"/>
    <n v="1693.25"/>
    <n v="6047.11"/>
  </r>
  <r>
    <x v="33"/>
    <n v="2"/>
    <x v="2"/>
    <n v="1446.69"/>
    <n v="5952.8"/>
  </r>
  <r>
    <x v="34"/>
    <n v="2"/>
    <x v="2"/>
    <n v="1607.43"/>
    <n v="6492.34"/>
  </r>
  <r>
    <x v="35"/>
    <n v="2"/>
    <x v="2"/>
    <n v="1329.05"/>
    <n v="5887.91"/>
  </r>
  <r>
    <x v="36"/>
    <n v="2"/>
    <x v="2"/>
    <n v="2040.55"/>
    <n v="9875.06"/>
  </r>
  <r>
    <x v="37"/>
    <n v="2"/>
    <x v="2"/>
    <n v="1718.66"/>
    <n v="5594.09"/>
  </r>
  <r>
    <x v="38"/>
    <n v="2"/>
    <x v="2"/>
    <n v="1501.9"/>
    <n v="6641.53"/>
  </r>
  <r>
    <x v="39"/>
    <n v="2"/>
    <x v="2"/>
    <n v="1356.48"/>
    <n v="5721.4"/>
  </r>
  <r>
    <x v="40"/>
    <n v="2"/>
    <x v="2"/>
    <n v="1569.06"/>
    <n v="6843.38"/>
  </r>
  <r>
    <x v="41"/>
    <n v="2"/>
    <x v="2"/>
    <n v="1457.9"/>
    <n v="6446.03"/>
  </r>
  <r>
    <x v="42"/>
    <n v="2"/>
    <x v="2"/>
    <n v="1450.67"/>
    <n v="6384.68"/>
  </r>
  <r>
    <x v="43"/>
    <n v="2"/>
    <x v="2"/>
    <n v="1748.5"/>
    <n v="6816.76"/>
  </r>
  <r>
    <x v="44"/>
    <n v="2"/>
    <x v="2"/>
    <n v="1697.14"/>
    <n v="6952.26"/>
  </r>
  <r>
    <x v="45"/>
    <n v="2"/>
    <x v="2"/>
    <n v="1558.36"/>
    <n v="6729.57"/>
  </r>
  <r>
    <x v="46"/>
    <n v="2"/>
    <x v="2"/>
    <n v="1537.04"/>
    <n v="5946.9"/>
  </r>
  <r>
    <x v="47"/>
    <n v="2"/>
    <x v="2"/>
    <n v="1375.88"/>
    <n v="5776.85"/>
  </r>
  <r>
    <x v="48"/>
    <n v="2"/>
    <x v="2"/>
    <n v="2603.4"/>
    <n v="10842.59"/>
  </r>
  <r>
    <x v="49"/>
    <n v="2"/>
    <x v="2"/>
    <n v="1717.48"/>
    <n v="6057.46"/>
  </r>
  <r>
    <x v="50"/>
    <n v="2"/>
    <x v="2"/>
    <n v="1831.18"/>
    <n v="5983.27"/>
  </r>
  <r>
    <x v="51"/>
    <n v="2"/>
    <x v="2"/>
    <n v="1671.97"/>
    <n v="6317.28"/>
  </r>
  <r>
    <x v="52"/>
    <n v="2"/>
    <x v="2"/>
    <n v="1643.6"/>
    <n v="6406.74"/>
  </r>
  <r>
    <x v="53"/>
    <n v="2"/>
    <x v="2"/>
    <n v="1770.66"/>
    <n v="6715.64"/>
  </r>
  <r>
    <x v="54"/>
    <n v="2"/>
    <x v="2"/>
    <n v="1346.47"/>
    <n v="5351.49"/>
  </r>
  <r>
    <x v="55"/>
    <n v="2"/>
    <x v="2"/>
    <n v="1653.33"/>
    <n v="6770.52"/>
  </r>
  <r>
    <x v="56"/>
    <n v="2"/>
    <x v="2"/>
    <n v="1693.71"/>
    <n v="6528.49"/>
  </r>
  <r>
    <x v="57"/>
    <n v="2"/>
    <x v="2"/>
    <n v="1751.06"/>
    <n v="6831.37"/>
  </r>
  <r>
    <x v="58"/>
    <n v="2"/>
    <x v="2"/>
    <n v="2073.58"/>
    <n v="7416.07"/>
  </r>
  <r>
    <x v="59"/>
    <n v="2"/>
    <x v="2"/>
    <n v="1674.24"/>
    <n v="6269.76"/>
  </r>
  <r>
    <x v="60"/>
    <n v="2"/>
    <x v="2"/>
    <n v="1904.7"/>
    <n v="9000.67"/>
  </r>
  <r>
    <x v="61"/>
    <n v="2"/>
    <x v="2"/>
    <n v="1448.59"/>
    <n v="5822.48"/>
  </r>
  <r>
    <x v="62"/>
    <n v="2"/>
    <x v="2"/>
    <n v="1465.34"/>
    <n v="6480.68"/>
  </r>
  <r>
    <x v="63"/>
    <n v="2"/>
    <x v="2"/>
    <n v="1476.04"/>
    <n v="5944.19"/>
  </r>
  <r>
    <x v="64"/>
    <n v="2"/>
    <x v="2"/>
    <n v="1550.6"/>
    <n v="6898.75"/>
  </r>
  <r>
    <x v="65"/>
    <n v="2"/>
    <x v="2"/>
    <n v="1566.11"/>
    <n v="7018.47"/>
  </r>
  <r>
    <x v="66"/>
    <n v="2"/>
    <x v="2"/>
    <n v="1381.18"/>
    <n v="5986.05"/>
  </r>
  <r>
    <x v="67"/>
    <n v="2"/>
    <x v="2"/>
    <n v="1492.25"/>
    <n v="7053.21"/>
  </r>
  <r>
    <x v="68"/>
    <n v="2"/>
    <x v="2"/>
    <n v="1424.28"/>
    <n v="6095.55"/>
  </r>
  <r>
    <x v="69"/>
    <n v="2"/>
    <x v="2"/>
    <n v="1512.46"/>
    <n v="6597.35"/>
  </r>
  <r>
    <x v="70"/>
    <n v="2"/>
    <x v="2"/>
    <n v="1953.43"/>
    <n v="6962.17"/>
  </r>
  <r>
    <x v="71"/>
    <n v="2"/>
    <x v="2"/>
    <n v="1567.58"/>
    <n v="6786.19"/>
  </r>
  <r>
    <x v="72"/>
    <n v="2"/>
    <x v="2"/>
    <n v="785.17"/>
    <n v="226.6"/>
  </r>
  <r>
    <x v="73"/>
    <n v="2"/>
    <x v="2"/>
    <n v="580.03"/>
    <n v="142.55000000000001"/>
  </r>
  <r>
    <x v="74"/>
    <n v="2"/>
    <x v="2"/>
    <n v="628.14"/>
    <n v="167.39"/>
  </r>
  <r>
    <x v="75"/>
    <n v="2"/>
    <x v="2"/>
    <n v="555.62"/>
    <n v="140.77000000000001"/>
  </r>
  <r>
    <x v="76"/>
    <n v="2"/>
    <x v="2"/>
    <n v="575.54999999999995"/>
    <n v="133.94"/>
  </r>
  <r>
    <x v="77"/>
    <n v="2"/>
    <x v="2"/>
    <n v="525.30999999999995"/>
    <n v="118.44"/>
  </r>
  <r>
    <x v="78"/>
    <n v="2"/>
    <x v="2"/>
    <n v="535.11"/>
    <n v="133.66999999999999"/>
  </r>
  <r>
    <x v="79"/>
    <n v="2"/>
    <x v="2"/>
    <n v="611.95000000000005"/>
    <n v="240.81"/>
  </r>
  <r>
    <x v="80"/>
    <n v="2"/>
    <x v="2"/>
    <n v="618.78"/>
    <n v="175.71"/>
  </r>
  <r>
    <x v="81"/>
    <n v="2"/>
    <x v="2"/>
    <n v="583.13"/>
    <n v="126.02"/>
  </r>
  <r>
    <x v="82"/>
    <n v="2"/>
    <x v="2"/>
    <n v="796.37"/>
    <n v="208.93"/>
  </r>
  <r>
    <x v="83"/>
    <n v="2"/>
    <x v="2"/>
    <n v="639.72"/>
    <n v="137.61000000000001"/>
  </r>
  <r>
    <x v="84"/>
    <n v="2"/>
    <x v="2"/>
    <n v="1063.67"/>
    <n v="300.95"/>
  </r>
  <r>
    <x v="85"/>
    <n v="2"/>
    <x v="2"/>
    <n v="938.84"/>
    <n v="259.32"/>
  </r>
  <r>
    <x v="86"/>
    <n v="2"/>
    <x v="2"/>
    <n v="994.3"/>
    <n v="324.02999999999997"/>
  </r>
  <r>
    <x v="87"/>
    <n v="2"/>
    <x v="2"/>
    <n v="755.21"/>
    <n v="245.62"/>
  </r>
  <r>
    <x v="88"/>
    <n v="2"/>
    <x v="2"/>
    <n v="646.51"/>
    <n v="175.34"/>
  </r>
  <r>
    <x v="89"/>
    <n v="2"/>
    <x v="2"/>
    <n v="703.77"/>
    <n v="164.18"/>
  </r>
  <r>
    <x v="90"/>
    <n v="2"/>
    <x v="2"/>
    <n v="583.03"/>
    <n v="125.96"/>
  </r>
  <r>
    <x v="91"/>
    <n v="2"/>
    <x v="2"/>
    <n v="548.64"/>
    <n v="125.77"/>
  </r>
  <r>
    <x v="92"/>
    <n v="2"/>
    <x v="2"/>
    <n v="642.72"/>
    <n v="170.52"/>
  </r>
  <r>
    <x v="93"/>
    <n v="2"/>
    <x v="2"/>
    <n v="797.05"/>
    <n v="242.36"/>
  </r>
  <r>
    <x v="94"/>
    <n v="2"/>
    <x v="2"/>
    <n v="726.98"/>
    <n v="167.19"/>
  </r>
  <r>
    <x v="95"/>
    <n v="2"/>
    <x v="2"/>
    <n v="827"/>
    <n v="230.6"/>
  </r>
  <r>
    <x v="0"/>
    <n v="2"/>
    <x v="3"/>
    <n v="1832.43"/>
    <n v="9322.76"/>
  </r>
  <r>
    <x v="1"/>
    <n v="2"/>
    <x v="3"/>
    <n v="1485.03"/>
    <n v="5973"/>
  </r>
  <r>
    <x v="2"/>
    <n v="2"/>
    <x v="3"/>
    <n v="1353.05"/>
    <n v="5993.56"/>
  </r>
  <r>
    <x v="3"/>
    <n v="2"/>
    <x v="3"/>
    <n v="1334.5"/>
    <n v="6058.98"/>
  </r>
  <r>
    <x v="4"/>
    <n v="2"/>
    <x v="3"/>
    <n v="1368.22"/>
    <n v="6091.49"/>
  </r>
  <r>
    <x v="5"/>
    <n v="2"/>
    <x v="3"/>
    <n v="1361.67"/>
    <n v="6218.18"/>
  </r>
  <r>
    <x v="6"/>
    <n v="2"/>
    <x v="3"/>
    <n v="1267.22"/>
    <n v="5502.11"/>
  </r>
  <r>
    <x v="7"/>
    <n v="2"/>
    <x v="3"/>
    <n v="1384.37"/>
    <n v="6549.83"/>
  </r>
  <r>
    <x v="8"/>
    <n v="2"/>
    <x v="3"/>
    <n v="1442.86"/>
    <n v="6343.04"/>
  </r>
  <r>
    <x v="9"/>
    <n v="2"/>
    <x v="3"/>
    <n v="1372.07"/>
    <n v="6159.63"/>
  </r>
  <r>
    <x v="10"/>
    <n v="2"/>
    <x v="3"/>
    <n v="1394.5"/>
    <n v="6025.65"/>
  </r>
  <r>
    <x v="11"/>
    <n v="2"/>
    <x v="3"/>
    <n v="2551.29"/>
    <n v="6646.42"/>
  </r>
  <r>
    <x v="12"/>
    <n v="2"/>
    <x v="3"/>
    <n v="2442.44"/>
    <n v="8998.01"/>
  </r>
  <r>
    <x v="13"/>
    <n v="2"/>
    <x v="3"/>
    <n v="1472.83"/>
    <n v="5622.91"/>
  </r>
  <r>
    <x v="14"/>
    <n v="2"/>
    <x v="3"/>
    <n v="1467.73"/>
    <n v="5973.58"/>
  </r>
  <r>
    <x v="15"/>
    <n v="2"/>
    <x v="3"/>
    <n v="1544.49"/>
    <n v="6155.47"/>
  </r>
  <r>
    <x v="16"/>
    <n v="2"/>
    <x v="3"/>
    <n v="1489.9"/>
    <n v="6191.42"/>
  </r>
  <r>
    <x v="17"/>
    <n v="2"/>
    <x v="3"/>
    <n v="1732.03"/>
    <n v="5964.67"/>
  </r>
  <r>
    <x v="18"/>
    <n v="2"/>
    <x v="3"/>
    <n v="1590.86"/>
    <n v="5577.86"/>
  </r>
  <r>
    <x v="19"/>
    <n v="2"/>
    <x v="3"/>
    <n v="1768.76"/>
    <n v="6284.39"/>
  </r>
  <r>
    <x v="20"/>
    <n v="2"/>
    <x v="3"/>
    <n v="1774.46"/>
    <n v="6537.88"/>
  </r>
  <r>
    <x v="21"/>
    <n v="2"/>
    <x v="3"/>
    <n v="1732.25"/>
    <n v="6145.32"/>
  </r>
  <r>
    <x v="22"/>
    <n v="2"/>
    <x v="3"/>
    <n v="1647.26"/>
    <n v="5851.95"/>
  </r>
  <r>
    <x v="23"/>
    <n v="2"/>
    <x v="3"/>
    <n v="1632.52"/>
    <n v="5706.45"/>
  </r>
  <r>
    <x v="24"/>
    <n v="2"/>
    <x v="3"/>
    <n v="1909.8"/>
    <n v="9476.2199999999993"/>
  </r>
  <r>
    <x v="25"/>
    <n v="2"/>
    <x v="3"/>
    <n v="1575.6"/>
    <n v="5767.53"/>
  </r>
  <r>
    <x v="26"/>
    <n v="2"/>
    <x v="3"/>
    <n v="1457.88"/>
    <n v="5637.84"/>
  </r>
  <r>
    <x v="27"/>
    <n v="2"/>
    <x v="3"/>
    <n v="1485.31"/>
    <n v="5917.4"/>
  </r>
  <r>
    <x v="28"/>
    <n v="2"/>
    <x v="3"/>
    <n v="1310.79"/>
    <n v="5875.1"/>
  </r>
  <r>
    <x v="29"/>
    <n v="2"/>
    <x v="3"/>
    <n v="1756.89"/>
    <n v="6373.5"/>
  </r>
  <r>
    <x v="30"/>
    <n v="2"/>
    <x v="3"/>
    <n v="1419.62"/>
    <n v="5975.62"/>
  </r>
  <r>
    <x v="31"/>
    <n v="2"/>
    <x v="3"/>
    <n v="1713.2"/>
    <n v="6470.62"/>
  </r>
  <r>
    <x v="32"/>
    <n v="2"/>
    <x v="3"/>
    <n v="1697.27"/>
    <n v="6050.03"/>
  </r>
  <r>
    <x v="33"/>
    <n v="2"/>
    <x v="3"/>
    <n v="1448.79"/>
    <n v="5954.91"/>
  </r>
  <r>
    <x v="34"/>
    <n v="2"/>
    <x v="3"/>
    <n v="1609.53"/>
    <n v="6484.13"/>
  </r>
  <r>
    <x v="35"/>
    <n v="2"/>
    <x v="3"/>
    <n v="1331.21"/>
    <n v="5866.21"/>
  </r>
  <r>
    <x v="36"/>
    <n v="2"/>
    <x v="3"/>
    <n v="2047.51"/>
    <n v="9879.4500000000007"/>
  </r>
  <r>
    <x v="37"/>
    <n v="2"/>
    <x v="3"/>
    <n v="1717.9"/>
    <n v="5597.28"/>
  </r>
  <r>
    <x v="38"/>
    <n v="2"/>
    <x v="3"/>
    <n v="1508.26"/>
    <n v="6652.2"/>
  </r>
  <r>
    <x v="39"/>
    <n v="2"/>
    <x v="3"/>
    <n v="1365.03"/>
    <n v="5737.82"/>
  </r>
  <r>
    <x v="40"/>
    <n v="2"/>
    <x v="3"/>
    <n v="1576.35"/>
    <n v="6846.54"/>
  </r>
  <r>
    <x v="41"/>
    <n v="2"/>
    <x v="3"/>
    <n v="1466.38"/>
    <n v="6454.04"/>
  </r>
  <r>
    <x v="42"/>
    <n v="2"/>
    <x v="3"/>
    <n v="1459.13"/>
    <n v="6391.56"/>
  </r>
  <r>
    <x v="43"/>
    <n v="2"/>
    <x v="3"/>
    <n v="1755.89"/>
    <n v="6816.83"/>
  </r>
  <r>
    <x v="44"/>
    <n v="2"/>
    <x v="3"/>
    <n v="1702.52"/>
    <n v="6953.89"/>
  </r>
  <r>
    <x v="45"/>
    <n v="2"/>
    <x v="3"/>
    <n v="1560.42"/>
    <n v="6729.64"/>
  </r>
  <r>
    <x v="46"/>
    <n v="2"/>
    <x v="3"/>
    <n v="1538.47"/>
    <n v="5945.86"/>
  </r>
  <r>
    <x v="47"/>
    <n v="2"/>
    <x v="3"/>
    <n v="1377.84"/>
    <n v="5766.15"/>
  </r>
  <r>
    <x v="48"/>
    <n v="2"/>
    <x v="3"/>
    <n v="2614.52"/>
    <n v="10851.95"/>
  </r>
  <r>
    <x v="49"/>
    <n v="2"/>
    <x v="3"/>
    <n v="1723.16"/>
    <n v="6066.48"/>
  </r>
  <r>
    <x v="50"/>
    <n v="2"/>
    <x v="3"/>
    <n v="1839.93"/>
    <n v="5992.04"/>
  </r>
  <r>
    <x v="51"/>
    <n v="2"/>
    <x v="3"/>
    <n v="1680.9"/>
    <n v="6325.44"/>
  </r>
  <r>
    <x v="52"/>
    <n v="2"/>
    <x v="3"/>
    <n v="1650.48"/>
    <n v="6411.65"/>
  </r>
  <r>
    <x v="53"/>
    <n v="2"/>
    <x v="3"/>
    <n v="1779.71"/>
    <n v="6728.97"/>
  </r>
  <r>
    <x v="54"/>
    <n v="2"/>
    <x v="3"/>
    <n v="1353.86"/>
    <n v="5361.98"/>
  </r>
  <r>
    <x v="55"/>
    <n v="2"/>
    <x v="3"/>
    <n v="1659.23"/>
    <n v="6786.73"/>
  </r>
  <r>
    <x v="56"/>
    <n v="2"/>
    <x v="3"/>
    <n v="1701.7"/>
    <n v="6534.03"/>
  </r>
  <r>
    <x v="57"/>
    <n v="2"/>
    <x v="3"/>
    <n v="1760.92"/>
    <n v="6846.04"/>
  </r>
  <r>
    <x v="58"/>
    <n v="2"/>
    <x v="3"/>
    <n v="2079.4299999999998"/>
    <n v="7425.31"/>
  </r>
  <r>
    <x v="59"/>
    <n v="2"/>
    <x v="3"/>
    <n v="1676.55"/>
    <n v="6264.32"/>
  </r>
  <r>
    <x v="60"/>
    <n v="2"/>
    <x v="3"/>
    <n v="1914.62"/>
    <n v="9018.85"/>
  </r>
  <r>
    <x v="61"/>
    <n v="2"/>
    <x v="3"/>
    <n v="1457.79"/>
    <n v="5839.28"/>
  </r>
  <r>
    <x v="62"/>
    <n v="2"/>
    <x v="3"/>
    <n v="1472.36"/>
    <n v="6489.43"/>
  </r>
  <r>
    <x v="63"/>
    <n v="2"/>
    <x v="3"/>
    <n v="1483.45"/>
    <n v="5961.28"/>
  </r>
  <r>
    <x v="64"/>
    <n v="2"/>
    <x v="3"/>
    <n v="1558.61"/>
    <n v="6907.91"/>
  </r>
  <r>
    <x v="65"/>
    <n v="2"/>
    <x v="3"/>
    <n v="1575.57"/>
    <n v="7030.84"/>
  </r>
  <r>
    <x v="66"/>
    <n v="2"/>
    <x v="3"/>
    <n v="1389.38"/>
    <n v="5991.75"/>
  </r>
  <r>
    <x v="67"/>
    <n v="2"/>
    <x v="3"/>
    <n v="1499.99"/>
    <n v="7065.17"/>
  </r>
  <r>
    <x v="68"/>
    <n v="2"/>
    <x v="3"/>
    <n v="1432.48"/>
    <n v="6108.63"/>
  </r>
  <r>
    <x v="69"/>
    <n v="2"/>
    <x v="3"/>
    <n v="1520.15"/>
    <n v="6608.53"/>
  </r>
  <r>
    <x v="70"/>
    <n v="2"/>
    <x v="3"/>
    <n v="1952.99"/>
    <n v="6967.03"/>
  </r>
  <r>
    <x v="71"/>
    <n v="2"/>
    <x v="3"/>
    <n v="1572.51"/>
    <n v="6784.26"/>
  </r>
  <r>
    <x v="72"/>
    <n v="2"/>
    <x v="3"/>
    <n v="787.84"/>
    <n v="225.48"/>
  </r>
  <r>
    <x v="73"/>
    <n v="2"/>
    <x v="3"/>
    <n v="583.79"/>
    <n v="142.65"/>
  </r>
  <r>
    <x v="74"/>
    <n v="2"/>
    <x v="3"/>
    <n v="630.38"/>
    <n v="167.13"/>
  </r>
  <r>
    <x v="75"/>
    <n v="2"/>
    <x v="3"/>
    <n v="557.6"/>
    <n v="140.74"/>
  </r>
  <r>
    <x v="76"/>
    <n v="2"/>
    <x v="3"/>
    <n v="577.69000000000005"/>
    <n v="134.47"/>
  </r>
  <r>
    <x v="77"/>
    <n v="2"/>
    <x v="3"/>
    <n v="527.4"/>
    <n v="118.51"/>
  </r>
  <r>
    <x v="78"/>
    <n v="2"/>
    <x v="3"/>
    <n v="536.52"/>
    <n v="133.65"/>
  </r>
  <r>
    <x v="79"/>
    <n v="2"/>
    <x v="3"/>
    <n v="612.91"/>
    <n v="241.42"/>
  </r>
  <r>
    <x v="80"/>
    <n v="2"/>
    <x v="3"/>
    <n v="620.03"/>
    <n v="175.41"/>
  </r>
  <r>
    <x v="81"/>
    <n v="2"/>
    <x v="3"/>
    <n v="585.54"/>
    <n v="125.97"/>
  </r>
  <r>
    <x v="82"/>
    <n v="2"/>
    <x v="3"/>
    <n v="794.39"/>
    <n v="207.88"/>
  </r>
  <r>
    <x v="83"/>
    <n v="2"/>
    <x v="3"/>
    <n v="643.05999999999995"/>
    <n v="137.51"/>
  </r>
  <r>
    <x v="84"/>
    <n v="2"/>
    <x v="3"/>
    <n v="1070.98"/>
    <n v="300.8"/>
  </r>
  <r>
    <x v="85"/>
    <n v="2"/>
    <x v="3"/>
    <n v="947.79"/>
    <n v="259.25"/>
  </r>
  <r>
    <x v="86"/>
    <n v="2"/>
    <x v="3"/>
    <n v="1001.22"/>
    <n v="323.95"/>
  </r>
  <r>
    <x v="87"/>
    <n v="2"/>
    <x v="3"/>
    <n v="765.27"/>
    <n v="245.55"/>
  </r>
  <r>
    <x v="88"/>
    <n v="2"/>
    <x v="3"/>
    <n v="651.79999999999995"/>
    <n v="176.03"/>
  </r>
  <r>
    <x v="89"/>
    <n v="2"/>
    <x v="3"/>
    <n v="709.83"/>
    <n v="165.22"/>
  </r>
  <r>
    <x v="90"/>
    <n v="2"/>
    <x v="3"/>
    <n v="588.32000000000005"/>
    <n v="126.02"/>
  </r>
  <r>
    <x v="91"/>
    <n v="2"/>
    <x v="3"/>
    <n v="552.61"/>
    <n v="126.1"/>
  </r>
  <r>
    <x v="92"/>
    <n v="2"/>
    <x v="3"/>
    <n v="646.92999999999995"/>
    <n v="170.79"/>
  </r>
  <r>
    <x v="93"/>
    <n v="2"/>
    <x v="3"/>
    <n v="803.87"/>
    <n v="242.25"/>
  </r>
  <r>
    <x v="94"/>
    <n v="2"/>
    <x v="3"/>
    <n v="732.27"/>
    <n v="167.72"/>
  </r>
  <r>
    <x v="95"/>
    <n v="2"/>
    <x v="3"/>
    <n v="828.49"/>
    <n v="228.17"/>
  </r>
  <r>
    <x v="0"/>
    <n v="2"/>
    <x v="4"/>
    <n v="1840.74"/>
    <n v="9324.4599999999991"/>
  </r>
  <r>
    <x v="1"/>
    <n v="2"/>
    <x v="4"/>
    <n v="1493.8"/>
    <n v="5975.24"/>
  </r>
  <r>
    <x v="2"/>
    <n v="2"/>
    <x v="4"/>
    <n v="1360.52"/>
    <n v="6004.17"/>
  </r>
  <r>
    <x v="3"/>
    <n v="2"/>
    <x v="4"/>
    <n v="1344.28"/>
    <n v="6074.12"/>
  </r>
  <r>
    <x v="4"/>
    <n v="2"/>
    <x v="4"/>
    <n v="1378.06"/>
    <n v="6104.08"/>
  </r>
  <r>
    <x v="5"/>
    <n v="2"/>
    <x v="4"/>
    <n v="1370.81"/>
    <n v="6223.9"/>
  </r>
  <r>
    <x v="6"/>
    <n v="2"/>
    <x v="4"/>
    <n v="1277.3900000000001"/>
    <n v="5516.46"/>
  </r>
  <r>
    <x v="7"/>
    <n v="2"/>
    <x v="4"/>
    <n v="1394.31"/>
    <n v="6562.95"/>
  </r>
  <r>
    <x v="8"/>
    <n v="2"/>
    <x v="4"/>
    <n v="1453.65"/>
    <n v="6360.23"/>
  </r>
  <r>
    <x v="9"/>
    <n v="2"/>
    <x v="4"/>
    <n v="1381.9"/>
    <n v="6172.1"/>
  </r>
  <r>
    <x v="10"/>
    <n v="2"/>
    <x v="4"/>
    <n v="1400.8"/>
    <n v="6028.27"/>
  </r>
  <r>
    <x v="11"/>
    <n v="2"/>
    <x v="4"/>
    <n v="2570.35"/>
    <n v="6715.09"/>
  </r>
  <r>
    <x v="12"/>
    <n v="2"/>
    <x v="4"/>
    <n v="2455.73"/>
    <n v="9006.89"/>
  </r>
  <r>
    <x v="13"/>
    <n v="2"/>
    <x v="4"/>
    <n v="1480.69"/>
    <n v="5636.11"/>
  </r>
  <r>
    <x v="14"/>
    <n v="2"/>
    <x v="4"/>
    <n v="1477.68"/>
    <n v="5983.78"/>
  </r>
  <r>
    <x v="15"/>
    <n v="2"/>
    <x v="4"/>
    <n v="1551.36"/>
    <n v="6164.31"/>
  </r>
  <r>
    <x v="16"/>
    <n v="2"/>
    <x v="4"/>
    <n v="1497.9"/>
    <n v="6203.33"/>
  </r>
  <r>
    <x v="17"/>
    <n v="2"/>
    <x v="4"/>
    <n v="1734.65"/>
    <n v="5966.7"/>
  </r>
  <r>
    <x v="18"/>
    <n v="2"/>
    <x v="4"/>
    <n v="1597"/>
    <n v="5582.95"/>
  </r>
  <r>
    <x v="19"/>
    <n v="2"/>
    <x v="4"/>
    <n v="1773.78"/>
    <n v="6284.22"/>
  </r>
  <r>
    <x v="20"/>
    <n v="2"/>
    <x v="4"/>
    <n v="1780.13"/>
    <n v="6535.46"/>
  </r>
  <r>
    <x v="21"/>
    <n v="2"/>
    <x v="4"/>
    <n v="1737.19"/>
    <n v="6147.95"/>
  </r>
  <r>
    <x v="22"/>
    <n v="2"/>
    <x v="4"/>
    <n v="1648.75"/>
    <n v="5846.66"/>
  </r>
  <r>
    <x v="23"/>
    <n v="2"/>
    <x v="4"/>
    <n v="1639.66"/>
    <n v="5706.73"/>
  </r>
  <r>
    <x v="24"/>
    <n v="2"/>
    <x v="4"/>
    <n v="1921.25"/>
    <n v="9493.2000000000007"/>
  </r>
  <r>
    <x v="25"/>
    <n v="2"/>
    <x v="4"/>
    <n v="1579.7"/>
    <n v="5775.52"/>
  </r>
  <r>
    <x v="26"/>
    <n v="2"/>
    <x v="4"/>
    <n v="1461.92"/>
    <n v="5649.02"/>
  </r>
  <r>
    <x v="27"/>
    <n v="2"/>
    <x v="4"/>
    <n v="1494.13"/>
    <n v="5930.29"/>
  </r>
  <r>
    <x v="28"/>
    <n v="2"/>
    <x v="4"/>
    <n v="1315.98"/>
    <n v="5880.14"/>
  </r>
  <r>
    <x v="29"/>
    <n v="2"/>
    <x v="4"/>
    <n v="1761.76"/>
    <n v="6378.39"/>
  </r>
  <r>
    <x v="30"/>
    <n v="2"/>
    <x v="4"/>
    <n v="1424.63"/>
    <n v="5982.23"/>
  </r>
  <r>
    <x v="31"/>
    <n v="2"/>
    <x v="4"/>
    <n v="1716.15"/>
    <n v="6471.16"/>
  </r>
  <r>
    <x v="32"/>
    <n v="2"/>
    <x v="4"/>
    <n v="1703.2"/>
    <n v="6050.12"/>
  </r>
  <r>
    <x v="33"/>
    <n v="2"/>
    <x v="4"/>
    <n v="1451.1"/>
    <n v="5955.16"/>
  </r>
  <r>
    <x v="34"/>
    <n v="2"/>
    <x v="4"/>
    <n v="1613"/>
    <n v="6477.47"/>
  </r>
  <r>
    <x v="35"/>
    <n v="2"/>
    <x v="4"/>
    <n v="1333.37"/>
    <n v="5848.84"/>
  </r>
  <r>
    <x v="36"/>
    <n v="2"/>
    <x v="4"/>
    <n v="2052"/>
    <n v="9883.69"/>
  </r>
  <r>
    <x v="37"/>
    <n v="2"/>
    <x v="4"/>
    <n v="1717.7"/>
    <n v="5601.86"/>
  </r>
  <r>
    <x v="38"/>
    <n v="2"/>
    <x v="4"/>
    <n v="1517.08"/>
    <n v="6666.26"/>
  </r>
  <r>
    <x v="39"/>
    <n v="2"/>
    <x v="4"/>
    <n v="1372.5"/>
    <n v="5754.22"/>
  </r>
  <r>
    <x v="40"/>
    <n v="2"/>
    <x v="4"/>
    <n v="1583.51"/>
    <n v="6849.92"/>
  </r>
  <r>
    <x v="41"/>
    <n v="2"/>
    <x v="4"/>
    <n v="1476.45"/>
    <n v="6465.94"/>
  </r>
  <r>
    <x v="42"/>
    <n v="2"/>
    <x v="4"/>
    <n v="1467.68"/>
    <n v="6402.19"/>
  </r>
  <r>
    <x v="43"/>
    <n v="2"/>
    <x v="4"/>
    <n v="1762.97"/>
    <n v="6815.6"/>
  </r>
  <r>
    <x v="44"/>
    <n v="2"/>
    <x v="4"/>
    <n v="1707.82"/>
    <n v="6954.67"/>
  </r>
  <r>
    <x v="45"/>
    <n v="2"/>
    <x v="4"/>
    <n v="1564.42"/>
    <n v="6729.69"/>
  </r>
  <r>
    <x v="46"/>
    <n v="2"/>
    <x v="4"/>
    <n v="1540.74"/>
    <n v="5945.54"/>
  </r>
  <r>
    <x v="47"/>
    <n v="2"/>
    <x v="4"/>
    <n v="1380.09"/>
    <n v="5759.12"/>
  </r>
  <r>
    <x v="48"/>
    <n v="2"/>
    <x v="4"/>
    <n v="2624.5"/>
    <n v="10860.97"/>
  </r>
  <r>
    <x v="49"/>
    <n v="2"/>
    <x v="4"/>
    <n v="1729.95"/>
    <n v="6075.04"/>
  </r>
  <r>
    <x v="50"/>
    <n v="2"/>
    <x v="4"/>
    <n v="1850.26"/>
    <n v="6004.79"/>
  </r>
  <r>
    <x v="51"/>
    <n v="2"/>
    <x v="4"/>
    <n v="1689.92"/>
    <n v="6335.61"/>
  </r>
  <r>
    <x v="52"/>
    <n v="2"/>
    <x v="4"/>
    <n v="1657.46"/>
    <n v="6417.8"/>
  </r>
  <r>
    <x v="53"/>
    <n v="2"/>
    <x v="4"/>
    <n v="1789.12"/>
    <n v="6744.01"/>
  </r>
  <r>
    <x v="54"/>
    <n v="2"/>
    <x v="4"/>
    <n v="1361.25"/>
    <n v="5376.19"/>
  </r>
  <r>
    <x v="55"/>
    <n v="2"/>
    <x v="4"/>
    <n v="1666.02"/>
    <n v="6802.29"/>
  </r>
  <r>
    <x v="56"/>
    <n v="2"/>
    <x v="4"/>
    <n v="1710.09"/>
    <n v="6540.99"/>
  </r>
  <r>
    <x v="57"/>
    <n v="2"/>
    <x v="4"/>
    <n v="1771.37"/>
    <n v="6854.67"/>
  </r>
  <r>
    <x v="58"/>
    <n v="2"/>
    <x v="4"/>
    <n v="2086.46"/>
    <n v="7435.99"/>
  </r>
  <r>
    <x v="59"/>
    <n v="2"/>
    <x v="4"/>
    <n v="1678.8"/>
    <n v="6258.08"/>
  </r>
  <r>
    <x v="60"/>
    <n v="2"/>
    <x v="4"/>
    <n v="1924.61"/>
    <n v="9036.07"/>
  </r>
  <r>
    <x v="61"/>
    <n v="2"/>
    <x v="4"/>
    <n v="1465.81"/>
    <n v="5853.57"/>
  </r>
  <r>
    <x v="62"/>
    <n v="2"/>
    <x v="4"/>
    <n v="1481.15"/>
    <n v="6501.77"/>
  </r>
  <r>
    <x v="63"/>
    <n v="2"/>
    <x v="4"/>
    <n v="1491.87"/>
    <n v="5977.72"/>
  </r>
  <r>
    <x v="64"/>
    <n v="2"/>
    <x v="4"/>
    <n v="1567.12"/>
    <n v="6913.7"/>
  </r>
  <r>
    <x v="65"/>
    <n v="2"/>
    <x v="4"/>
    <n v="1584.5"/>
    <n v="7044.03"/>
  </r>
  <r>
    <x v="66"/>
    <n v="2"/>
    <x v="4"/>
    <n v="1397.35"/>
    <n v="6002.3"/>
  </r>
  <r>
    <x v="67"/>
    <n v="2"/>
    <x v="4"/>
    <n v="1508.13"/>
    <n v="7075.16"/>
  </r>
  <r>
    <x v="68"/>
    <n v="2"/>
    <x v="4"/>
    <n v="1439.81"/>
    <n v="6120.41"/>
  </r>
  <r>
    <x v="69"/>
    <n v="2"/>
    <x v="4"/>
    <n v="1528.14"/>
    <n v="6617.06"/>
  </r>
  <r>
    <x v="70"/>
    <n v="2"/>
    <x v="4"/>
    <n v="1952.36"/>
    <n v="6972.04"/>
  </r>
  <r>
    <x v="71"/>
    <n v="2"/>
    <x v="4"/>
    <n v="1577.63"/>
    <n v="6786.49"/>
  </r>
  <r>
    <x v="72"/>
    <n v="2"/>
    <x v="4"/>
    <n v="791.85"/>
    <n v="224.97"/>
  </r>
  <r>
    <x v="73"/>
    <n v="2"/>
    <x v="4"/>
    <n v="587.86"/>
    <n v="143.02000000000001"/>
  </r>
  <r>
    <x v="74"/>
    <n v="2"/>
    <x v="4"/>
    <n v="632.15"/>
    <n v="166.99"/>
  </r>
  <r>
    <x v="75"/>
    <n v="2"/>
    <x v="4"/>
    <n v="559.70000000000005"/>
    <n v="140.76"/>
  </r>
  <r>
    <x v="76"/>
    <n v="2"/>
    <x v="4"/>
    <n v="581.75"/>
    <n v="135.22"/>
  </r>
  <r>
    <x v="77"/>
    <n v="2"/>
    <x v="4"/>
    <n v="531.03"/>
    <n v="118.52"/>
  </r>
  <r>
    <x v="78"/>
    <n v="2"/>
    <x v="4"/>
    <n v="539.05999999999995"/>
    <n v="133.59"/>
  </r>
  <r>
    <x v="79"/>
    <n v="2"/>
    <x v="4"/>
    <n v="615.12"/>
    <n v="243.19"/>
  </r>
  <r>
    <x v="80"/>
    <n v="2"/>
    <x v="4"/>
    <n v="620.27"/>
    <n v="175.26"/>
  </r>
  <r>
    <x v="81"/>
    <n v="2"/>
    <x v="4"/>
    <n v="588.58000000000004"/>
    <n v="125.73"/>
  </r>
  <r>
    <x v="82"/>
    <n v="2"/>
    <x v="4"/>
    <n v="793.31"/>
    <n v="206.52"/>
  </r>
  <r>
    <x v="83"/>
    <n v="2"/>
    <x v="4"/>
    <n v="647.30999999999995"/>
    <n v="137.1"/>
  </r>
  <r>
    <x v="84"/>
    <n v="2"/>
    <x v="4"/>
    <n v="1077.9000000000001"/>
    <n v="300.97000000000003"/>
  </r>
  <r>
    <x v="85"/>
    <n v="2"/>
    <x v="4"/>
    <n v="955.05"/>
    <n v="259.12"/>
  </r>
  <r>
    <x v="86"/>
    <n v="2"/>
    <x v="4"/>
    <n v="1007.99"/>
    <n v="324.04000000000002"/>
  </r>
  <r>
    <x v="87"/>
    <n v="2"/>
    <x v="4"/>
    <n v="774.28"/>
    <n v="246.65"/>
  </r>
  <r>
    <x v="88"/>
    <n v="2"/>
    <x v="4"/>
    <n v="658.56"/>
    <n v="176.81"/>
  </r>
  <r>
    <x v="89"/>
    <n v="2"/>
    <x v="4"/>
    <n v="716.62"/>
    <n v="166.2"/>
  </r>
  <r>
    <x v="90"/>
    <n v="2"/>
    <x v="4"/>
    <n v="595.04"/>
    <n v="126.05"/>
  </r>
  <r>
    <x v="91"/>
    <n v="2"/>
    <x v="4"/>
    <n v="556.62"/>
    <n v="126.99"/>
  </r>
  <r>
    <x v="92"/>
    <n v="2"/>
    <x v="4"/>
    <n v="650.29"/>
    <n v="171.29"/>
  </r>
  <r>
    <x v="93"/>
    <n v="2"/>
    <x v="4"/>
    <n v="810.44"/>
    <n v="242.27"/>
  </r>
  <r>
    <x v="94"/>
    <n v="2"/>
    <x v="4"/>
    <n v="738.1"/>
    <n v="168.54"/>
  </r>
  <r>
    <x v="95"/>
    <n v="2"/>
    <x v="4"/>
    <n v="829.75"/>
    <n v="226.93"/>
  </r>
  <r>
    <x v="0"/>
    <n v="2"/>
    <x v="5"/>
    <n v="1849.31"/>
    <n v="9324.1200000000008"/>
  </r>
  <r>
    <x v="1"/>
    <n v="2"/>
    <x v="5"/>
    <n v="1502.58"/>
    <n v="5977.33"/>
  </r>
  <r>
    <x v="2"/>
    <n v="2"/>
    <x v="5"/>
    <n v="1367.58"/>
    <n v="6011.48"/>
  </r>
  <r>
    <x v="3"/>
    <n v="2"/>
    <x v="5"/>
    <n v="1353.53"/>
    <n v="6089.18"/>
  </r>
  <r>
    <x v="4"/>
    <n v="2"/>
    <x v="5"/>
    <n v="1387.11"/>
    <n v="6116.39"/>
  </r>
  <r>
    <x v="5"/>
    <n v="2"/>
    <x v="5"/>
    <n v="1379.62"/>
    <n v="6233.73"/>
  </r>
  <r>
    <x v="6"/>
    <n v="2"/>
    <x v="5"/>
    <n v="1284.6300000000001"/>
    <n v="5531.18"/>
  </r>
  <r>
    <x v="7"/>
    <n v="2"/>
    <x v="5"/>
    <n v="1404.36"/>
    <n v="6572.27"/>
  </r>
  <r>
    <x v="8"/>
    <n v="2"/>
    <x v="5"/>
    <n v="1464.39"/>
    <n v="6372.05"/>
  </r>
  <r>
    <x v="9"/>
    <n v="2"/>
    <x v="5"/>
    <n v="1390.96"/>
    <n v="6185.18"/>
  </r>
  <r>
    <x v="10"/>
    <n v="2"/>
    <x v="5"/>
    <n v="1407.73"/>
    <n v="6032.38"/>
  </r>
  <r>
    <x v="11"/>
    <n v="2"/>
    <x v="5"/>
    <n v="2588.73"/>
    <n v="6784.6"/>
  </r>
  <r>
    <x v="12"/>
    <n v="2"/>
    <x v="5"/>
    <n v="2469.5300000000002"/>
    <n v="9019.1200000000008"/>
  </r>
  <r>
    <x v="13"/>
    <n v="2"/>
    <x v="5"/>
    <n v="1488.04"/>
    <n v="5645.2"/>
  </r>
  <r>
    <x v="14"/>
    <n v="2"/>
    <x v="5"/>
    <n v="1486.93"/>
    <n v="5991.28"/>
  </r>
  <r>
    <x v="15"/>
    <n v="2"/>
    <x v="5"/>
    <n v="1558.59"/>
    <n v="6169.61"/>
  </r>
  <r>
    <x v="16"/>
    <n v="2"/>
    <x v="5"/>
    <n v="1505.19"/>
    <n v="6210.48"/>
  </r>
  <r>
    <x v="17"/>
    <n v="2"/>
    <x v="5"/>
    <n v="1739.21"/>
    <n v="5968.13"/>
  </r>
  <r>
    <x v="18"/>
    <n v="2"/>
    <x v="5"/>
    <n v="1603.64"/>
    <n v="5587.01"/>
  </r>
  <r>
    <x v="19"/>
    <n v="2"/>
    <x v="5"/>
    <n v="1778.97"/>
    <n v="6283.25"/>
  </r>
  <r>
    <x v="20"/>
    <n v="2"/>
    <x v="5"/>
    <n v="1786.83"/>
    <n v="6533.28"/>
  </r>
  <r>
    <x v="21"/>
    <n v="2"/>
    <x v="5"/>
    <n v="1742.23"/>
    <n v="6149.84"/>
  </r>
  <r>
    <x v="22"/>
    <n v="2"/>
    <x v="5"/>
    <n v="1651.94"/>
    <n v="5841.3"/>
  </r>
  <r>
    <x v="23"/>
    <n v="2"/>
    <x v="5"/>
    <n v="1646.94"/>
    <n v="5710.29"/>
  </r>
  <r>
    <x v="24"/>
    <n v="2"/>
    <x v="5"/>
    <n v="1928.32"/>
    <n v="9505.3700000000008"/>
  </r>
  <r>
    <x v="25"/>
    <n v="2"/>
    <x v="5"/>
    <n v="1583.71"/>
    <n v="5780.56"/>
  </r>
  <r>
    <x v="26"/>
    <n v="2"/>
    <x v="5"/>
    <n v="1467.89"/>
    <n v="5659.76"/>
  </r>
  <r>
    <x v="27"/>
    <n v="2"/>
    <x v="5"/>
    <n v="1502.5"/>
    <n v="5942.96"/>
  </r>
  <r>
    <x v="28"/>
    <n v="2"/>
    <x v="5"/>
    <n v="1321.16"/>
    <n v="5883.34"/>
  </r>
  <r>
    <x v="29"/>
    <n v="2"/>
    <x v="5"/>
    <n v="1766.19"/>
    <n v="6382.95"/>
  </r>
  <r>
    <x v="30"/>
    <n v="2"/>
    <x v="5"/>
    <n v="1427.84"/>
    <n v="5987.9"/>
  </r>
  <r>
    <x v="31"/>
    <n v="2"/>
    <x v="5"/>
    <n v="1720.71"/>
    <n v="6473.12"/>
  </r>
  <r>
    <x v="32"/>
    <n v="2"/>
    <x v="5"/>
    <n v="1708.53"/>
    <n v="6049.3"/>
  </r>
  <r>
    <x v="33"/>
    <n v="2"/>
    <x v="5"/>
    <n v="1452.64"/>
    <n v="5954.68"/>
  </r>
  <r>
    <x v="34"/>
    <n v="2"/>
    <x v="5"/>
    <n v="1616.08"/>
    <n v="6473.47"/>
  </r>
  <r>
    <x v="35"/>
    <n v="2"/>
    <x v="5"/>
    <n v="1335.68"/>
    <n v="5835.58"/>
  </r>
  <r>
    <x v="36"/>
    <n v="2"/>
    <x v="5"/>
    <n v="2059.54"/>
    <n v="9886.02"/>
  </r>
  <r>
    <x v="37"/>
    <n v="2"/>
    <x v="5"/>
    <n v="1717.43"/>
    <n v="5607.17"/>
  </r>
  <r>
    <x v="38"/>
    <n v="2"/>
    <x v="5"/>
    <n v="1524.09"/>
    <n v="6676.23"/>
  </r>
  <r>
    <x v="39"/>
    <n v="2"/>
    <x v="5"/>
    <n v="1380.01"/>
    <n v="5770.58"/>
  </r>
  <r>
    <x v="40"/>
    <n v="2"/>
    <x v="5"/>
    <n v="1590.55"/>
    <n v="6852.4"/>
  </r>
  <r>
    <x v="41"/>
    <n v="2"/>
    <x v="5"/>
    <n v="1483.32"/>
    <n v="6474.69"/>
  </r>
  <r>
    <x v="42"/>
    <n v="2"/>
    <x v="5"/>
    <n v="1473.26"/>
    <n v="6411.13"/>
  </r>
  <r>
    <x v="43"/>
    <n v="2"/>
    <x v="5"/>
    <n v="1769.73"/>
    <n v="6813.88"/>
  </r>
  <r>
    <x v="44"/>
    <n v="2"/>
    <x v="5"/>
    <n v="1712.91"/>
    <n v="6956.6"/>
  </r>
  <r>
    <x v="45"/>
    <n v="2"/>
    <x v="5"/>
    <n v="1566.57"/>
    <n v="6730.73"/>
  </r>
  <r>
    <x v="46"/>
    <n v="2"/>
    <x v="5"/>
    <n v="1542.77"/>
    <n v="5944.97"/>
  </r>
  <r>
    <x v="47"/>
    <n v="2"/>
    <x v="5"/>
    <n v="1382.09"/>
    <n v="5754.12"/>
  </r>
  <r>
    <x v="48"/>
    <n v="2"/>
    <x v="5"/>
    <n v="2634.96"/>
    <n v="10873.01"/>
  </r>
  <r>
    <x v="49"/>
    <n v="2"/>
    <x v="5"/>
    <n v="1736.71"/>
    <n v="6080.66"/>
  </r>
  <r>
    <x v="50"/>
    <n v="2"/>
    <x v="5"/>
    <n v="1857.19"/>
    <n v="6014.81"/>
  </r>
  <r>
    <x v="51"/>
    <n v="2"/>
    <x v="5"/>
    <n v="1698.17"/>
    <n v="6345.73"/>
  </r>
  <r>
    <x v="52"/>
    <n v="2"/>
    <x v="5"/>
    <n v="1664.25"/>
    <n v="6425.73"/>
  </r>
  <r>
    <x v="53"/>
    <n v="2"/>
    <x v="5"/>
    <n v="1798.41"/>
    <n v="6760.24"/>
  </r>
  <r>
    <x v="54"/>
    <n v="2"/>
    <x v="5"/>
    <n v="1366.37"/>
    <n v="5387.53"/>
  </r>
  <r>
    <x v="55"/>
    <n v="2"/>
    <x v="5"/>
    <n v="1672.13"/>
    <n v="6811.08"/>
  </r>
  <r>
    <x v="56"/>
    <n v="2"/>
    <x v="5"/>
    <n v="1717.39"/>
    <n v="6547.06"/>
  </r>
  <r>
    <x v="57"/>
    <n v="2"/>
    <x v="5"/>
    <n v="1777.63"/>
    <n v="6866.75"/>
  </r>
  <r>
    <x v="58"/>
    <n v="2"/>
    <x v="5"/>
    <n v="2091.96"/>
    <n v="7443.82"/>
  </r>
  <r>
    <x v="59"/>
    <n v="2"/>
    <x v="5"/>
    <n v="1680.82"/>
    <n v="6254.2"/>
  </r>
  <r>
    <x v="60"/>
    <n v="2"/>
    <x v="5"/>
    <n v="1933.7"/>
    <n v="9051.2000000000007"/>
  </r>
  <r>
    <x v="61"/>
    <n v="2"/>
    <x v="5"/>
    <n v="1473.74"/>
    <n v="5865.93"/>
  </r>
  <r>
    <x v="62"/>
    <n v="2"/>
    <x v="5"/>
    <n v="1486.94"/>
    <n v="6510.42"/>
  </r>
  <r>
    <x v="63"/>
    <n v="2"/>
    <x v="5"/>
    <n v="1500.52"/>
    <n v="5993.36"/>
  </r>
  <r>
    <x v="64"/>
    <n v="2"/>
    <x v="5"/>
    <n v="1575.23"/>
    <n v="6922.11"/>
  </r>
  <r>
    <x v="65"/>
    <n v="2"/>
    <x v="5"/>
    <n v="1593.17"/>
    <n v="7057.12"/>
  </r>
  <r>
    <x v="66"/>
    <n v="2"/>
    <x v="5"/>
    <n v="1404.76"/>
    <n v="6011.18"/>
  </r>
  <r>
    <x v="67"/>
    <n v="2"/>
    <x v="5"/>
    <n v="1515.47"/>
    <n v="7081.31"/>
  </r>
  <r>
    <x v="68"/>
    <n v="2"/>
    <x v="5"/>
    <n v="1446.76"/>
    <n v="6127.48"/>
  </r>
  <r>
    <x v="69"/>
    <n v="2"/>
    <x v="5"/>
    <n v="1535.25"/>
    <n v="6623.92"/>
  </r>
  <r>
    <x v="70"/>
    <n v="2"/>
    <x v="5"/>
    <n v="1952.2"/>
    <n v="6978.2"/>
  </r>
  <r>
    <x v="71"/>
    <n v="2"/>
    <x v="5"/>
    <n v="1584.45"/>
    <n v="6796.77"/>
  </r>
  <r>
    <x v="72"/>
    <n v="2"/>
    <x v="5"/>
    <n v="794.55"/>
    <n v="224.64"/>
  </r>
  <r>
    <x v="73"/>
    <n v="2"/>
    <x v="5"/>
    <n v="591.28"/>
    <n v="143.31"/>
  </r>
  <r>
    <x v="74"/>
    <n v="2"/>
    <x v="5"/>
    <n v="636.85"/>
    <n v="166.99"/>
  </r>
  <r>
    <x v="75"/>
    <n v="2"/>
    <x v="5"/>
    <n v="563.03"/>
    <n v="140.99"/>
  </r>
  <r>
    <x v="76"/>
    <n v="2"/>
    <x v="5"/>
    <n v="583.82000000000005"/>
    <n v="135.32"/>
  </r>
  <r>
    <x v="77"/>
    <n v="2"/>
    <x v="5"/>
    <n v="532.95000000000005"/>
    <n v="118.52"/>
  </r>
  <r>
    <x v="78"/>
    <n v="2"/>
    <x v="5"/>
    <n v="541.67999999999995"/>
    <n v="134.24"/>
  </r>
  <r>
    <x v="79"/>
    <n v="2"/>
    <x v="5"/>
    <n v="618.67999999999995"/>
    <n v="248.25"/>
  </r>
  <r>
    <x v="80"/>
    <n v="2"/>
    <x v="5"/>
    <n v="621.51"/>
    <n v="174.98"/>
  </r>
  <r>
    <x v="81"/>
    <n v="2"/>
    <x v="5"/>
    <n v="591.62"/>
    <n v="125.62"/>
  </r>
  <r>
    <x v="82"/>
    <n v="2"/>
    <x v="5"/>
    <n v="791.27"/>
    <n v="205.47"/>
  </r>
  <r>
    <x v="83"/>
    <n v="2"/>
    <x v="5"/>
    <n v="649.44000000000005"/>
    <n v="137.03"/>
  </r>
  <r>
    <x v="84"/>
    <n v="2"/>
    <x v="5"/>
    <n v="1084.49"/>
    <n v="301.05"/>
  </r>
  <r>
    <x v="85"/>
    <n v="2"/>
    <x v="5"/>
    <n v="961.82"/>
    <n v="258.85000000000002"/>
  </r>
  <r>
    <x v="86"/>
    <n v="2"/>
    <x v="5"/>
    <n v="1012.54"/>
    <n v="323.88"/>
  </r>
  <r>
    <x v="87"/>
    <n v="2"/>
    <x v="5"/>
    <n v="782.45"/>
    <n v="247.09"/>
  </r>
  <r>
    <x v="88"/>
    <n v="2"/>
    <x v="5"/>
    <n v="664.67"/>
    <n v="177.8"/>
  </r>
  <r>
    <x v="89"/>
    <n v="2"/>
    <x v="5"/>
    <n v="723.64"/>
    <n v="166.51"/>
  </r>
  <r>
    <x v="90"/>
    <n v="2"/>
    <x v="5"/>
    <n v="600.27"/>
    <n v="126.93"/>
  </r>
  <r>
    <x v="91"/>
    <n v="2"/>
    <x v="5"/>
    <n v="559.79"/>
    <n v="127.45"/>
  </r>
  <r>
    <x v="92"/>
    <n v="2"/>
    <x v="5"/>
    <n v="653.83000000000004"/>
    <n v="171.6"/>
  </r>
  <r>
    <x v="93"/>
    <n v="2"/>
    <x v="5"/>
    <n v="814.35"/>
    <n v="242.65"/>
  </r>
  <r>
    <x v="94"/>
    <n v="2"/>
    <x v="5"/>
    <n v="744.19"/>
    <n v="169.27"/>
  </r>
  <r>
    <x v="95"/>
    <n v="2"/>
    <x v="5"/>
    <n v="831.13"/>
    <n v="224.78"/>
  </r>
  <r>
    <x v="0"/>
    <n v="2"/>
    <x v="6"/>
    <n v="1857.3"/>
    <n v="9323.8799999999992"/>
  </r>
  <r>
    <x v="1"/>
    <n v="2"/>
    <x v="6"/>
    <n v="1510.63"/>
    <n v="5982.79"/>
  </r>
  <r>
    <x v="2"/>
    <n v="2"/>
    <x v="6"/>
    <n v="1374.67"/>
    <n v="6016.59"/>
  </r>
  <r>
    <x v="3"/>
    <n v="2"/>
    <x v="6"/>
    <n v="1362.3"/>
    <n v="6102.64"/>
  </r>
  <r>
    <x v="4"/>
    <n v="2"/>
    <x v="6"/>
    <n v="1396.2"/>
    <n v="6129.74"/>
  </r>
  <r>
    <x v="5"/>
    <n v="2"/>
    <x v="6"/>
    <n v="1388.17"/>
    <n v="6244.37"/>
  </r>
  <r>
    <x v="6"/>
    <n v="2"/>
    <x v="6"/>
    <n v="1292.52"/>
    <n v="5543.42"/>
  </r>
  <r>
    <x v="7"/>
    <n v="2"/>
    <x v="6"/>
    <n v="1413.48"/>
    <n v="6584.45"/>
  </r>
  <r>
    <x v="8"/>
    <n v="2"/>
    <x v="6"/>
    <n v="1474.3"/>
    <n v="6386.42"/>
  </r>
  <r>
    <x v="9"/>
    <n v="2"/>
    <x v="6"/>
    <n v="1399.64"/>
    <n v="6198.99"/>
  </r>
  <r>
    <x v="10"/>
    <n v="2"/>
    <x v="6"/>
    <n v="1414.52"/>
    <n v="6037.92"/>
  </r>
  <r>
    <x v="11"/>
    <n v="2"/>
    <x v="6"/>
    <n v="2605.5"/>
    <n v="6853.16"/>
  </r>
  <r>
    <x v="12"/>
    <n v="2"/>
    <x v="6"/>
    <n v="2485.5100000000002"/>
    <n v="9031.18"/>
  </r>
  <r>
    <x v="13"/>
    <n v="2"/>
    <x v="6"/>
    <n v="1495.44"/>
    <n v="5654.46"/>
  </r>
  <r>
    <x v="14"/>
    <n v="2"/>
    <x v="6"/>
    <n v="1496.61"/>
    <n v="5996.52"/>
  </r>
  <r>
    <x v="15"/>
    <n v="2"/>
    <x v="6"/>
    <n v="1567.21"/>
    <n v="6174.66"/>
  </r>
  <r>
    <x v="16"/>
    <n v="2"/>
    <x v="6"/>
    <n v="1512.69"/>
    <n v="6218.1"/>
  </r>
  <r>
    <x v="17"/>
    <n v="2"/>
    <x v="6"/>
    <n v="1743.3"/>
    <n v="5969.95"/>
  </r>
  <r>
    <x v="18"/>
    <n v="2"/>
    <x v="6"/>
    <n v="1609.73"/>
    <n v="5588.47"/>
  </r>
  <r>
    <x v="19"/>
    <n v="2"/>
    <x v="6"/>
    <n v="1784.66"/>
    <n v="6280.89"/>
  </r>
  <r>
    <x v="20"/>
    <n v="2"/>
    <x v="6"/>
    <n v="1793.41"/>
    <n v="6530.86"/>
  </r>
  <r>
    <x v="21"/>
    <n v="2"/>
    <x v="6"/>
    <n v="1748.22"/>
    <n v="6150.3"/>
  </r>
  <r>
    <x v="22"/>
    <n v="2"/>
    <x v="6"/>
    <n v="1657"/>
    <n v="5837.59"/>
  </r>
  <r>
    <x v="23"/>
    <n v="2"/>
    <x v="6"/>
    <n v="1656.8"/>
    <n v="5714.81"/>
  </r>
  <r>
    <x v="24"/>
    <n v="2"/>
    <x v="6"/>
    <n v="1937.25"/>
    <n v="9514.66"/>
  </r>
  <r>
    <x v="25"/>
    <n v="2"/>
    <x v="6"/>
    <n v="1588.69"/>
    <n v="5785.24"/>
  </r>
  <r>
    <x v="26"/>
    <n v="2"/>
    <x v="6"/>
    <n v="1469.67"/>
    <n v="5665"/>
  </r>
  <r>
    <x v="27"/>
    <n v="2"/>
    <x v="6"/>
    <n v="1509.61"/>
    <n v="5951.21"/>
  </r>
  <r>
    <x v="28"/>
    <n v="2"/>
    <x v="6"/>
    <n v="1326.27"/>
    <n v="5887.44"/>
  </r>
  <r>
    <x v="29"/>
    <n v="2"/>
    <x v="6"/>
    <n v="1769.9"/>
    <n v="6386.2"/>
  </r>
  <r>
    <x v="30"/>
    <n v="2"/>
    <x v="6"/>
    <n v="1432.23"/>
    <n v="5990.23"/>
  </r>
  <r>
    <x v="31"/>
    <n v="2"/>
    <x v="6"/>
    <n v="1724.1"/>
    <n v="6471.97"/>
  </r>
  <r>
    <x v="32"/>
    <n v="2"/>
    <x v="6"/>
    <n v="1713.74"/>
    <n v="6048.77"/>
  </r>
  <r>
    <x v="33"/>
    <n v="2"/>
    <x v="6"/>
    <n v="1454.78"/>
    <n v="5954.01"/>
  </r>
  <r>
    <x v="34"/>
    <n v="2"/>
    <x v="6"/>
    <n v="1618.23"/>
    <n v="6469.25"/>
  </r>
  <r>
    <x v="35"/>
    <n v="2"/>
    <x v="6"/>
    <n v="1339"/>
    <n v="5822.98"/>
  </r>
  <r>
    <x v="36"/>
    <n v="2"/>
    <x v="6"/>
    <n v="2067.7600000000002"/>
    <n v="9888.9599999999991"/>
  </r>
  <r>
    <x v="37"/>
    <n v="2"/>
    <x v="6"/>
    <n v="1717.35"/>
    <n v="5612.63"/>
  </r>
  <r>
    <x v="38"/>
    <n v="2"/>
    <x v="6"/>
    <n v="1531.15"/>
    <n v="6684.2"/>
  </r>
  <r>
    <x v="39"/>
    <n v="2"/>
    <x v="6"/>
    <n v="1387.24"/>
    <n v="5784.84"/>
  </r>
  <r>
    <x v="40"/>
    <n v="2"/>
    <x v="6"/>
    <n v="1597.34"/>
    <n v="6854.72"/>
  </r>
  <r>
    <x v="41"/>
    <n v="2"/>
    <x v="6"/>
    <n v="1490.62"/>
    <n v="6483.75"/>
  </r>
  <r>
    <x v="42"/>
    <n v="2"/>
    <x v="6"/>
    <n v="1480.1"/>
    <n v="6417.59"/>
  </r>
  <r>
    <x v="43"/>
    <n v="2"/>
    <x v="6"/>
    <n v="1775.11"/>
    <n v="6813.96"/>
  </r>
  <r>
    <x v="44"/>
    <n v="2"/>
    <x v="6"/>
    <n v="1717.48"/>
    <n v="6957.61"/>
  </r>
  <r>
    <x v="45"/>
    <n v="2"/>
    <x v="6"/>
    <n v="1570.54"/>
    <n v="6731.24"/>
  </r>
  <r>
    <x v="46"/>
    <n v="2"/>
    <x v="6"/>
    <n v="1544.83"/>
    <n v="5944.51"/>
  </r>
  <r>
    <x v="47"/>
    <n v="2"/>
    <x v="6"/>
    <n v="1385.62"/>
    <n v="5749.33"/>
  </r>
  <r>
    <x v="48"/>
    <n v="2"/>
    <x v="6"/>
    <n v="2645.59"/>
    <n v="10882.25"/>
  </r>
  <r>
    <x v="49"/>
    <n v="2"/>
    <x v="6"/>
    <n v="1743.31"/>
    <n v="6087.51"/>
  </r>
  <r>
    <x v="50"/>
    <n v="2"/>
    <x v="6"/>
    <n v="1866.02"/>
    <n v="6022.23"/>
  </r>
  <r>
    <x v="51"/>
    <n v="2"/>
    <x v="6"/>
    <n v="1705.5"/>
    <n v="6357.54"/>
  </r>
  <r>
    <x v="52"/>
    <n v="2"/>
    <x v="6"/>
    <n v="1670.87"/>
    <n v="6430.93"/>
  </r>
  <r>
    <x v="53"/>
    <n v="2"/>
    <x v="6"/>
    <n v="1808.58"/>
    <n v="6777.03"/>
  </r>
  <r>
    <x v="54"/>
    <n v="2"/>
    <x v="6"/>
    <n v="1372.99"/>
    <n v="5395.58"/>
  </r>
  <r>
    <x v="55"/>
    <n v="2"/>
    <x v="6"/>
    <n v="1679.18"/>
    <n v="6821.01"/>
  </r>
  <r>
    <x v="56"/>
    <n v="2"/>
    <x v="6"/>
    <n v="1724.2"/>
    <n v="6552.52"/>
  </r>
  <r>
    <x v="57"/>
    <n v="2"/>
    <x v="6"/>
    <n v="1787.02"/>
    <n v="6877.96"/>
  </r>
  <r>
    <x v="58"/>
    <n v="2"/>
    <x v="6"/>
    <n v="2097.12"/>
    <n v="7449.35"/>
  </r>
  <r>
    <x v="59"/>
    <n v="2"/>
    <x v="6"/>
    <n v="1683.97"/>
    <n v="6249.08"/>
  </r>
  <r>
    <x v="60"/>
    <n v="2"/>
    <x v="6"/>
    <n v="1942.47"/>
    <n v="9055.4599999999991"/>
  </r>
  <r>
    <x v="61"/>
    <n v="2"/>
    <x v="6"/>
    <n v="1481.14"/>
    <n v="5877.7"/>
  </r>
  <r>
    <x v="62"/>
    <n v="2"/>
    <x v="6"/>
    <n v="1494.27"/>
    <n v="6518.99"/>
  </r>
  <r>
    <x v="63"/>
    <n v="2"/>
    <x v="6"/>
    <n v="1507.8"/>
    <n v="6007.07"/>
  </r>
  <r>
    <x v="64"/>
    <n v="2"/>
    <x v="6"/>
    <n v="1582.73"/>
    <n v="6932.03"/>
  </r>
  <r>
    <x v="65"/>
    <n v="2"/>
    <x v="6"/>
    <n v="1601.44"/>
    <n v="7067.64"/>
  </r>
  <r>
    <x v="66"/>
    <n v="2"/>
    <x v="6"/>
    <n v="1412.48"/>
    <n v="6020.08"/>
  </r>
  <r>
    <x v="67"/>
    <n v="2"/>
    <x v="6"/>
    <n v="1522.43"/>
    <n v="7087.98"/>
  </r>
  <r>
    <x v="68"/>
    <n v="2"/>
    <x v="6"/>
    <n v="1453.54"/>
    <n v="6136.52"/>
  </r>
  <r>
    <x v="69"/>
    <n v="2"/>
    <x v="6"/>
    <n v="1541.43"/>
    <n v="6631.01"/>
  </r>
  <r>
    <x v="70"/>
    <n v="2"/>
    <x v="6"/>
    <n v="1951.45"/>
    <n v="6983.26"/>
  </r>
  <r>
    <x v="71"/>
    <n v="2"/>
    <x v="6"/>
    <n v="1592.98"/>
    <n v="6805.88"/>
  </r>
  <r>
    <x v="72"/>
    <n v="2"/>
    <x v="6"/>
    <n v="798.02"/>
    <n v="223.98"/>
  </r>
  <r>
    <x v="73"/>
    <n v="2"/>
    <x v="6"/>
    <n v="595.52"/>
    <n v="144.01"/>
  </r>
  <r>
    <x v="74"/>
    <n v="2"/>
    <x v="6"/>
    <n v="638.85"/>
    <n v="166.83"/>
  </r>
  <r>
    <x v="75"/>
    <n v="2"/>
    <x v="6"/>
    <n v="566.49"/>
    <n v="141.58000000000001"/>
  </r>
  <r>
    <x v="76"/>
    <n v="2"/>
    <x v="6"/>
    <n v="587.01"/>
    <n v="135.57"/>
  </r>
  <r>
    <x v="77"/>
    <n v="2"/>
    <x v="6"/>
    <n v="535.14"/>
    <n v="118.93"/>
  </r>
  <r>
    <x v="78"/>
    <n v="2"/>
    <x v="6"/>
    <n v="545.71"/>
    <n v="134.9"/>
  </r>
  <r>
    <x v="79"/>
    <n v="2"/>
    <x v="6"/>
    <n v="621.79999999999995"/>
    <n v="255.53"/>
  </r>
  <r>
    <x v="80"/>
    <n v="2"/>
    <x v="6"/>
    <n v="622.26"/>
    <n v="174.58"/>
  </r>
  <r>
    <x v="81"/>
    <n v="2"/>
    <x v="6"/>
    <n v="593.64"/>
    <n v="125.91"/>
  </r>
  <r>
    <x v="82"/>
    <n v="2"/>
    <x v="6"/>
    <n v="789.88"/>
    <n v="204.39"/>
  </r>
  <r>
    <x v="83"/>
    <n v="2"/>
    <x v="6"/>
    <n v="653.29"/>
    <n v="136.88999999999999"/>
  </r>
  <r>
    <x v="84"/>
    <n v="2"/>
    <x v="6"/>
    <n v="1088.24"/>
    <n v="300.98"/>
  </r>
  <r>
    <x v="85"/>
    <n v="2"/>
    <x v="6"/>
    <n v="967.78"/>
    <n v="258.75"/>
  </r>
  <r>
    <x v="86"/>
    <n v="2"/>
    <x v="6"/>
    <n v="1015.78"/>
    <n v="323.95999999999998"/>
  </r>
  <r>
    <x v="87"/>
    <n v="2"/>
    <x v="6"/>
    <n v="789.83"/>
    <n v="247.1"/>
  </r>
  <r>
    <x v="88"/>
    <n v="2"/>
    <x v="6"/>
    <n v="671.68"/>
    <n v="178.99"/>
  </r>
  <r>
    <x v="89"/>
    <n v="2"/>
    <x v="6"/>
    <n v="730.5"/>
    <n v="168.65"/>
  </r>
  <r>
    <x v="90"/>
    <n v="2"/>
    <x v="6"/>
    <n v="606.01"/>
    <n v="127.16"/>
  </r>
  <r>
    <x v="91"/>
    <n v="2"/>
    <x v="6"/>
    <n v="564.32000000000005"/>
    <n v="127.5"/>
  </r>
  <r>
    <x v="92"/>
    <n v="2"/>
    <x v="6"/>
    <n v="658.1"/>
    <n v="171.78"/>
  </r>
  <r>
    <x v="93"/>
    <n v="2"/>
    <x v="6"/>
    <n v="819.36"/>
    <n v="242.69"/>
  </r>
  <r>
    <x v="94"/>
    <n v="2"/>
    <x v="6"/>
    <n v="749.62"/>
    <n v="170.15"/>
  </r>
  <r>
    <x v="95"/>
    <n v="2"/>
    <x v="6"/>
    <n v="833.1"/>
    <n v="222.26"/>
  </r>
  <r>
    <x v="0"/>
    <n v="2"/>
    <x v="7"/>
    <n v="1864.38"/>
    <n v="9323.89"/>
  </r>
  <r>
    <x v="1"/>
    <n v="2"/>
    <x v="7"/>
    <n v="1519.19"/>
    <n v="5989.77"/>
  </r>
  <r>
    <x v="2"/>
    <n v="2"/>
    <x v="7"/>
    <n v="1382.7"/>
    <n v="6023.18"/>
  </r>
  <r>
    <x v="3"/>
    <n v="2"/>
    <x v="7"/>
    <n v="1371.35"/>
    <n v="6117.28"/>
  </r>
  <r>
    <x v="4"/>
    <n v="2"/>
    <x v="7"/>
    <n v="1405.2"/>
    <n v="6143.77"/>
  </r>
  <r>
    <x v="5"/>
    <n v="2"/>
    <x v="7"/>
    <n v="1396.2"/>
    <n v="6254.3"/>
  </r>
  <r>
    <x v="6"/>
    <n v="2"/>
    <x v="7"/>
    <n v="1301.01"/>
    <n v="5557.69"/>
  </r>
  <r>
    <x v="7"/>
    <n v="2"/>
    <x v="7"/>
    <n v="1422.09"/>
    <n v="6597.08"/>
  </r>
  <r>
    <x v="8"/>
    <n v="2"/>
    <x v="7"/>
    <n v="1484.14"/>
    <n v="6401.75"/>
  </r>
  <r>
    <x v="9"/>
    <n v="2"/>
    <x v="7"/>
    <n v="1408.29"/>
    <n v="6211.82"/>
  </r>
  <r>
    <x v="10"/>
    <n v="2"/>
    <x v="7"/>
    <n v="1421.39"/>
    <n v="6043.02"/>
  </r>
  <r>
    <x v="11"/>
    <n v="2"/>
    <x v="7"/>
    <n v="2621.31"/>
    <n v="6922.88"/>
  </r>
  <r>
    <x v="12"/>
    <n v="2"/>
    <x v="7"/>
    <n v="2504.41"/>
    <n v="9044.73"/>
  </r>
  <r>
    <x v="13"/>
    <n v="2"/>
    <x v="7"/>
    <n v="1503.94"/>
    <n v="5662.64"/>
  </r>
  <r>
    <x v="14"/>
    <n v="2"/>
    <x v="7"/>
    <n v="1507.05"/>
    <n v="6001.66"/>
  </r>
  <r>
    <x v="15"/>
    <n v="2"/>
    <x v="7"/>
    <n v="1576.39"/>
    <n v="6177.7"/>
  </r>
  <r>
    <x v="16"/>
    <n v="2"/>
    <x v="7"/>
    <n v="1522.53"/>
    <n v="6225.13"/>
  </r>
  <r>
    <x v="17"/>
    <n v="2"/>
    <x v="7"/>
    <n v="1750.6"/>
    <n v="5970.13"/>
  </r>
  <r>
    <x v="18"/>
    <n v="2"/>
    <x v="7"/>
    <n v="1617.23"/>
    <n v="5590.02"/>
  </r>
  <r>
    <x v="19"/>
    <n v="2"/>
    <x v="7"/>
    <n v="1793.22"/>
    <n v="6278.43"/>
  </r>
  <r>
    <x v="20"/>
    <n v="2"/>
    <x v="7"/>
    <n v="1801.99"/>
    <n v="6528.55"/>
  </r>
  <r>
    <x v="21"/>
    <n v="2"/>
    <x v="7"/>
    <n v="1756.59"/>
    <n v="6151.73"/>
  </r>
  <r>
    <x v="22"/>
    <n v="2"/>
    <x v="7"/>
    <n v="1665.43"/>
    <n v="5833.7"/>
  </r>
  <r>
    <x v="23"/>
    <n v="2"/>
    <x v="7"/>
    <n v="1668.82"/>
    <n v="5719.86"/>
  </r>
  <r>
    <x v="24"/>
    <n v="2"/>
    <x v="7"/>
    <n v="1946.97"/>
    <n v="9526.3700000000008"/>
  </r>
  <r>
    <x v="25"/>
    <n v="2"/>
    <x v="7"/>
    <n v="1593.8"/>
    <n v="5787.72"/>
  </r>
  <r>
    <x v="26"/>
    <n v="2"/>
    <x v="7"/>
    <n v="1471.99"/>
    <n v="5667.97"/>
  </r>
  <r>
    <x v="27"/>
    <n v="2"/>
    <x v="7"/>
    <n v="1516.7"/>
    <n v="5959.97"/>
  </r>
  <r>
    <x v="28"/>
    <n v="2"/>
    <x v="7"/>
    <n v="1331.71"/>
    <n v="5892.74"/>
  </r>
  <r>
    <x v="29"/>
    <n v="2"/>
    <x v="7"/>
    <n v="1773.67"/>
    <n v="6391.66"/>
  </r>
  <r>
    <x v="30"/>
    <n v="2"/>
    <x v="7"/>
    <n v="1436.44"/>
    <n v="5990.11"/>
  </r>
  <r>
    <x v="31"/>
    <n v="2"/>
    <x v="7"/>
    <n v="1727.68"/>
    <n v="6467.32"/>
  </r>
  <r>
    <x v="32"/>
    <n v="2"/>
    <x v="7"/>
    <n v="1719.01"/>
    <n v="6048.95"/>
  </r>
  <r>
    <x v="33"/>
    <n v="2"/>
    <x v="7"/>
    <n v="1458.64"/>
    <n v="5953.14"/>
  </r>
  <r>
    <x v="34"/>
    <n v="2"/>
    <x v="7"/>
    <n v="1622.03"/>
    <n v="6464.84"/>
  </r>
  <r>
    <x v="35"/>
    <n v="2"/>
    <x v="7"/>
    <n v="1343.12"/>
    <n v="5810.02"/>
  </r>
  <r>
    <x v="36"/>
    <n v="2"/>
    <x v="7"/>
    <n v="2075.81"/>
    <n v="9887.27"/>
  </r>
  <r>
    <x v="37"/>
    <n v="2"/>
    <x v="7"/>
    <n v="1717.49"/>
    <n v="5616.32"/>
  </r>
  <r>
    <x v="38"/>
    <n v="2"/>
    <x v="7"/>
    <n v="1538.62"/>
    <n v="6689.28"/>
  </r>
  <r>
    <x v="39"/>
    <n v="2"/>
    <x v="7"/>
    <n v="1394.27"/>
    <n v="5798.09"/>
  </r>
  <r>
    <x v="40"/>
    <n v="2"/>
    <x v="7"/>
    <n v="1603.98"/>
    <n v="6857.43"/>
  </r>
  <r>
    <x v="41"/>
    <n v="2"/>
    <x v="7"/>
    <n v="1497.96"/>
    <n v="6491.81"/>
  </r>
  <r>
    <x v="42"/>
    <n v="2"/>
    <x v="7"/>
    <n v="1488.1"/>
    <n v="6422.14"/>
  </r>
  <r>
    <x v="43"/>
    <n v="2"/>
    <x v="7"/>
    <n v="1780.28"/>
    <n v="6812.83"/>
  </r>
  <r>
    <x v="44"/>
    <n v="2"/>
    <x v="7"/>
    <n v="1722.61"/>
    <n v="6958.88"/>
  </r>
  <r>
    <x v="45"/>
    <n v="2"/>
    <x v="7"/>
    <n v="1574.74"/>
    <n v="6731.93"/>
  </r>
  <r>
    <x v="46"/>
    <n v="2"/>
    <x v="7"/>
    <n v="1548.11"/>
    <n v="5943.59"/>
  </r>
  <r>
    <x v="47"/>
    <n v="2"/>
    <x v="7"/>
    <n v="1388.98"/>
    <n v="5743.04"/>
  </r>
  <r>
    <x v="48"/>
    <n v="2"/>
    <x v="7"/>
    <n v="2655.54"/>
    <n v="10887.63"/>
  </r>
  <r>
    <x v="49"/>
    <n v="2"/>
    <x v="7"/>
    <n v="1750.06"/>
    <n v="6094.48"/>
  </r>
  <r>
    <x v="50"/>
    <n v="2"/>
    <x v="7"/>
    <n v="1874.92"/>
    <n v="6030.3"/>
  </r>
  <r>
    <x v="51"/>
    <n v="2"/>
    <x v="7"/>
    <n v="1712.89"/>
    <n v="6365.51"/>
  </r>
  <r>
    <x v="52"/>
    <n v="2"/>
    <x v="7"/>
    <n v="1677.47"/>
    <n v="6434.82"/>
  </r>
  <r>
    <x v="53"/>
    <n v="2"/>
    <x v="7"/>
    <n v="1819.9"/>
    <n v="6793.45"/>
  </r>
  <r>
    <x v="54"/>
    <n v="2"/>
    <x v="7"/>
    <n v="1379.85"/>
    <n v="5403.18"/>
  </r>
  <r>
    <x v="55"/>
    <n v="2"/>
    <x v="7"/>
    <n v="1685.7"/>
    <n v="6830.17"/>
  </r>
  <r>
    <x v="56"/>
    <n v="2"/>
    <x v="7"/>
    <n v="1729.57"/>
    <n v="6558.6"/>
  </r>
  <r>
    <x v="57"/>
    <n v="2"/>
    <x v="7"/>
    <n v="1796.39"/>
    <n v="6887.16"/>
  </r>
  <r>
    <x v="58"/>
    <n v="2"/>
    <x v="7"/>
    <n v="2099.9499999999998"/>
    <n v="7455.57"/>
  </r>
  <r>
    <x v="59"/>
    <n v="2"/>
    <x v="7"/>
    <n v="1688"/>
    <n v="6243.91"/>
  </r>
  <r>
    <x v="60"/>
    <n v="2"/>
    <x v="7"/>
    <n v="1951.48"/>
    <n v="9062.18"/>
  </r>
  <r>
    <x v="61"/>
    <n v="2"/>
    <x v="7"/>
    <n v="1488.38"/>
    <n v="5887.91"/>
  </r>
  <r>
    <x v="62"/>
    <n v="2"/>
    <x v="7"/>
    <n v="1502.21"/>
    <n v="6523.05"/>
  </r>
  <r>
    <x v="63"/>
    <n v="2"/>
    <x v="7"/>
    <n v="1514.85"/>
    <n v="6020.42"/>
  </r>
  <r>
    <x v="64"/>
    <n v="2"/>
    <x v="7"/>
    <n v="1590.12"/>
    <n v="6941.09"/>
  </r>
  <r>
    <x v="65"/>
    <n v="2"/>
    <x v="7"/>
    <n v="1609.44"/>
    <n v="7078.14"/>
  </r>
  <r>
    <x v="66"/>
    <n v="2"/>
    <x v="7"/>
    <n v="1417.54"/>
    <n v="6025.6"/>
  </r>
  <r>
    <x v="67"/>
    <n v="2"/>
    <x v="7"/>
    <n v="1526.84"/>
    <n v="7091.96"/>
  </r>
  <r>
    <x v="68"/>
    <n v="2"/>
    <x v="7"/>
    <n v="1460.33"/>
    <n v="6142.76"/>
  </r>
  <r>
    <x v="69"/>
    <n v="2"/>
    <x v="7"/>
    <n v="1548.37"/>
    <n v="6636.03"/>
  </r>
  <r>
    <x v="70"/>
    <n v="2"/>
    <x v="7"/>
    <n v="1951.47"/>
    <n v="6987.3"/>
  </r>
  <r>
    <x v="71"/>
    <n v="2"/>
    <x v="7"/>
    <n v="1601.26"/>
    <n v="6816.97"/>
  </r>
  <r>
    <x v="72"/>
    <n v="2"/>
    <x v="7"/>
    <n v="800.7"/>
    <n v="222.86"/>
  </r>
  <r>
    <x v="73"/>
    <n v="2"/>
    <x v="7"/>
    <n v="598.52"/>
    <n v="144.75"/>
  </r>
  <r>
    <x v="74"/>
    <n v="2"/>
    <x v="7"/>
    <n v="641.12"/>
    <n v="166.76"/>
  </r>
  <r>
    <x v="75"/>
    <n v="2"/>
    <x v="7"/>
    <n v="570.86"/>
    <n v="141.81"/>
  </r>
  <r>
    <x v="76"/>
    <n v="2"/>
    <x v="7"/>
    <n v="591.46"/>
    <n v="135.83000000000001"/>
  </r>
  <r>
    <x v="77"/>
    <n v="2"/>
    <x v="7"/>
    <n v="538.33000000000004"/>
    <n v="119.09"/>
  </r>
  <r>
    <x v="78"/>
    <n v="2"/>
    <x v="7"/>
    <n v="549.78"/>
    <n v="135.46"/>
  </r>
  <r>
    <x v="79"/>
    <n v="2"/>
    <x v="7"/>
    <n v="624.77"/>
    <n v="256.17"/>
  </r>
  <r>
    <x v="80"/>
    <n v="2"/>
    <x v="7"/>
    <n v="624.52"/>
    <n v="174.36"/>
  </r>
  <r>
    <x v="81"/>
    <n v="2"/>
    <x v="7"/>
    <n v="596.17999999999995"/>
    <n v="125.91"/>
  </r>
  <r>
    <x v="82"/>
    <n v="2"/>
    <x v="7"/>
    <n v="788.15"/>
    <n v="203.64"/>
  </r>
  <r>
    <x v="83"/>
    <n v="2"/>
    <x v="7"/>
    <n v="657.39"/>
    <n v="136.80000000000001"/>
  </r>
  <r>
    <x v="84"/>
    <n v="2"/>
    <x v="7"/>
    <n v="1092.47"/>
    <n v="300.99"/>
  </r>
  <r>
    <x v="85"/>
    <n v="2"/>
    <x v="7"/>
    <n v="973.21"/>
    <n v="258.69"/>
  </r>
  <r>
    <x v="86"/>
    <n v="2"/>
    <x v="7"/>
    <n v="1020.85"/>
    <n v="323.95999999999998"/>
  </r>
  <r>
    <x v="87"/>
    <n v="2"/>
    <x v="7"/>
    <n v="797.06"/>
    <n v="247.99"/>
  </r>
  <r>
    <x v="88"/>
    <n v="2"/>
    <x v="7"/>
    <n v="677.63"/>
    <n v="179.34"/>
  </r>
  <r>
    <x v="89"/>
    <n v="2"/>
    <x v="7"/>
    <n v="737.22"/>
    <n v="170.09"/>
  </r>
  <r>
    <x v="90"/>
    <n v="2"/>
    <x v="7"/>
    <n v="612.89"/>
    <n v="127.44"/>
  </r>
  <r>
    <x v="91"/>
    <n v="2"/>
    <x v="7"/>
    <n v="569.41"/>
    <n v="128.13999999999999"/>
  </r>
  <r>
    <x v="92"/>
    <n v="2"/>
    <x v="7"/>
    <n v="661.55"/>
    <n v="171.98"/>
  </r>
  <r>
    <x v="93"/>
    <n v="2"/>
    <x v="7"/>
    <n v="824.51"/>
    <n v="242.61"/>
  </r>
  <r>
    <x v="94"/>
    <n v="2"/>
    <x v="7"/>
    <n v="754.87"/>
    <n v="170.69"/>
  </r>
  <r>
    <x v="95"/>
    <n v="2"/>
    <x v="7"/>
    <n v="835.31"/>
    <n v="220.92"/>
  </r>
  <r>
    <x v="0"/>
    <n v="2"/>
    <x v="8"/>
    <n v="1869.08"/>
    <n v="9322.82"/>
  </r>
  <r>
    <x v="1"/>
    <n v="2"/>
    <x v="8"/>
    <n v="1525.2"/>
    <n v="5996.61"/>
  </r>
  <r>
    <x v="2"/>
    <n v="2"/>
    <x v="8"/>
    <n v="1382.54"/>
    <n v="6028.77"/>
  </r>
  <r>
    <x v="3"/>
    <n v="2"/>
    <x v="8"/>
    <n v="1378.97"/>
    <n v="6128.09"/>
  </r>
  <r>
    <x v="4"/>
    <n v="2"/>
    <x v="8"/>
    <n v="1410.74"/>
    <n v="6157.54"/>
  </r>
  <r>
    <x v="5"/>
    <n v="2"/>
    <x v="8"/>
    <n v="1401.32"/>
    <n v="6266.95"/>
  </r>
  <r>
    <x v="6"/>
    <n v="2"/>
    <x v="8"/>
    <n v="1298.3699999999999"/>
    <n v="5568.08"/>
  </r>
  <r>
    <x v="7"/>
    <n v="2"/>
    <x v="8"/>
    <n v="1427.87"/>
    <n v="6609.11"/>
  </r>
  <r>
    <x v="8"/>
    <n v="2"/>
    <x v="8"/>
    <n v="1493.77"/>
    <n v="6418.16"/>
  </r>
  <r>
    <x v="9"/>
    <n v="2"/>
    <x v="8"/>
    <n v="1413.48"/>
    <n v="6223.5"/>
  </r>
  <r>
    <x v="10"/>
    <n v="2"/>
    <x v="8"/>
    <n v="1421.14"/>
    <n v="6049.79"/>
  </r>
  <r>
    <x v="11"/>
    <n v="2"/>
    <x v="8"/>
    <n v="2632.32"/>
    <n v="6995.62"/>
  </r>
  <r>
    <x v="12"/>
    <n v="2"/>
    <x v="8"/>
    <n v="2526.1999999999998"/>
    <n v="9061.65"/>
  </r>
  <r>
    <x v="13"/>
    <n v="2"/>
    <x v="8"/>
    <n v="1510.7"/>
    <n v="5667.77"/>
  </r>
  <r>
    <x v="14"/>
    <n v="2"/>
    <x v="8"/>
    <n v="1515.38"/>
    <n v="6005.45"/>
  </r>
  <r>
    <x v="15"/>
    <n v="2"/>
    <x v="8"/>
    <n v="1586.11"/>
    <n v="6180.94"/>
  </r>
  <r>
    <x v="16"/>
    <n v="2"/>
    <x v="8"/>
    <n v="1531.9"/>
    <n v="6229.41"/>
  </r>
  <r>
    <x v="17"/>
    <n v="2"/>
    <x v="8"/>
    <n v="1756.75"/>
    <n v="5970.55"/>
  </r>
  <r>
    <x v="18"/>
    <n v="2"/>
    <x v="8"/>
    <n v="1622.56"/>
    <n v="5590.68"/>
  </r>
  <r>
    <x v="19"/>
    <n v="2"/>
    <x v="8"/>
    <n v="1798.92"/>
    <n v="6277.26"/>
  </r>
  <r>
    <x v="20"/>
    <n v="2"/>
    <x v="8"/>
    <n v="1811.1"/>
    <n v="6526.2"/>
  </r>
  <r>
    <x v="21"/>
    <n v="2"/>
    <x v="8"/>
    <n v="1762.52"/>
    <n v="6153.41"/>
  </r>
  <r>
    <x v="22"/>
    <n v="2"/>
    <x v="8"/>
    <n v="1671.57"/>
    <n v="5828.7"/>
  </r>
  <r>
    <x v="23"/>
    <n v="2"/>
    <x v="8"/>
    <n v="1677.96"/>
    <n v="5726.33"/>
  </r>
  <r>
    <x v="24"/>
    <n v="2"/>
    <x v="8"/>
    <n v="1952.69"/>
    <n v="9538.16"/>
  </r>
  <r>
    <x v="25"/>
    <n v="2"/>
    <x v="8"/>
    <n v="1592.98"/>
    <n v="5790.28"/>
  </r>
  <r>
    <x v="26"/>
    <n v="2"/>
    <x v="8"/>
    <n v="1460.03"/>
    <n v="5671.68"/>
  </r>
  <r>
    <x v="27"/>
    <n v="2"/>
    <x v="8"/>
    <n v="1521.74"/>
    <n v="5965.2"/>
  </r>
  <r>
    <x v="28"/>
    <n v="2"/>
    <x v="8"/>
    <n v="1332.37"/>
    <n v="5896.88"/>
  </r>
  <r>
    <x v="29"/>
    <n v="2"/>
    <x v="8"/>
    <n v="1773.26"/>
    <n v="6396.39"/>
  </r>
  <r>
    <x v="30"/>
    <n v="2"/>
    <x v="8"/>
    <n v="1434.94"/>
    <n v="5991.73"/>
  </r>
  <r>
    <x v="31"/>
    <n v="2"/>
    <x v="8"/>
    <n v="1725.33"/>
    <n v="6463.07"/>
  </r>
  <r>
    <x v="32"/>
    <n v="2"/>
    <x v="8"/>
    <n v="1719.66"/>
    <n v="6048.79"/>
  </r>
  <r>
    <x v="33"/>
    <n v="2"/>
    <x v="8"/>
    <n v="1457.17"/>
    <n v="5952.46"/>
  </r>
  <r>
    <x v="34"/>
    <n v="2"/>
    <x v="8"/>
    <n v="1619.46"/>
    <n v="6460.16"/>
  </r>
  <r>
    <x v="35"/>
    <n v="2"/>
    <x v="8"/>
    <n v="1343.17"/>
    <n v="5797.18"/>
  </r>
  <r>
    <x v="36"/>
    <n v="2"/>
    <x v="8"/>
    <n v="2075.2800000000002"/>
    <n v="9886.33"/>
  </r>
  <r>
    <x v="37"/>
    <n v="2"/>
    <x v="8"/>
    <n v="1714.67"/>
    <n v="5618.62"/>
  </r>
  <r>
    <x v="38"/>
    <n v="2"/>
    <x v="8"/>
    <n v="1540.42"/>
    <n v="6695.97"/>
  </r>
  <r>
    <x v="39"/>
    <n v="2"/>
    <x v="8"/>
    <n v="1395.88"/>
    <n v="5809.27"/>
  </r>
  <r>
    <x v="40"/>
    <n v="2"/>
    <x v="8"/>
    <n v="1607.46"/>
    <n v="6859.66"/>
  </r>
  <r>
    <x v="41"/>
    <n v="2"/>
    <x v="8"/>
    <n v="1500.26"/>
    <n v="6496.2"/>
  </r>
  <r>
    <x v="42"/>
    <n v="2"/>
    <x v="8"/>
    <n v="1489.63"/>
    <n v="6427.13"/>
  </r>
  <r>
    <x v="43"/>
    <n v="2"/>
    <x v="8"/>
    <n v="1784.67"/>
    <n v="6809.94"/>
  </r>
  <r>
    <x v="44"/>
    <n v="2"/>
    <x v="8"/>
    <n v="1723.85"/>
    <n v="6960.6"/>
  </r>
  <r>
    <x v="45"/>
    <n v="2"/>
    <x v="8"/>
    <n v="1573.83"/>
    <n v="6734.15"/>
  </r>
  <r>
    <x v="46"/>
    <n v="2"/>
    <x v="8"/>
    <n v="1546.93"/>
    <n v="5943.53"/>
  </r>
  <r>
    <x v="47"/>
    <n v="2"/>
    <x v="8"/>
    <n v="1385.85"/>
    <n v="5735.11"/>
  </r>
  <r>
    <x v="48"/>
    <n v="2"/>
    <x v="8"/>
    <n v="2661.73"/>
    <n v="10890.84"/>
  </r>
  <r>
    <x v="49"/>
    <n v="2"/>
    <x v="8"/>
    <n v="1752.63"/>
    <n v="6101.7"/>
  </r>
  <r>
    <x v="50"/>
    <n v="2"/>
    <x v="8"/>
    <n v="1873.06"/>
    <n v="6035.48"/>
  </r>
  <r>
    <x v="51"/>
    <n v="2"/>
    <x v="8"/>
    <n v="1718.02"/>
    <n v="6374.87"/>
  </r>
  <r>
    <x v="52"/>
    <n v="2"/>
    <x v="8"/>
    <n v="1681.44"/>
    <n v="6438.06"/>
  </r>
  <r>
    <x v="53"/>
    <n v="2"/>
    <x v="8"/>
    <n v="1826.72"/>
    <n v="6808.37"/>
  </r>
  <r>
    <x v="54"/>
    <n v="2"/>
    <x v="8"/>
    <n v="1378.16"/>
    <n v="5410.67"/>
  </r>
  <r>
    <x v="55"/>
    <n v="2"/>
    <x v="8"/>
    <n v="1689.63"/>
    <n v="6839.27"/>
  </r>
  <r>
    <x v="56"/>
    <n v="2"/>
    <x v="8"/>
    <n v="1732.53"/>
    <n v="6559.86"/>
  </r>
  <r>
    <x v="57"/>
    <n v="2"/>
    <x v="8"/>
    <n v="1802.38"/>
    <n v="6895.71"/>
  </r>
  <r>
    <x v="58"/>
    <n v="2"/>
    <x v="8"/>
    <n v="2098.61"/>
    <n v="7459.64"/>
  </r>
  <r>
    <x v="59"/>
    <n v="2"/>
    <x v="8"/>
    <n v="1685.13"/>
    <n v="6236.52"/>
  </r>
  <r>
    <x v="60"/>
    <n v="2"/>
    <x v="8"/>
    <n v="1956.22"/>
    <n v="9068.81"/>
  </r>
  <r>
    <x v="61"/>
    <n v="2"/>
    <x v="8"/>
    <n v="1490.86"/>
    <n v="5897.69"/>
  </r>
  <r>
    <x v="62"/>
    <n v="2"/>
    <x v="8"/>
    <n v="1501.99"/>
    <n v="6528.85"/>
  </r>
  <r>
    <x v="63"/>
    <n v="2"/>
    <x v="8"/>
    <n v="1518.84"/>
    <n v="6032.41"/>
  </r>
  <r>
    <x v="64"/>
    <n v="2"/>
    <x v="8"/>
    <n v="1594.52"/>
    <n v="6949.13"/>
  </r>
  <r>
    <x v="65"/>
    <n v="2"/>
    <x v="8"/>
    <n v="1614.76"/>
    <n v="7088.9"/>
  </r>
  <r>
    <x v="66"/>
    <n v="2"/>
    <x v="8"/>
    <n v="1413.1"/>
    <n v="6032.64"/>
  </r>
  <r>
    <x v="67"/>
    <n v="2"/>
    <x v="8"/>
    <n v="1530.38"/>
    <n v="7098.72"/>
  </r>
  <r>
    <x v="68"/>
    <n v="2"/>
    <x v="8"/>
    <n v="1462.14"/>
    <n v="6150.71"/>
  </r>
  <r>
    <x v="69"/>
    <n v="2"/>
    <x v="8"/>
    <n v="1549.8"/>
    <n v="6640.59"/>
  </r>
  <r>
    <x v="70"/>
    <n v="2"/>
    <x v="8"/>
    <n v="1948.48"/>
    <n v="6989.47"/>
  </r>
  <r>
    <x v="71"/>
    <n v="2"/>
    <x v="8"/>
    <n v="1605.84"/>
    <n v="6828.07"/>
  </r>
  <r>
    <x v="72"/>
    <n v="2"/>
    <x v="8"/>
    <n v="795.75"/>
    <n v="221.58"/>
  </r>
  <r>
    <x v="73"/>
    <n v="2"/>
    <x v="8"/>
    <n v="598.71"/>
    <n v="145.30000000000001"/>
  </r>
  <r>
    <x v="74"/>
    <n v="2"/>
    <x v="8"/>
    <n v="634.42999999999995"/>
    <n v="166.41"/>
  </r>
  <r>
    <x v="75"/>
    <n v="2"/>
    <x v="8"/>
    <n v="571.29"/>
    <n v="142.44"/>
  </r>
  <r>
    <x v="76"/>
    <n v="2"/>
    <x v="8"/>
    <n v="592.37"/>
    <n v="136.35"/>
  </r>
  <r>
    <x v="77"/>
    <n v="2"/>
    <x v="8"/>
    <n v="537"/>
    <n v="118.94"/>
  </r>
  <r>
    <x v="78"/>
    <n v="2"/>
    <x v="8"/>
    <n v="548.77"/>
    <n v="135.47"/>
  </r>
  <r>
    <x v="79"/>
    <n v="2"/>
    <x v="8"/>
    <n v="624.02"/>
    <n v="256.07"/>
  </r>
  <r>
    <x v="80"/>
    <n v="2"/>
    <x v="8"/>
    <n v="623.16999999999996"/>
    <n v="174.21"/>
  </r>
  <r>
    <x v="81"/>
    <n v="2"/>
    <x v="8"/>
    <n v="592.64"/>
    <n v="125.78"/>
  </r>
  <r>
    <x v="82"/>
    <n v="2"/>
    <x v="8"/>
    <n v="783.46"/>
    <n v="203.46"/>
  </r>
  <r>
    <x v="83"/>
    <n v="2"/>
    <x v="8"/>
    <n v="653.46"/>
    <n v="137.02000000000001"/>
  </r>
  <r>
    <x v="84"/>
    <n v="2"/>
    <x v="8"/>
    <n v="1090.5999999999999"/>
    <n v="300.91000000000003"/>
  </r>
  <r>
    <x v="85"/>
    <n v="2"/>
    <x v="8"/>
    <n v="973.2"/>
    <n v="258.64"/>
  </r>
  <r>
    <x v="86"/>
    <n v="2"/>
    <x v="8"/>
    <n v="1018.78"/>
    <n v="323.42"/>
  </r>
  <r>
    <x v="87"/>
    <n v="2"/>
    <x v="8"/>
    <n v="801.39"/>
    <n v="247.98"/>
  </r>
  <r>
    <x v="88"/>
    <n v="2"/>
    <x v="8"/>
    <n v="682.19"/>
    <n v="179.71"/>
  </r>
  <r>
    <x v="89"/>
    <n v="2"/>
    <x v="8"/>
    <n v="738.3"/>
    <n v="172.26"/>
  </r>
  <r>
    <x v="90"/>
    <n v="2"/>
    <x v="8"/>
    <n v="610.9"/>
    <n v="127.37"/>
  </r>
  <r>
    <x v="91"/>
    <n v="2"/>
    <x v="8"/>
    <n v="572.41999999999996"/>
    <n v="129.63"/>
  </r>
  <r>
    <x v="92"/>
    <n v="2"/>
    <x v="8"/>
    <n v="661.76"/>
    <n v="171.99"/>
  </r>
  <r>
    <x v="93"/>
    <n v="2"/>
    <x v="8"/>
    <n v="827.58"/>
    <n v="242.6"/>
  </r>
  <r>
    <x v="94"/>
    <n v="2"/>
    <x v="8"/>
    <n v="753.98"/>
    <n v="170.77"/>
  </r>
  <r>
    <x v="95"/>
    <n v="2"/>
    <x v="8"/>
    <n v="833.95"/>
    <n v="218.88"/>
  </r>
  <r>
    <x v="0"/>
    <n v="2"/>
    <x v="9"/>
    <n v="1872.26"/>
    <n v="9320.9599999999991"/>
  </r>
  <r>
    <x v="1"/>
    <n v="2"/>
    <x v="9"/>
    <n v="1528.5"/>
    <n v="6000.1"/>
  </r>
  <r>
    <x v="2"/>
    <n v="2"/>
    <x v="9"/>
    <n v="1383.05"/>
    <n v="6033.87"/>
  </r>
  <r>
    <x v="3"/>
    <n v="2"/>
    <x v="9"/>
    <n v="1383.43"/>
    <n v="6141.14"/>
  </r>
  <r>
    <x v="4"/>
    <n v="2"/>
    <x v="9"/>
    <n v="1414.34"/>
    <n v="6170.82"/>
  </r>
  <r>
    <x v="5"/>
    <n v="2"/>
    <x v="9"/>
    <n v="1403.99"/>
    <n v="6280.56"/>
  </r>
  <r>
    <x v="6"/>
    <n v="2"/>
    <x v="9"/>
    <n v="1299.56"/>
    <n v="5578.93"/>
  </r>
  <r>
    <x v="7"/>
    <n v="2"/>
    <x v="9"/>
    <n v="1431.24"/>
    <n v="6620.89"/>
  </r>
  <r>
    <x v="8"/>
    <n v="2"/>
    <x v="9"/>
    <n v="1498.06"/>
    <n v="6428.82"/>
  </r>
  <r>
    <x v="9"/>
    <n v="2"/>
    <x v="9"/>
    <n v="1415.84"/>
    <n v="6235.01"/>
  </r>
  <r>
    <x v="10"/>
    <n v="2"/>
    <x v="9"/>
    <n v="1424.89"/>
    <n v="6056.14"/>
  </r>
  <r>
    <x v="11"/>
    <n v="2"/>
    <x v="9"/>
    <n v="2642.92"/>
    <n v="7071.37"/>
  </r>
  <r>
    <x v="12"/>
    <n v="2"/>
    <x v="9"/>
    <n v="2563.9499999999998"/>
    <n v="9078.52"/>
  </r>
  <r>
    <x v="13"/>
    <n v="2"/>
    <x v="9"/>
    <n v="1524.36"/>
    <n v="5673.84"/>
  </r>
  <r>
    <x v="14"/>
    <n v="2"/>
    <x v="9"/>
    <n v="1527.59"/>
    <n v="6008"/>
  </r>
  <r>
    <x v="15"/>
    <n v="2"/>
    <x v="9"/>
    <n v="1602.85"/>
    <n v="6184.54"/>
  </r>
  <r>
    <x v="16"/>
    <n v="2"/>
    <x v="9"/>
    <n v="1548.72"/>
    <n v="6233.15"/>
  </r>
  <r>
    <x v="17"/>
    <n v="2"/>
    <x v="9"/>
    <n v="1767.99"/>
    <n v="5972.55"/>
  </r>
  <r>
    <x v="18"/>
    <n v="2"/>
    <x v="9"/>
    <n v="1633.75"/>
    <n v="5592.5"/>
  </r>
  <r>
    <x v="19"/>
    <n v="2"/>
    <x v="9"/>
    <n v="1816.4"/>
    <n v="6275.08"/>
  </r>
  <r>
    <x v="20"/>
    <n v="2"/>
    <x v="9"/>
    <n v="1830.89"/>
    <n v="6522.79"/>
  </r>
  <r>
    <x v="21"/>
    <n v="2"/>
    <x v="9"/>
    <n v="1780.88"/>
    <n v="6153.65"/>
  </r>
  <r>
    <x v="22"/>
    <n v="2"/>
    <x v="9"/>
    <n v="1689.14"/>
    <n v="5824.63"/>
  </r>
  <r>
    <x v="23"/>
    <n v="2"/>
    <x v="9"/>
    <n v="1699.86"/>
    <n v="5733.2"/>
  </r>
  <r>
    <x v="24"/>
    <n v="2"/>
    <x v="9"/>
    <n v="1955.6"/>
    <n v="9551.11"/>
  </r>
  <r>
    <x v="25"/>
    <n v="2"/>
    <x v="9"/>
    <n v="1590.81"/>
    <n v="5791.25"/>
  </r>
  <r>
    <x v="26"/>
    <n v="2"/>
    <x v="9"/>
    <n v="1451.94"/>
    <n v="5675.49"/>
  </r>
  <r>
    <x v="27"/>
    <n v="2"/>
    <x v="9"/>
    <n v="1524.12"/>
    <n v="5970.8"/>
  </r>
  <r>
    <x v="28"/>
    <n v="2"/>
    <x v="9"/>
    <n v="1333.44"/>
    <n v="5899"/>
  </r>
  <r>
    <x v="29"/>
    <n v="2"/>
    <x v="9"/>
    <n v="1772.36"/>
    <n v="6398.8"/>
  </r>
  <r>
    <x v="30"/>
    <n v="2"/>
    <x v="9"/>
    <n v="1435.79"/>
    <n v="5994.71"/>
  </r>
  <r>
    <x v="31"/>
    <n v="2"/>
    <x v="9"/>
    <n v="1725.33"/>
    <n v="6459.78"/>
  </r>
  <r>
    <x v="32"/>
    <n v="2"/>
    <x v="9"/>
    <n v="1720.82"/>
    <n v="6048.75"/>
  </r>
  <r>
    <x v="33"/>
    <n v="2"/>
    <x v="9"/>
    <n v="1456.97"/>
    <n v="5952.52"/>
  </r>
  <r>
    <x v="34"/>
    <n v="2"/>
    <x v="9"/>
    <n v="1618.02"/>
    <n v="6455.77"/>
  </r>
  <r>
    <x v="35"/>
    <n v="2"/>
    <x v="9"/>
    <n v="1343.06"/>
    <n v="5784.81"/>
  </r>
  <r>
    <x v="36"/>
    <n v="2"/>
    <x v="9"/>
    <n v="2077.48"/>
    <n v="9885.77"/>
  </r>
  <r>
    <x v="37"/>
    <n v="2"/>
    <x v="9"/>
    <n v="1711.52"/>
    <n v="5621.81"/>
  </r>
  <r>
    <x v="38"/>
    <n v="2"/>
    <x v="9"/>
    <n v="1543.49"/>
    <n v="6700.92"/>
  </r>
  <r>
    <x v="39"/>
    <n v="2"/>
    <x v="9"/>
    <n v="1397.29"/>
    <n v="5818.56"/>
  </r>
  <r>
    <x v="40"/>
    <n v="2"/>
    <x v="9"/>
    <n v="1609.14"/>
    <n v="6861.99"/>
  </r>
  <r>
    <x v="41"/>
    <n v="2"/>
    <x v="9"/>
    <n v="1501.39"/>
    <n v="6500.5"/>
  </r>
  <r>
    <x v="42"/>
    <n v="2"/>
    <x v="9"/>
    <n v="1493.16"/>
    <n v="6432.1"/>
  </r>
  <r>
    <x v="43"/>
    <n v="2"/>
    <x v="9"/>
    <n v="1784.88"/>
    <n v="6808.43"/>
  </r>
  <r>
    <x v="44"/>
    <n v="2"/>
    <x v="9"/>
    <n v="1726.33"/>
    <n v="6962.47"/>
  </r>
  <r>
    <x v="45"/>
    <n v="2"/>
    <x v="9"/>
    <n v="1575.1"/>
    <n v="6737.21"/>
  </r>
  <r>
    <x v="46"/>
    <n v="2"/>
    <x v="9"/>
    <n v="1546.35"/>
    <n v="5942.33"/>
  </r>
  <r>
    <x v="47"/>
    <n v="2"/>
    <x v="9"/>
    <n v="1386.2"/>
    <n v="5726.96"/>
  </r>
  <r>
    <x v="48"/>
    <n v="2"/>
    <x v="9"/>
    <n v="2664.78"/>
    <n v="10893.75"/>
  </r>
  <r>
    <x v="49"/>
    <n v="2"/>
    <x v="9"/>
    <n v="1753.8"/>
    <n v="6105.78"/>
  </r>
  <r>
    <x v="50"/>
    <n v="2"/>
    <x v="9"/>
    <n v="1876.31"/>
    <n v="6042.88"/>
  </r>
  <r>
    <x v="51"/>
    <n v="2"/>
    <x v="9"/>
    <n v="1721.1"/>
    <n v="6383.99"/>
  </r>
  <r>
    <x v="52"/>
    <n v="2"/>
    <x v="9"/>
    <n v="1684.76"/>
    <n v="6442.3"/>
  </r>
  <r>
    <x v="53"/>
    <n v="2"/>
    <x v="9"/>
    <n v="1830.59"/>
    <n v="6823.33"/>
  </r>
  <r>
    <x v="54"/>
    <n v="2"/>
    <x v="9"/>
    <n v="1381.82"/>
    <n v="5417.67"/>
  </r>
  <r>
    <x v="55"/>
    <n v="2"/>
    <x v="9"/>
    <n v="1691.19"/>
    <n v="6845.55"/>
  </r>
  <r>
    <x v="56"/>
    <n v="2"/>
    <x v="9"/>
    <n v="1735.63"/>
    <n v="6561.95"/>
  </r>
  <r>
    <x v="57"/>
    <n v="2"/>
    <x v="9"/>
    <n v="1805.69"/>
    <n v="6901.18"/>
  </r>
  <r>
    <x v="58"/>
    <n v="2"/>
    <x v="9"/>
    <n v="2095.81"/>
    <n v="7463.92"/>
  </r>
  <r>
    <x v="59"/>
    <n v="2"/>
    <x v="9"/>
    <n v="1683.17"/>
    <n v="6226.85"/>
  </r>
  <r>
    <x v="60"/>
    <n v="2"/>
    <x v="9"/>
    <n v="1959.46"/>
    <n v="9077.3799999999992"/>
  </r>
  <r>
    <x v="61"/>
    <n v="2"/>
    <x v="9"/>
    <n v="1493.08"/>
    <n v="5908.34"/>
  </r>
  <r>
    <x v="62"/>
    <n v="2"/>
    <x v="9"/>
    <n v="1504.28"/>
    <n v="6535.66"/>
  </r>
  <r>
    <x v="63"/>
    <n v="2"/>
    <x v="9"/>
    <n v="1522.82"/>
    <n v="6039.32"/>
  </r>
  <r>
    <x v="64"/>
    <n v="2"/>
    <x v="9"/>
    <n v="1596.88"/>
    <n v="6954.26"/>
  </r>
  <r>
    <x v="65"/>
    <n v="2"/>
    <x v="9"/>
    <n v="1616.98"/>
    <n v="7098.32"/>
  </r>
  <r>
    <x v="66"/>
    <n v="2"/>
    <x v="9"/>
    <n v="1416.3"/>
    <n v="6037.64"/>
  </r>
  <r>
    <x v="67"/>
    <n v="2"/>
    <x v="9"/>
    <n v="1532.34"/>
    <n v="7103.96"/>
  </r>
  <r>
    <x v="68"/>
    <n v="2"/>
    <x v="9"/>
    <n v="1464.47"/>
    <n v="6155.75"/>
  </r>
  <r>
    <x v="69"/>
    <n v="2"/>
    <x v="9"/>
    <n v="1553.13"/>
    <n v="6642.8"/>
  </r>
  <r>
    <x v="70"/>
    <n v="2"/>
    <x v="9"/>
    <n v="1944.57"/>
    <n v="6992.49"/>
  </r>
  <r>
    <x v="71"/>
    <n v="2"/>
    <x v="9"/>
    <n v="1608.94"/>
    <n v="6835"/>
  </r>
  <r>
    <x v="72"/>
    <n v="2"/>
    <x v="9"/>
    <n v="794.58"/>
    <n v="220.81"/>
  </r>
  <r>
    <x v="73"/>
    <n v="2"/>
    <x v="9"/>
    <n v="599.80999999999995"/>
    <n v="145.80000000000001"/>
  </r>
  <r>
    <x v="74"/>
    <n v="2"/>
    <x v="9"/>
    <n v="634.41"/>
    <n v="166.42"/>
  </r>
  <r>
    <x v="75"/>
    <n v="2"/>
    <x v="9"/>
    <n v="573.04999999999995"/>
    <n v="143.06"/>
  </r>
  <r>
    <x v="76"/>
    <n v="2"/>
    <x v="9"/>
    <n v="594.48"/>
    <n v="137.22999999999999"/>
  </r>
  <r>
    <x v="77"/>
    <n v="2"/>
    <x v="9"/>
    <n v="537.26"/>
    <n v="118.97"/>
  </r>
  <r>
    <x v="78"/>
    <n v="2"/>
    <x v="9"/>
    <n v="549.64"/>
    <n v="136.44"/>
  </r>
  <r>
    <x v="79"/>
    <n v="2"/>
    <x v="9"/>
    <n v="625.02"/>
    <n v="256.87"/>
  </r>
  <r>
    <x v="80"/>
    <n v="2"/>
    <x v="9"/>
    <n v="623.55999999999995"/>
    <n v="174.26"/>
  </r>
  <r>
    <x v="81"/>
    <n v="2"/>
    <x v="9"/>
    <n v="592.54"/>
    <n v="125.94"/>
  </r>
  <r>
    <x v="82"/>
    <n v="2"/>
    <x v="9"/>
    <n v="777.1"/>
    <n v="203.27"/>
  </r>
  <r>
    <x v="83"/>
    <n v="2"/>
    <x v="9"/>
    <n v="652.46"/>
    <n v="137.1"/>
  </r>
  <r>
    <x v="84"/>
    <n v="2"/>
    <x v="9"/>
    <n v="1090.98"/>
    <n v="300.85000000000002"/>
  </r>
  <r>
    <x v="85"/>
    <n v="2"/>
    <x v="9"/>
    <n v="974.89"/>
    <n v="258.29000000000002"/>
  </r>
  <r>
    <x v="86"/>
    <n v="2"/>
    <x v="9"/>
    <n v="1020.51"/>
    <n v="323.67"/>
  </r>
  <r>
    <x v="87"/>
    <n v="2"/>
    <x v="9"/>
    <n v="803.28"/>
    <n v="248.35"/>
  </r>
  <r>
    <x v="88"/>
    <n v="2"/>
    <x v="9"/>
    <n v="685.56"/>
    <n v="179.91"/>
  </r>
  <r>
    <x v="89"/>
    <n v="2"/>
    <x v="9"/>
    <n v="742.45"/>
    <n v="174.22"/>
  </r>
  <r>
    <x v="90"/>
    <n v="2"/>
    <x v="9"/>
    <n v="614.85"/>
    <n v="129.24"/>
  </r>
  <r>
    <x v="91"/>
    <n v="2"/>
    <x v="9"/>
    <n v="575.54999999999995"/>
    <n v="130.72"/>
  </r>
  <r>
    <x v="92"/>
    <n v="2"/>
    <x v="9"/>
    <n v="663.78"/>
    <n v="172.93"/>
  </r>
  <r>
    <x v="93"/>
    <n v="2"/>
    <x v="9"/>
    <n v="829.72"/>
    <n v="242.41"/>
  </r>
  <r>
    <x v="94"/>
    <n v="2"/>
    <x v="9"/>
    <n v="755.05"/>
    <n v="170.47"/>
  </r>
  <r>
    <x v="95"/>
    <n v="2"/>
    <x v="9"/>
    <n v="834.43"/>
    <n v="217.76"/>
  </r>
  <r>
    <x v="0"/>
    <n v="2"/>
    <x v="10"/>
    <n v="1880.13"/>
    <n v="9321.44"/>
  </r>
  <r>
    <x v="1"/>
    <n v="2"/>
    <x v="10"/>
    <n v="1533.85"/>
    <n v="6004.01"/>
  </r>
  <r>
    <x v="2"/>
    <n v="2"/>
    <x v="10"/>
    <n v="1389.79"/>
    <n v="6039.03"/>
  </r>
  <r>
    <x v="3"/>
    <n v="2"/>
    <x v="10"/>
    <n v="1390.7"/>
    <n v="6154.72"/>
  </r>
  <r>
    <x v="4"/>
    <n v="2"/>
    <x v="10"/>
    <n v="1422.67"/>
    <n v="6178.46"/>
  </r>
  <r>
    <x v="5"/>
    <n v="2"/>
    <x v="10"/>
    <n v="1410.91"/>
    <n v="6288.96"/>
  </r>
  <r>
    <x v="6"/>
    <n v="2"/>
    <x v="10"/>
    <n v="1308.1500000000001"/>
    <n v="5586.36"/>
  </r>
  <r>
    <x v="7"/>
    <n v="2"/>
    <x v="10"/>
    <n v="1439.52"/>
    <n v="6631.79"/>
  </r>
  <r>
    <x v="8"/>
    <n v="2"/>
    <x v="10"/>
    <n v="1505.73"/>
    <n v="6440.49"/>
  </r>
  <r>
    <x v="9"/>
    <n v="2"/>
    <x v="10"/>
    <n v="1424.29"/>
    <n v="6241.91"/>
  </r>
  <r>
    <x v="10"/>
    <n v="2"/>
    <x v="10"/>
    <n v="1432.03"/>
    <n v="6060.56"/>
  </r>
  <r>
    <x v="11"/>
    <n v="2"/>
    <x v="10"/>
    <n v="2655.54"/>
    <n v="7146.52"/>
  </r>
  <r>
    <x v="12"/>
    <n v="2"/>
    <x v="10"/>
    <n v="2635.58"/>
    <n v="9092.68"/>
  </r>
  <r>
    <x v="13"/>
    <n v="2"/>
    <x v="10"/>
    <n v="1552.95"/>
    <n v="5680.79"/>
  </r>
  <r>
    <x v="14"/>
    <n v="2"/>
    <x v="10"/>
    <n v="1560.41"/>
    <n v="6008.06"/>
  </r>
  <r>
    <x v="15"/>
    <n v="2"/>
    <x v="10"/>
    <n v="1637.54"/>
    <n v="6187.91"/>
  </r>
  <r>
    <x v="16"/>
    <n v="2"/>
    <x v="10"/>
    <n v="1583.68"/>
    <n v="6234.96"/>
  </r>
  <r>
    <x v="17"/>
    <n v="2"/>
    <x v="10"/>
    <n v="1800.47"/>
    <n v="5975.96"/>
  </r>
  <r>
    <x v="18"/>
    <n v="2"/>
    <x v="10"/>
    <n v="1667.32"/>
    <n v="5594.6"/>
  </r>
  <r>
    <x v="19"/>
    <n v="2"/>
    <x v="10"/>
    <n v="1853.9"/>
    <n v="6273.35"/>
  </r>
  <r>
    <x v="20"/>
    <n v="2"/>
    <x v="10"/>
    <n v="1870.53"/>
    <n v="6520.22"/>
  </r>
  <r>
    <x v="21"/>
    <n v="2"/>
    <x v="10"/>
    <n v="1821.73"/>
    <n v="6154.09"/>
  </r>
  <r>
    <x v="22"/>
    <n v="2"/>
    <x v="10"/>
    <n v="1729.38"/>
    <n v="5819.93"/>
  </r>
  <r>
    <x v="23"/>
    <n v="2"/>
    <x v="10"/>
    <n v="1748.27"/>
    <n v="5738.63"/>
  </r>
  <r>
    <x v="24"/>
    <n v="2"/>
    <x v="10"/>
    <n v="1963"/>
    <n v="9559.2900000000009"/>
  </r>
  <r>
    <x v="25"/>
    <n v="2"/>
    <x v="10"/>
    <n v="1592.8"/>
    <n v="5790.86"/>
  </r>
  <r>
    <x v="26"/>
    <n v="2"/>
    <x v="10"/>
    <n v="1458.32"/>
    <n v="5677.79"/>
  </r>
  <r>
    <x v="27"/>
    <n v="2"/>
    <x v="10"/>
    <n v="1530"/>
    <n v="5974.18"/>
  </r>
  <r>
    <x v="28"/>
    <n v="2"/>
    <x v="10"/>
    <n v="1338.06"/>
    <n v="5901.66"/>
  </r>
  <r>
    <x v="29"/>
    <n v="2"/>
    <x v="10"/>
    <n v="1776"/>
    <n v="6398.86"/>
  </r>
  <r>
    <x v="30"/>
    <n v="2"/>
    <x v="10"/>
    <n v="1439.84"/>
    <n v="5995.26"/>
  </r>
  <r>
    <x v="31"/>
    <n v="2"/>
    <x v="10"/>
    <n v="1729"/>
    <n v="6456.8"/>
  </r>
  <r>
    <x v="32"/>
    <n v="2"/>
    <x v="10"/>
    <n v="1724.83"/>
    <n v="6048.76"/>
  </r>
  <r>
    <x v="33"/>
    <n v="2"/>
    <x v="10"/>
    <n v="1459.62"/>
    <n v="5952.1"/>
  </r>
  <r>
    <x v="34"/>
    <n v="2"/>
    <x v="10"/>
    <n v="1620.65"/>
    <n v="6450.99"/>
  </r>
  <r>
    <x v="35"/>
    <n v="2"/>
    <x v="10"/>
    <n v="1346.83"/>
    <n v="5772.32"/>
  </r>
  <r>
    <x v="36"/>
    <n v="2"/>
    <x v="10"/>
    <n v="2084.34"/>
    <n v="9887.42"/>
  </r>
  <r>
    <x v="37"/>
    <n v="2"/>
    <x v="10"/>
    <n v="1711.39"/>
    <n v="5626"/>
  </r>
  <r>
    <x v="38"/>
    <n v="2"/>
    <x v="10"/>
    <n v="1550.07"/>
    <n v="6705.28"/>
  </r>
  <r>
    <x v="39"/>
    <n v="2"/>
    <x v="10"/>
    <n v="1402.49"/>
    <n v="5826.69"/>
  </r>
  <r>
    <x v="40"/>
    <n v="2"/>
    <x v="10"/>
    <n v="1614.2"/>
    <n v="6863.94"/>
  </r>
  <r>
    <x v="41"/>
    <n v="2"/>
    <x v="10"/>
    <n v="1506.77"/>
    <n v="6504.84"/>
  </r>
  <r>
    <x v="42"/>
    <n v="2"/>
    <x v="10"/>
    <n v="1499.8"/>
    <n v="6435.54"/>
  </r>
  <r>
    <x v="43"/>
    <n v="2"/>
    <x v="10"/>
    <n v="1788.51"/>
    <n v="6808.45"/>
  </r>
  <r>
    <x v="44"/>
    <n v="2"/>
    <x v="10"/>
    <n v="1731.46"/>
    <n v="6963.7"/>
  </r>
  <r>
    <x v="45"/>
    <n v="2"/>
    <x v="10"/>
    <n v="1580.46"/>
    <n v="6739.87"/>
  </r>
  <r>
    <x v="46"/>
    <n v="2"/>
    <x v="10"/>
    <n v="1549.29"/>
    <n v="5940.51"/>
  </r>
  <r>
    <x v="47"/>
    <n v="2"/>
    <x v="10"/>
    <n v="1390.2"/>
    <n v="5720.98"/>
  </r>
  <r>
    <x v="48"/>
    <n v="2"/>
    <x v="10"/>
    <n v="2671.67"/>
    <n v="10896.88"/>
  </r>
  <r>
    <x v="49"/>
    <n v="2"/>
    <x v="10"/>
    <n v="1757.68"/>
    <n v="6109.01"/>
  </r>
  <r>
    <x v="50"/>
    <n v="2"/>
    <x v="10"/>
    <n v="1884.36"/>
    <n v="6048.56"/>
  </r>
  <r>
    <x v="51"/>
    <n v="2"/>
    <x v="10"/>
    <n v="1727.8"/>
    <n v="6392.17"/>
  </r>
  <r>
    <x v="52"/>
    <n v="2"/>
    <x v="10"/>
    <n v="1690.54"/>
    <n v="6447.89"/>
  </r>
  <r>
    <x v="53"/>
    <n v="2"/>
    <x v="10"/>
    <n v="1838.83"/>
    <n v="6833.05"/>
  </r>
  <r>
    <x v="54"/>
    <n v="2"/>
    <x v="10"/>
    <n v="1388.68"/>
    <n v="5421.76"/>
  </r>
  <r>
    <x v="55"/>
    <n v="2"/>
    <x v="10"/>
    <n v="1695.2"/>
    <n v="6850.08"/>
  </r>
  <r>
    <x v="56"/>
    <n v="2"/>
    <x v="10"/>
    <n v="1741.38"/>
    <n v="6564.28"/>
  </r>
  <r>
    <x v="57"/>
    <n v="2"/>
    <x v="10"/>
    <n v="1812.23"/>
    <n v="6904.8"/>
  </r>
  <r>
    <x v="58"/>
    <n v="2"/>
    <x v="10"/>
    <n v="2096.5700000000002"/>
    <n v="7466.74"/>
  </r>
  <r>
    <x v="59"/>
    <n v="2"/>
    <x v="10"/>
    <n v="1686.08"/>
    <n v="6217.22"/>
  </r>
  <r>
    <x v="60"/>
    <n v="2"/>
    <x v="10"/>
    <n v="1966.31"/>
    <n v="9085.51"/>
  </r>
  <r>
    <x v="61"/>
    <n v="2"/>
    <x v="10"/>
    <n v="1498.06"/>
    <n v="5915.35"/>
  </r>
  <r>
    <x v="62"/>
    <n v="2"/>
    <x v="10"/>
    <n v="1511.73"/>
    <n v="6541.71"/>
  </r>
  <r>
    <x v="63"/>
    <n v="2"/>
    <x v="10"/>
    <n v="1529.48"/>
    <n v="6047.16"/>
  </r>
  <r>
    <x v="64"/>
    <n v="2"/>
    <x v="10"/>
    <n v="1602.56"/>
    <n v="6959.58"/>
  </r>
  <r>
    <x v="65"/>
    <n v="2"/>
    <x v="10"/>
    <n v="1623.64"/>
    <n v="7104.11"/>
  </r>
  <r>
    <x v="66"/>
    <n v="2"/>
    <x v="10"/>
    <n v="1425.13"/>
    <n v="6042.92"/>
  </r>
  <r>
    <x v="67"/>
    <n v="2"/>
    <x v="10"/>
    <n v="1538.01"/>
    <n v="7108.81"/>
  </r>
  <r>
    <x v="68"/>
    <n v="2"/>
    <x v="10"/>
    <n v="1469.67"/>
    <n v="6159.92"/>
  </r>
  <r>
    <x v="69"/>
    <n v="2"/>
    <x v="10"/>
    <n v="1559.74"/>
    <n v="6646.97"/>
  </r>
  <r>
    <x v="70"/>
    <n v="2"/>
    <x v="10"/>
    <n v="1944.58"/>
    <n v="6996.24"/>
  </r>
  <r>
    <x v="71"/>
    <n v="2"/>
    <x v="10"/>
    <n v="1615.61"/>
    <n v="6844.09"/>
  </r>
  <r>
    <x v="72"/>
    <n v="2"/>
    <x v="10"/>
    <n v="799.24"/>
    <n v="220.05"/>
  </r>
  <r>
    <x v="73"/>
    <n v="2"/>
    <x v="10"/>
    <n v="604.76"/>
    <n v="146.78"/>
  </r>
  <r>
    <x v="74"/>
    <n v="2"/>
    <x v="10"/>
    <n v="638.17999999999995"/>
    <n v="166.27"/>
  </r>
  <r>
    <x v="75"/>
    <n v="2"/>
    <x v="10"/>
    <n v="578.21"/>
    <n v="143.29"/>
  </r>
  <r>
    <x v="76"/>
    <n v="2"/>
    <x v="10"/>
    <n v="598.53"/>
    <n v="137.52000000000001"/>
  </r>
  <r>
    <x v="77"/>
    <n v="2"/>
    <x v="10"/>
    <n v="540.51"/>
    <n v="119.47"/>
  </r>
  <r>
    <x v="78"/>
    <n v="2"/>
    <x v="10"/>
    <n v="553.69000000000005"/>
    <n v="137.02000000000001"/>
  </r>
  <r>
    <x v="79"/>
    <n v="2"/>
    <x v="10"/>
    <n v="628.80999999999995"/>
    <n v="258.57"/>
  </r>
  <r>
    <x v="80"/>
    <n v="2"/>
    <x v="10"/>
    <n v="627.37"/>
    <n v="174.35"/>
  </r>
  <r>
    <x v="81"/>
    <n v="2"/>
    <x v="10"/>
    <n v="596.79"/>
    <n v="126.16"/>
  </r>
  <r>
    <x v="82"/>
    <n v="2"/>
    <x v="10"/>
    <n v="776.98"/>
    <n v="202.86"/>
  </r>
  <r>
    <x v="83"/>
    <n v="2"/>
    <x v="10"/>
    <n v="657.52"/>
    <n v="137.61000000000001"/>
  </r>
  <r>
    <x v="84"/>
    <n v="2"/>
    <x v="10"/>
    <n v="1094.9000000000001"/>
    <n v="300.82"/>
  </r>
  <r>
    <x v="85"/>
    <n v="2"/>
    <x v="10"/>
    <n v="979.82"/>
    <n v="258.02"/>
  </r>
  <r>
    <x v="86"/>
    <n v="2"/>
    <x v="10"/>
    <n v="1024.77"/>
    <n v="323.66000000000003"/>
  </r>
  <r>
    <x v="87"/>
    <n v="2"/>
    <x v="10"/>
    <n v="808.27"/>
    <n v="248.58"/>
  </r>
  <r>
    <x v="88"/>
    <n v="2"/>
    <x v="10"/>
    <n v="693.08"/>
    <n v="181.25"/>
  </r>
  <r>
    <x v="89"/>
    <n v="2"/>
    <x v="10"/>
    <n v="751.05"/>
    <n v="177.44"/>
  </r>
  <r>
    <x v="90"/>
    <n v="2"/>
    <x v="10"/>
    <n v="624.35"/>
    <n v="129.9"/>
  </r>
  <r>
    <x v="91"/>
    <n v="2"/>
    <x v="10"/>
    <n v="581.29"/>
    <n v="131.16999999999999"/>
  </r>
  <r>
    <x v="92"/>
    <n v="2"/>
    <x v="10"/>
    <n v="668.79"/>
    <n v="173.26"/>
  </r>
  <r>
    <x v="93"/>
    <n v="2"/>
    <x v="10"/>
    <n v="834.06"/>
    <n v="242.47"/>
  </r>
  <r>
    <x v="94"/>
    <n v="2"/>
    <x v="10"/>
    <n v="759.12"/>
    <n v="170.35"/>
  </r>
  <r>
    <x v="95"/>
    <n v="2"/>
    <x v="10"/>
    <n v="837.56"/>
    <n v="215.94"/>
  </r>
  <r>
    <x v="0"/>
    <n v="2"/>
    <x v="11"/>
    <n v="1890.25"/>
    <n v="9321.4500000000007"/>
  </r>
  <r>
    <x v="1"/>
    <n v="2"/>
    <x v="11"/>
    <n v="1540.51"/>
    <n v="6006.29"/>
  </r>
  <r>
    <x v="2"/>
    <n v="2"/>
    <x v="11"/>
    <n v="1396.98"/>
    <n v="6042.89"/>
  </r>
  <r>
    <x v="3"/>
    <n v="2"/>
    <x v="11"/>
    <n v="1398.04"/>
    <n v="6161.95"/>
  </r>
  <r>
    <x v="4"/>
    <n v="2"/>
    <x v="11"/>
    <n v="1431.41"/>
    <n v="6188.83"/>
  </r>
  <r>
    <x v="5"/>
    <n v="2"/>
    <x v="11"/>
    <n v="1419.27"/>
    <n v="6295.55"/>
  </r>
  <r>
    <x v="6"/>
    <n v="2"/>
    <x v="11"/>
    <n v="1314.62"/>
    <n v="5596.3"/>
  </r>
  <r>
    <x v="7"/>
    <n v="2"/>
    <x v="11"/>
    <n v="1448.02"/>
    <n v="6642.44"/>
  </r>
  <r>
    <x v="8"/>
    <n v="2"/>
    <x v="11"/>
    <n v="1513.13"/>
    <n v="6448.49"/>
  </r>
  <r>
    <x v="9"/>
    <n v="2"/>
    <x v="11"/>
    <n v="1430.19"/>
    <n v="6248.18"/>
  </r>
  <r>
    <x v="10"/>
    <n v="2"/>
    <x v="11"/>
    <n v="1439.29"/>
    <n v="6064.49"/>
  </r>
  <r>
    <x v="11"/>
    <n v="2"/>
    <x v="11"/>
    <n v="2668.93"/>
    <n v="7222.36"/>
  </r>
  <r>
    <x v="12"/>
    <n v="2"/>
    <x v="11"/>
    <n v="2776.04"/>
    <n v="9107.0300000000007"/>
  </r>
  <r>
    <x v="13"/>
    <n v="2"/>
    <x v="11"/>
    <n v="1607.09"/>
    <n v="5684.95"/>
  </r>
  <r>
    <x v="14"/>
    <n v="2"/>
    <x v="11"/>
    <n v="1622.06"/>
    <n v="6009.04"/>
  </r>
  <r>
    <x v="15"/>
    <n v="2"/>
    <x v="11"/>
    <n v="1702.78"/>
    <n v="6190.8"/>
  </r>
  <r>
    <x v="16"/>
    <n v="2"/>
    <x v="11"/>
    <n v="1647.39"/>
    <n v="6235.92"/>
  </r>
  <r>
    <x v="17"/>
    <n v="2"/>
    <x v="11"/>
    <n v="1864.49"/>
    <n v="5975.57"/>
  </r>
  <r>
    <x v="18"/>
    <n v="2"/>
    <x v="11"/>
    <n v="1730.83"/>
    <n v="5594.54"/>
  </r>
  <r>
    <x v="19"/>
    <n v="2"/>
    <x v="11"/>
    <n v="1923.31"/>
    <n v="6273.29"/>
  </r>
  <r>
    <x v="20"/>
    <n v="2"/>
    <x v="11"/>
    <n v="1948.59"/>
    <n v="6517.11"/>
  </r>
  <r>
    <x v="21"/>
    <n v="2"/>
    <x v="11"/>
    <n v="1899.66"/>
    <n v="6153.8"/>
  </r>
  <r>
    <x v="22"/>
    <n v="2"/>
    <x v="11"/>
    <n v="1806.74"/>
    <n v="5817.06"/>
  </r>
  <r>
    <x v="23"/>
    <n v="2"/>
    <x v="11"/>
    <n v="1839.12"/>
    <n v="5744.58"/>
  </r>
  <r>
    <x v="24"/>
    <n v="2"/>
    <x v="11"/>
    <n v="1970.65"/>
    <n v="9569.59"/>
  </r>
  <r>
    <x v="25"/>
    <n v="2"/>
    <x v="11"/>
    <n v="1596.78"/>
    <n v="5790.58"/>
  </r>
  <r>
    <x v="26"/>
    <n v="2"/>
    <x v="11"/>
    <n v="1465.16"/>
    <n v="5677.71"/>
  </r>
  <r>
    <x v="27"/>
    <n v="2"/>
    <x v="11"/>
    <n v="1536.72"/>
    <n v="5976.58"/>
  </r>
  <r>
    <x v="28"/>
    <n v="2"/>
    <x v="11"/>
    <n v="1341.23"/>
    <n v="5904.22"/>
  </r>
  <r>
    <x v="29"/>
    <n v="2"/>
    <x v="11"/>
    <n v="1779.14"/>
    <n v="6398.76"/>
  </r>
  <r>
    <x v="30"/>
    <n v="2"/>
    <x v="11"/>
    <n v="1444.11"/>
    <n v="5994.66"/>
  </r>
  <r>
    <x v="31"/>
    <n v="2"/>
    <x v="11"/>
    <n v="1733.39"/>
    <n v="6454.76"/>
  </r>
  <r>
    <x v="32"/>
    <n v="2"/>
    <x v="11"/>
    <n v="1729.88"/>
    <n v="6048.42"/>
  </r>
  <r>
    <x v="33"/>
    <n v="2"/>
    <x v="11"/>
    <n v="1464.21"/>
    <n v="5950.5"/>
  </r>
  <r>
    <x v="34"/>
    <n v="2"/>
    <x v="11"/>
    <n v="1624.69"/>
    <n v="6446.02"/>
  </r>
  <r>
    <x v="35"/>
    <n v="2"/>
    <x v="11"/>
    <n v="1351.13"/>
    <n v="5764.51"/>
  </r>
  <r>
    <x v="36"/>
    <n v="2"/>
    <x v="11"/>
    <n v="2091.69"/>
    <n v="9893.7900000000009"/>
  </r>
  <r>
    <x v="37"/>
    <n v="2"/>
    <x v="11"/>
    <n v="1711.58"/>
    <n v="5626.94"/>
  </r>
  <r>
    <x v="38"/>
    <n v="2"/>
    <x v="11"/>
    <n v="1555.5"/>
    <n v="6708.27"/>
  </r>
  <r>
    <x v="39"/>
    <n v="2"/>
    <x v="11"/>
    <n v="1408.56"/>
    <n v="5831.98"/>
  </r>
  <r>
    <x v="40"/>
    <n v="2"/>
    <x v="11"/>
    <n v="1620.17"/>
    <n v="6866.05"/>
  </r>
  <r>
    <x v="41"/>
    <n v="2"/>
    <x v="11"/>
    <n v="1513.42"/>
    <n v="6507.12"/>
  </r>
  <r>
    <x v="42"/>
    <n v="2"/>
    <x v="11"/>
    <n v="1506.61"/>
    <n v="6437.98"/>
  </r>
  <r>
    <x v="43"/>
    <n v="2"/>
    <x v="11"/>
    <n v="1792.71"/>
    <n v="6808.19"/>
  </r>
  <r>
    <x v="44"/>
    <n v="2"/>
    <x v="11"/>
    <n v="1735.38"/>
    <n v="6963.73"/>
  </r>
  <r>
    <x v="45"/>
    <n v="2"/>
    <x v="11"/>
    <n v="1584.34"/>
    <n v="6739.43"/>
  </r>
  <r>
    <x v="46"/>
    <n v="2"/>
    <x v="11"/>
    <n v="1553.79"/>
    <n v="5939.77"/>
  </r>
  <r>
    <x v="47"/>
    <n v="2"/>
    <x v="11"/>
    <n v="1392.39"/>
    <n v="5716.23"/>
  </r>
  <r>
    <x v="48"/>
    <n v="2"/>
    <x v="11"/>
    <n v="2678.78"/>
    <n v="10900.46"/>
  </r>
  <r>
    <x v="49"/>
    <n v="2"/>
    <x v="11"/>
    <n v="1762.93"/>
    <n v="6113.25"/>
  </r>
  <r>
    <x v="50"/>
    <n v="2"/>
    <x v="11"/>
    <n v="1892.4"/>
    <n v="6055.27"/>
  </r>
  <r>
    <x v="51"/>
    <n v="2"/>
    <x v="11"/>
    <n v="1731.65"/>
    <n v="6399.16"/>
  </r>
  <r>
    <x v="52"/>
    <n v="2"/>
    <x v="11"/>
    <n v="1694.98"/>
    <n v="6452.26"/>
  </r>
  <r>
    <x v="53"/>
    <n v="2"/>
    <x v="11"/>
    <n v="1843.91"/>
    <n v="6841.19"/>
  </r>
  <r>
    <x v="54"/>
    <n v="2"/>
    <x v="11"/>
    <n v="1392.72"/>
    <n v="5427.37"/>
  </r>
  <r>
    <x v="55"/>
    <n v="2"/>
    <x v="11"/>
    <n v="1698.41"/>
    <n v="6852.54"/>
  </r>
  <r>
    <x v="56"/>
    <n v="2"/>
    <x v="11"/>
    <n v="1747.64"/>
    <n v="6566.41"/>
  </r>
  <r>
    <x v="57"/>
    <n v="2"/>
    <x v="11"/>
    <n v="1819.03"/>
    <n v="6906.96"/>
  </r>
  <r>
    <x v="58"/>
    <n v="2"/>
    <x v="11"/>
    <n v="2098.15"/>
    <n v="7471.81"/>
  </r>
  <r>
    <x v="59"/>
    <n v="2"/>
    <x v="11"/>
    <n v="1689.74"/>
    <n v="6209.72"/>
  </r>
  <r>
    <x v="60"/>
    <n v="2"/>
    <x v="11"/>
    <n v="1973.35"/>
    <n v="9085.5400000000009"/>
  </r>
  <r>
    <x v="61"/>
    <n v="2"/>
    <x v="11"/>
    <n v="1503.09"/>
    <n v="5922.26"/>
  </r>
  <r>
    <x v="62"/>
    <n v="2"/>
    <x v="11"/>
    <n v="1517.14"/>
    <n v="6548.69"/>
  </r>
  <r>
    <x v="63"/>
    <n v="2"/>
    <x v="11"/>
    <n v="1533.29"/>
    <n v="6052.8"/>
  </r>
  <r>
    <x v="64"/>
    <n v="2"/>
    <x v="11"/>
    <n v="1608.79"/>
    <n v="6965.01"/>
  </r>
  <r>
    <x v="65"/>
    <n v="2"/>
    <x v="11"/>
    <n v="1628.85"/>
    <n v="7110.23"/>
  </r>
  <r>
    <x v="66"/>
    <n v="2"/>
    <x v="11"/>
    <n v="1434.09"/>
    <n v="6048.14"/>
  </r>
  <r>
    <x v="67"/>
    <n v="2"/>
    <x v="11"/>
    <n v="1541.99"/>
    <n v="7113.43"/>
  </r>
  <r>
    <x v="68"/>
    <n v="2"/>
    <x v="11"/>
    <n v="1475.06"/>
    <n v="6164.47"/>
  </r>
  <r>
    <x v="69"/>
    <n v="2"/>
    <x v="11"/>
    <n v="1563.75"/>
    <n v="6652.73"/>
  </r>
  <r>
    <x v="70"/>
    <n v="2"/>
    <x v="11"/>
    <n v="1944.6"/>
    <n v="6996.52"/>
  </r>
  <r>
    <x v="71"/>
    <n v="2"/>
    <x v="11"/>
    <n v="1621.58"/>
    <n v="6853.35"/>
  </r>
  <r>
    <x v="72"/>
    <n v="2"/>
    <x v="11"/>
    <n v="804.25"/>
    <n v="219.67"/>
  </r>
  <r>
    <x v="73"/>
    <n v="2"/>
    <x v="11"/>
    <n v="609.92999999999995"/>
    <n v="147.72999999999999"/>
  </r>
  <r>
    <x v="74"/>
    <n v="2"/>
    <x v="11"/>
    <n v="643.03"/>
    <n v="166.54"/>
  </r>
  <r>
    <x v="75"/>
    <n v="2"/>
    <x v="11"/>
    <n v="582.6"/>
    <n v="143.87"/>
  </r>
  <r>
    <x v="76"/>
    <n v="2"/>
    <x v="11"/>
    <n v="603"/>
    <n v="138.19"/>
  </r>
  <r>
    <x v="77"/>
    <n v="2"/>
    <x v="11"/>
    <n v="544.79999999999995"/>
    <n v="120.17"/>
  </r>
  <r>
    <x v="78"/>
    <n v="2"/>
    <x v="11"/>
    <n v="558.16999999999996"/>
    <n v="137.91"/>
  </r>
  <r>
    <x v="79"/>
    <n v="2"/>
    <x v="11"/>
    <n v="633.13"/>
    <n v="258.73"/>
  </r>
  <r>
    <x v="80"/>
    <n v="2"/>
    <x v="11"/>
    <n v="631.6"/>
    <n v="174.81"/>
  </r>
  <r>
    <x v="81"/>
    <n v="2"/>
    <x v="11"/>
    <n v="600.98"/>
    <n v="126.43"/>
  </r>
  <r>
    <x v="82"/>
    <n v="2"/>
    <x v="11"/>
    <n v="776.95"/>
    <n v="201.81"/>
  </r>
  <r>
    <x v="83"/>
    <n v="2"/>
    <x v="11"/>
    <n v="662.59"/>
    <n v="137.77000000000001"/>
  </r>
  <r>
    <x v="84"/>
    <n v="2"/>
    <x v="11"/>
    <n v="1099.0899999999999"/>
    <n v="300.64999999999998"/>
  </r>
  <r>
    <x v="85"/>
    <n v="2"/>
    <x v="11"/>
    <n v="984.11"/>
    <n v="257.8"/>
  </r>
  <r>
    <x v="86"/>
    <n v="2"/>
    <x v="11"/>
    <n v="1028.8399999999999"/>
    <n v="323.27"/>
  </r>
  <r>
    <x v="87"/>
    <n v="2"/>
    <x v="11"/>
    <n v="813.22"/>
    <n v="248.54"/>
  </r>
  <r>
    <x v="88"/>
    <n v="2"/>
    <x v="11"/>
    <n v="700.62"/>
    <n v="182.17"/>
  </r>
  <r>
    <x v="89"/>
    <n v="2"/>
    <x v="11"/>
    <n v="759.38"/>
    <n v="179.68"/>
  </r>
  <r>
    <x v="90"/>
    <n v="2"/>
    <x v="11"/>
    <n v="633.51"/>
    <n v="130.85"/>
  </r>
  <r>
    <x v="91"/>
    <n v="2"/>
    <x v="11"/>
    <n v="585.11"/>
    <n v="131.83000000000001"/>
  </r>
  <r>
    <x v="92"/>
    <n v="2"/>
    <x v="11"/>
    <n v="673.97"/>
    <n v="174.07"/>
  </r>
  <r>
    <x v="93"/>
    <n v="2"/>
    <x v="11"/>
    <n v="838.46"/>
    <n v="242.41"/>
  </r>
  <r>
    <x v="94"/>
    <n v="2"/>
    <x v="11"/>
    <n v="763.01"/>
    <n v="169.75"/>
  </r>
  <r>
    <x v="95"/>
    <n v="2"/>
    <x v="11"/>
    <n v="839.98"/>
    <n v="214.74"/>
  </r>
  <r>
    <x v="0"/>
    <n v="2"/>
    <x v="12"/>
    <n v="1901.11"/>
    <n v="9321.61"/>
  </r>
  <r>
    <x v="1"/>
    <n v="2"/>
    <x v="12"/>
    <n v="1547.63"/>
    <n v="6008.39"/>
  </r>
  <r>
    <x v="2"/>
    <n v="2"/>
    <x v="12"/>
    <n v="1405.59"/>
    <n v="6047.75"/>
  </r>
  <r>
    <x v="3"/>
    <n v="2"/>
    <x v="12"/>
    <n v="1406.68"/>
    <n v="6170.77"/>
  </r>
  <r>
    <x v="4"/>
    <n v="2"/>
    <x v="12"/>
    <n v="1440.62"/>
    <n v="6200.95"/>
  </r>
  <r>
    <x v="5"/>
    <n v="2"/>
    <x v="12"/>
    <n v="1428.18"/>
    <n v="6302.48"/>
  </r>
  <r>
    <x v="6"/>
    <n v="2"/>
    <x v="12"/>
    <n v="1322.9"/>
    <n v="5607.19"/>
  </r>
  <r>
    <x v="7"/>
    <n v="2"/>
    <x v="12"/>
    <n v="1457.42"/>
    <n v="6649.28"/>
  </r>
  <r>
    <x v="8"/>
    <n v="2"/>
    <x v="12"/>
    <n v="1521.8"/>
    <n v="6453.79"/>
  </r>
  <r>
    <x v="9"/>
    <n v="2"/>
    <x v="12"/>
    <n v="1438.77"/>
    <n v="6255.01"/>
  </r>
  <r>
    <x v="10"/>
    <n v="2"/>
    <x v="12"/>
    <n v="1446.53"/>
    <n v="6067.61"/>
  </r>
  <r>
    <x v="11"/>
    <n v="2"/>
    <x v="12"/>
    <n v="2684.73"/>
    <n v="7299.05"/>
  </r>
  <r>
    <x v="12"/>
    <n v="2"/>
    <x v="12"/>
    <n v="3036.03"/>
    <n v="9122.35"/>
  </r>
  <r>
    <x v="13"/>
    <n v="2"/>
    <x v="12"/>
    <n v="1711.03"/>
    <n v="5689.5"/>
  </r>
  <r>
    <x v="14"/>
    <n v="2"/>
    <x v="12"/>
    <n v="1732.8"/>
    <n v="6009.13"/>
  </r>
  <r>
    <x v="15"/>
    <n v="2"/>
    <x v="12"/>
    <n v="1826.14"/>
    <n v="6195.9"/>
  </r>
  <r>
    <x v="16"/>
    <n v="2"/>
    <x v="12"/>
    <n v="1766.87"/>
    <n v="6237.12"/>
  </r>
  <r>
    <x v="17"/>
    <n v="2"/>
    <x v="12"/>
    <n v="1986.69"/>
    <n v="5975.19"/>
  </r>
  <r>
    <x v="18"/>
    <n v="2"/>
    <x v="12"/>
    <n v="1848.95"/>
    <n v="5594.71"/>
  </r>
  <r>
    <x v="19"/>
    <n v="2"/>
    <x v="12"/>
    <n v="2058.37"/>
    <n v="6272.81"/>
  </r>
  <r>
    <x v="20"/>
    <n v="2"/>
    <x v="12"/>
    <n v="2093.25"/>
    <n v="6514.99"/>
  </r>
  <r>
    <x v="21"/>
    <n v="2"/>
    <x v="12"/>
    <n v="2047.59"/>
    <n v="6153.64"/>
  </r>
  <r>
    <x v="22"/>
    <n v="2"/>
    <x v="12"/>
    <n v="1960.85"/>
    <n v="5815.87"/>
  </r>
  <r>
    <x v="23"/>
    <n v="2"/>
    <x v="12"/>
    <n v="2009.84"/>
    <n v="5748.85"/>
  </r>
  <r>
    <x v="24"/>
    <n v="2"/>
    <x v="12"/>
    <n v="1978.12"/>
    <n v="9579.89"/>
  </r>
  <r>
    <x v="25"/>
    <n v="2"/>
    <x v="12"/>
    <n v="1600.75"/>
    <n v="5792.82"/>
  </r>
  <r>
    <x v="26"/>
    <n v="2"/>
    <x v="12"/>
    <n v="1471.12"/>
    <n v="5678.91"/>
  </r>
  <r>
    <x v="27"/>
    <n v="2"/>
    <x v="12"/>
    <n v="1543.53"/>
    <n v="5979.76"/>
  </r>
  <r>
    <x v="28"/>
    <n v="2"/>
    <x v="12"/>
    <n v="1345.63"/>
    <n v="5905.14"/>
  </r>
  <r>
    <x v="29"/>
    <n v="2"/>
    <x v="12"/>
    <n v="1781.35"/>
    <n v="6397.58"/>
  </r>
  <r>
    <x v="30"/>
    <n v="2"/>
    <x v="12"/>
    <n v="1448.67"/>
    <n v="5994.15"/>
  </r>
  <r>
    <x v="31"/>
    <n v="2"/>
    <x v="12"/>
    <n v="1737.76"/>
    <n v="6452.76"/>
  </r>
  <r>
    <x v="32"/>
    <n v="2"/>
    <x v="12"/>
    <n v="1735.18"/>
    <n v="6047.37"/>
  </r>
  <r>
    <x v="33"/>
    <n v="2"/>
    <x v="12"/>
    <n v="1469.38"/>
    <n v="5949.8"/>
  </r>
  <r>
    <x v="34"/>
    <n v="2"/>
    <x v="12"/>
    <n v="1629.17"/>
    <n v="6440.46"/>
  </r>
  <r>
    <x v="35"/>
    <n v="2"/>
    <x v="12"/>
    <n v="1355.36"/>
    <n v="5755.07"/>
  </r>
  <r>
    <x v="36"/>
    <n v="2"/>
    <x v="12"/>
    <n v="2096.84"/>
    <n v="9899.33"/>
  </r>
  <r>
    <x v="37"/>
    <n v="2"/>
    <x v="12"/>
    <n v="1711.65"/>
    <n v="5628.74"/>
  </r>
  <r>
    <x v="38"/>
    <n v="2"/>
    <x v="12"/>
    <n v="1561.26"/>
    <n v="6709.02"/>
  </r>
  <r>
    <x v="39"/>
    <n v="2"/>
    <x v="12"/>
    <n v="1414.58"/>
    <n v="5834.16"/>
  </r>
  <r>
    <x v="40"/>
    <n v="2"/>
    <x v="12"/>
    <n v="1625.47"/>
    <n v="6868.03"/>
  </r>
  <r>
    <x v="41"/>
    <n v="2"/>
    <x v="12"/>
    <n v="1517.66"/>
    <n v="6509.38"/>
  </r>
  <r>
    <x v="42"/>
    <n v="2"/>
    <x v="12"/>
    <n v="1512.27"/>
    <n v="6441.61"/>
  </r>
  <r>
    <x v="43"/>
    <n v="2"/>
    <x v="12"/>
    <n v="1796.68"/>
    <n v="6807.23"/>
  </r>
  <r>
    <x v="44"/>
    <n v="2"/>
    <x v="12"/>
    <n v="1738.94"/>
    <n v="6964.69"/>
  </r>
  <r>
    <x v="45"/>
    <n v="2"/>
    <x v="12"/>
    <n v="1587.49"/>
    <n v="6738.51"/>
  </r>
  <r>
    <x v="46"/>
    <n v="2"/>
    <x v="12"/>
    <n v="1556.31"/>
    <n v="5939.06"/>
  </r>
  <r>
    <x v="47"/>
    <n v="2"/>
    <x v="12"/>
    <n v="1396.02"/>
    <n v="5709.97"/>
  </r>
  <r>
    <x v="48"/>
    <n v="2"/>
    <x v="12"/>
    <n v="2685.56"/>
    <n v="10902.7"/>
  </r>
  <r>
    <x v="49"/>
    <n v="2"/>
    <x v="12"/>
    <n v="1766.37"/>
    <n v="6118.04"/>
  </r>
  <r>
    <x v="50"/>
    <n v="2"/>
    <x v="12"/>
    <n v="1897.68"/>
    <n v="6060.27"/>
  </r>
  <r>
    <x v="51"/>
    <n v="2"/>
    <x v="12"/>
    <n v="1736.79"/>
    <n v="6403.13"/>
  </r>
  <r>
    <x v="52"/>
    <n v="2"/>
    <x v="12"/>
    <n v="1699.92"/>
    <n v="6454.29"/>
  </r>
  <r>
    <x v="53"/>
    <n v="2"/>
    <x v="12"/>
    <n v="1849.24"/>
    <n v="6846.62"/>
  </r>
  <r>
    <x v="54"/>
    <n v="2"/>
    <x v="12"/>
    <n v="1399.39"/>
    <n v="5431.4"/>
  </r>
  <r>
    <x v="55"/>
    <n v="2"/>
    <x v="12"/>
    <n v="1703.42"/>
    <n v="6854.86"/>
  </r>
  <r>
    <x v="56"/>
    <n v="2"/>
    <x v="12"/>
    <n v="1754.27"/>
    <n v="6567.78"/>
  </r>
  <r>
    <x v="57"/>
    <n v="2"/>
    <x v="12"/>
    <n v="1824.48"/>
    <n v="6908.38"/>
  </r>
  <r>
    <x v="58"/>
    <n v="2"/>
    <x v="12"/>
    <n v="2099.44"/>
    <n v="7477.94"/>
  </r>
  <r>
    <x v="59"/>
    <n v="2"/>
    <x v="12"/>
    <n v="1693.79"/>
    <n v="6202.71"/>
  </r>
  <r>
    <x v="60"/>
    <n v="2"/>
    <x v="12"/>
    <n v="1977.56"/>
    <n v="9082.26"/>
  </r>
  <r>
    <x v="61"/>
    <n v="2"/>
    <x v="12"/>
    <n v="1508.1"/>
    <n v="5926.53"/>
  </r>
  <r>
    <x v="62"/>
    <n v="2"/>
    <x v="12"/>
    <n v="1523.18"/>
    <n v="6555.23"/>
  </r>
  <r>
    <x v="63"/>
    <n v="2"/>
    <x v="12"/>
    <n v="1538.64"/>
    <n v="6058.26"/>
  </r>
  <r>
    <x v="64"/>
    <n v="2"/>
    <x v="12"/>
    <n v="1614.3"/>
    <n v="6970.5"/>
  </r>
  <r>
    <x v="65"/>
    <n v="2"/>
    <x v="12"/>
    <n v="1631.81"/>
    <n v="7117.92"/>
  </r>
  <r>
    <x v="66"/>
    <n v="2"/>
    <x v="12"/>
    <n v="1439.18"/>
    <n v="6054.14"/>
  </r>
  <r>
    <x v="67"/>
    <n v="2"/>
    <x v="12"/>
    <n v="1547.23"/>
    <n v="7113.74"/>
  </r>
  <r>
    <x v="68"/>
    <n v="2"/>
    <x v="12"/>
    <n v="1479.95"/>
    <n v="6167.64"/>
  </r>
  <r>
    <x v="69"/>
    <n v="2"/>
    <x v="12"/>
    <n v="1568.96"/>
    <n v="6657.02"/>
  </r>
  <r>
    <x v="70"/>
    <n v="2"/>
    <x v="12"/>
    <n v="1944.36"/>
    <n v="6996.43"/>
  </r>
  <r>
    <x v="71"/>
    <n v="2"/>
    <x v="12"/>
    <n v="1628.76"/>
    <n v="6862.26"/>
  </r>
  <r>
    <x v="72"/>
    <n v="2"/>
    <x v="12"/>
    <n v="807.1"/>
    <n v="218.42"/>
  </r>
  <r>
    <x v="73"/>
    <n v="2"/>
    <x v="12"/>
    <n v="614.20000000000005"/>
    <n v="148.31"/>
  </r>
  <r>
    <x v="74"/>
    <n v="2"/>
    <x v="12"/>
    <n v="645.17999999999995"/>
    <n v="167.15"/>
  </r>
  <r>
    <x v="75"/>
    <n v="2"/>
    <x v="12"/>
    <n v="586.86"/>
    <n v="144.46"/>
  </r>
  <r>
    <x v="76"/>
    <n v="2"/>
    <x v="12"/>
    <n v="607.22"/>
    <n v="138.82"/>
  </r>
  <r>
    <x v="77"/>
    <n v="2"/>
    <x v="12"/>
    <n v="547.39"/>
    <n v="120.65"/>
  </r>
  <r>
    <x v="78"/>
    <n v="2"/>
    <x v="12"/>
    <n v="562.35"/>
    <n v="139.08000000000001"/>
  </r>
  <r>
    <x v="79"/>
    <n v="2"/>
    <x v="12"/>
    <n v="637.26"/>
    <n v="259.93"/>
  </r>
  <r>
    <x v="80"/>
    <n v="2"/>
    <x v="12"/>
    <n v="634.63"/>
    <n v="174.91"/>
  </r>
  <r>
    <x v="81"/>
    <n v="2"/>
    <x v="12"/>
    <n v="603.74"/>
    <n v="126.65"/>
  </r>
  <r>
    <x v="82"/>
    <n v="2"/>
    <x v="12"/>
    <n v="777.37"/>
    <n v="201.81"/>
  </r>
  <r>
    <x v="83"/>
    <n v="2"/>
    <x v="12"/>
    <n v="666.81"/>
    <n v="138.76"/>
  </r>
  <r>
    <x v="84"/>
    <n v="2"/>
    <x v="12"/>
    <n v="1101.58"/>
    <n v="300.49"/>
  </r>
  <r>
    <x v="85"/>
    <n v="2"/>
    <x v="12"/>
    <n v="986.29"/>
    <n v="257.76"/>
  </r>
  <r>
    <x v="86"/>
    <n v="2"/>
    <x v="12"/>
    <n v="1031.3399999999999"/>
    <n v="323.18"/>
  </r>
  <r>
    <x v="87"/>
    <n v="2"/>
    <x v="12"/>
    <n v="817.47"/>
    <n v="248.5"/>
  </r>
  <r>
    <x v="88"/>
    <n v="2"/>
    <x v="12"/>
    <n v="708.54"/>
    <n v="183.24"/>
  </r>
  <r>
    <x v="89"/>
    <n v="2"/>
    <x v="12"/>
    <n v="768.01"/>
    <n v="181.86"/>
  </r>
  <r>
    <x v="90"/>
    <n v="2"/>
    <x v="12"/>
    <n v="641.51"/>
    <n v="132.29"/>
  </r>
  <r>
    <x v="91"/>
    <n v="2"/>
    <x v="12"/>
    <n v="589.65"/>
    <n v="132.83000000000001"/>
  </r>
  <r>
    <x v="92"/>
    <n v="2"/>
    <x v="12"/>
    <n v="678.83"/>
    <n v="174.71"/>
  </r>
  <r>
    <x v="93"/>
    <n v="2"/>
    <x v="12"/>
    <n v="842.58"/>
    <n v="242.31"/>
  </r>
  <r>
    <x v="94"/>
    <n v="2"/>
    <x v="12"/>
    <n v="765.53"/>
    <n v="169.48"/>
  </r>
  <r>
    <x v="95"/>
    <n v="2"/>
    <x v="12"/>
    <n v="842.13"/>
    <n v="213.42"/>
  </r>
  <r>
    <x v="0"/>
    <n v="2"/>
    <x v="13"/>
    <n v="1915.88"/>
    <n v="9320.93"/>
  </r>
  <r>
    <x v="1"/>
    <n v="2"/>
    <x v="13"/>
    <n v="1558.05"/>
    <n v="6010.68"/>
  </r>
  <r>
    <x v="2"/>
    <n v="2"/>
    <x v="13"/>
    <n v="1416.09"/>
    <n v="6052.17"/>
  </r>
  <r>
    <x v="3"/>
    <n v="2"/>
    <x v="13"/>
    <n v="1417.2"/>
    <n v="6176.5"/>
  </r>
  <r>
    <x v="4"/>
    <n v="2"/>
    <x v="13"/>
    <n v="1452"/>
    <n v="6212.18"/>
  </r>
  <r>
    <x v="5"/>
    <n v="2"/>
    <x v="13"/>
    <n v="1440.45"/>
    <n v="6306.46"/>
  </r>
  <r>
    <x v="6"/>
    <n v="2"/>
    <x v="13"/>
    <n v="1335.04"/>
    <n v="5614.45"/>
  </r>
  <r>
    <x v="7"/>
    <n v="2"/>
    <x v="13"/>
    <n v="1470.39"/>
    <n v="6657.71"/>
  </r>
  <r>
    <x v="8"/>
    <n v="2"/>
    <x v="13"/>
    <n v="1533.45"/>
    <n v="6457.63"/>
  </r>
  <r>
    <x v="9"/>
    <n v="2"/>
    <x v="13"/>
    <n v="1451.01"/>
    <n v="6261.93"/>
  </r>
  <r>
    <x v="10"/>
    <n v="2"/>
    <x v="13"/>
    <n v="1458.35"/>
    <n v="6068.39"/>
  </r>
  <r>
    <x v="11"/>
    <n v="2"/>
    <x v="13"/>
    <n v="2705.57"/>
    <n v="7380.66"/>
  </r>
  <r>
    <x v="12"/>
    <n v="2"/>
    <x v="13"/>
    <n v="3519.74"/>
    <n v="9138.0400000000009"/>
  </r>
  <r>
    <x v="13"/>
    <n v="2"/>
    <x v="13"/>
    <n v="1907.68"/>
    <n v="5693.87"/>
  </r>
  <r>
    <x v="14"/>
    <n v="2"/>
    <x v="13"/>
    <n v="1942.59"/>
    <n v="6011.47"/>
  </r>
  <r>
    <x v="15"/>
    <n v="2"/>
    <x v="13"/>
    <n v="2051.1799999999998"/>
    <n v="6197.66"/>
  </r>
  <r>
    <x v="16"/>
    <n v="2"/>
    <x v="13"/>
    <n v="2000.58"/>
    <n v="6237.18"/>
  </r>
  <r>
    <x v="17"/>
    <n v="2"/>
    <x v="13"/>
    <n v="2220.7600000000002"/>
    <n v="5974.3"/>
  </r>
  <r>
    <x v="18"/>
    <n v="2"/>
    <x v="13"/>
    <n v="2073.83"/>
    <n v="5594"/>
  </r>
  <r>
    <x v="19"/>
    <n v="2"/>
    <x v="13"/>
    <n v="2308.13"/>
    <n v="6272.04"/>
  </r>
  <r>
    <x v="20"/>
    <n v="2"/>
    <x v="13"/>
    <n v="2366.2399999999998"/>
    <n v="6512.9"/>
  </r>
  <r>
    <x v="21"/>
    <n v="2"/>
    <x v="13"/>
    <n v="2327.5500000000002"/>
    <n v="6155.28"/>
  </r>
  <r>
    <x v="22"/>
    <n v="2"/>
    <x v="13"/>
    <n v="2255.08"/>
    <n v="5814.75"/>
  </r>
  <r>
    <x v="23"/>
    <n v="2"/>
    <x v="13"/>
    <n v="2342.21"/>
    <n v="5753.78"/>
  </r>
  <r>
    <x v="24"/>
    <n v="2"/>
    <x v="13"/>
    <n v="1990.08"/>
    <n v="9586.49"/>
  </r>
  <r>
    <x v="25"/>
    <n v="2"/>
    <x v="13"/>
    <n v="1607.11"/>
    <n v="5792.52"/>
  </r>
  <r>
    <x v="26"/>
    <n v="2"/>
    <x v="13"/>
    <n v="1476.01"/>
    <n v="5679.34"/>
  </r>
  <r>
    <x v="27"/>
    <n v="2"/>
    <x v="13"/>
    <n v="1551.53"/>
    <n v="5983.74"/>
  </r>
  <r>
    <x v="28"/>
    <n v="2"/>
    <x v="13"/>
    <n v="1351.83"/>
    <n v="5906.94"/>
  </r>
  <r>
    <x v="29"/>
    <n v="2"/>
    <x v="13"/>
    <n v="1786.82"/>
    <n v="6396.45"/>
  </r>
  <r>
    <x v="30"/>
    <n v="2"/>
    <x v="13"/>
    <n v="1455.79"/>
    <n v="5994.05"/>
  </r>
  <r>
    <x v="31"/>
    <n v="2"/>
    <x v="13"/>
    <n v="1743.87"/>
    <n v="6450.99"/>
  </r>
  <r>
    <x v="32"/>
    <n v="2"/>
    <x v="13"/>
    <n v="1742.7"/>
    <n v="6045.21"/>
  </r>
  <r>
    <x v="33"/>
    <n v="2"/>
    <x v="13"/>
    <n v="1475.29"/>
    <n v="5948.7"/>
  </r>
  <r>
    <x v="34"/>
    <n v="2"/>
    <x v="13"/>
    <n v="1635.84"/>
    <n v="6437.02"/>
  </r>
  <r>
    <x v="35"/>
    <n v="2"/>
    <x v="13"/>
    <n v="1360.96"/>
    <n v="5748.4"/>
  </r>
  <r>
    <x v="36"/>
    <n v="2"/>
    <x v="13"/>
    <n v="2105.21"/>
    <n v="9905.32"/>
  </r>
  <r>
    <x v="37"/>
    <n v="2"/>
    <x v="13"/>
    <n v="1711.88"/>
    <n v="5628.51"/>
  </r>
  <r>
    <x v="38"/>
    <n v="2"/>
    <x v="13"/>
    <n v="1566.26"/>
    <n v="6710.47"/>
  </r>
  <r>
    <x v="39"/>
    <n v="2"/>
    <x v="13"/>
    <n v="1420.06"/>
    <n v="5838"/>
  </r>
  <r>
    <x v="40"/>
    <n v="2"/>
    <x v="13"/>
    <n v="1632.63"/>
    <n v="6868.19"/>
  </r>
  <r>
    <x v="41"/>
    <n v="2"/>
    <x v="13"/>
    <n v="1522.57"/>
    <n v="6510.25"/>
  </r>
  <r>
    <x v="42"/>
    <n v="2"/>
    <x v="13"/>
    <n v="1519.02"/>
    <n v="6443.29"/>
  </r>
  <r>
    <x v="43"/>
    <n v="2"/>
    <x v="13"/>
    <n v="1802.39"/>
    <n v="6804.45"/>
  </r>
  <r>
    <x v="44"/>
    <n v="2"/>
    <x v="13"/>
    <n v="1743.93"/>
    <n v="6966.15"/>
  </r>
  <r>
    <x v="45"/>
    <n v="2"/>
    <x v="13"/>
    <n v="1592.58"/>
    <n v="6738.72"/>
  </r>
  <r>
    <x v="46"/>
    <n v="2"/>
    <x v="13"/>
    <n v="1559.93"/>
    <n v="5937.32"/>
  </r>
  <r>
    <x v="47"/>
    <n v="2"/>
    <x v="13"/>
    <n v="1399.76"/>
    <n v="5704.45"/>
  </r>
  <r>
    <x v="48"/>
    <n v="2"/>
    <x v="13"/>
    <n v="2694.04"/>
    <n v="10899.85"/>
  </r>
  <r>
    <x v="49"/>
    <n v="2"/>
    <x v="13"/>
    <n v="1773.1"/>
    <n v="6121.62"/>
  </r>
  <r>
    <x v="50"/>
    <n v="2"/>
    <x v="13"/>
    <n v="1902.88"/>
    <n v="6065.02"/>
  </r>
  <r>
    <x v="51"/>
    <n v="2"/>
    <x v="13"/>
    <n v="1743.28"/>
    <n v="6407.4"/>
  </r>
  <r>
    <x v="52"/>
    <n v="2"/>
    <x v="13"/>
    <n v="1705.24"/>
    <n v="6456.99"/>
  </r>
  <r>
    <x v="53"/>
    <n v="2"/>
    <x v="13"/>
    <n v="1857.23"/>
    <n v="6850.12"/>
  </r>
  <r>
    <x v="54"/>
    <n v="2"/>
    <x v="13"/>
    <n v="1406.57"/>
    <n v="5435.19"/>
  </r>
  <r>
    <x v="55"/>
    <n v="2"/>
    <x v="13"/>
    <n v="1710.32"/>
    <n v="6859.89"/>
  </r>
  <r>
    <x v="56"/>
    <n v="2"/>
    <x v="13"/>
    <n v="1759.73"/>
    <n v="6569.94"/>
  </r>
  <r>
    <x v="57"/>
    <n v="2"/>
    <x v="13"/>
    <n v="1831.48"/>
    <n v="6910.68"/>
  </r>
  <r>
    <x v="58"/>
    <n v="2"/>
    <x v="13"/>
    <n v="2102"/>
    <n v="7478.66"/>
  </r>
  <r>
    <x v="59"/>
    <n v="2"/>
    <x v="13"/>
    <n v="1695.83"/>
    <n v="6195.68"/>
  </r>
  <r>
    <x v="60"/>
    <n v="2"/>
    <x v="13"/>
    <n v="1983.29"/>
    <n v="9076.8700000000008"/>
  </r>
  <r>
    <x v="61"/>
    <n v="2"/>
    <x v="13"/>
    <n v="1513.38"/>
    <n v="5928.44"/>
  </r>
  <r>
    <x v="62"/>
    <n v="2"/>
    <x v="13"/>
    <n v="1529.82"/>
    <n v="6556.55"/>
  </r>
  <r>
    <x v="63"/>
    <n v="2"/>
    <x v="13"/>
    <n v="1544.92"/>
    <n v="6063.16"/>
  </r>
  <r>
    <x v="64"/>
    <n v="2"/>
    <x v="13"/>
    <n v="1620.14"/>
    <n v="6975.05"/>
  </r>
  <r>
    <x v="65"/>
    <n v="2"/>
    <x v="13"/>
    <n v="1638.56"/>
    <n v="7118.01"/>
  </r>
  <r>
    <x v="66"/>
    <n v="2"/>
    <x v="13"/>
    <n v="1445.96"/>
    <n v="6058.05"/>
  </r>
  <r>
    <x v="67"/>
    <n v="2"/>
    <x v="13"/>
    <n v="1553.99"/>
    <n v="7115.7"/>
  </r>
  <r>
    <x v="68"/>
    <n v="2"/>
    <x v="13"/>
    <n v="1486.34"/>
    <n v="6171.27"/>
  </r>
  <r>
    <x v="69"/>
    <n v="2"/>
    <x v="13"/>
    <n v="1575.7"/>
    <n v="6660.18"/>
  </r>
  <r>
    <x v="70"/>
    <n v="2"/>
    <x v="13"/>
    <n v="1947.25"/>
    <n v="6996.65"/>
  </r>
  <r>
    <x v="71"/>
    <n v="2"/>
    <x v="13"/>
    <n v="1635.88"/>
    <n v="6867.32"/>
  </r>
  <r>
    <x v="72"/>
    <n v="2"/>
    <x v="13"/>
    <n v="810.6"/>
    <n v="217.25"/>
  </r>
  <r>
    <x v="73"/>
    <n v="2"/>
    <x v="13"/>
    <n v="618.24"/>
    <n v="149.69"/>
  </r>
  <r>
    <x v="74"/>
    <n v="2"/>
    <x v="13"/>
    <n v="649.96"/>
    <n v="167.99"/>
  </r>
  <r>
    <x v="75"/>
    <n v="2"/>
    <x v="13"/>
    <n v="591.9"/>
    <n v="145.33000000000001"/>
  </r>
  <r>
    <x v="76"/>
    <n v="2"/>
    <x v="13"/>
    <n v="611.30999999999995"/>
    <n v="139"/>
  </r>
  <r>
    <x v="77"/>
    <n v="2"/>
    <x v="13"/>
    <n v="550.94000000000005"/>
    <n v="121.22"/>
  </r>
  <r>
    <x v="78"/>
    <n v="2"/>
    <x v="13"/>
    <n v="566.59"/>
    <n v="139.37"/>
  </r>
  <r>
    <x v="79"/>
    <n v="2"/>
    <x v="13"/>
    <n v="641.78"/>
    <n v="262.93"/>
  </r>
  <r>
    <x v="80"/>
    <n v="2"/>
    <x v="13"/>
    <n v="636.66999999999996"/>
    <n v="175.02"/>
  </r>
  <r>
    <x v="81"/>
    <n v="2"/>
    <x v="13"/>
    <n v="607.35"/>
    <n v="126.53"/>
  </r>
  <r>
    <x v="82"/>
    <n v="2"/>
    <x v="13"/>
    <n v="778.1"/>
    <n v="201.73"/>
  </r>
  <r>
    <x v="83"/>
    <n v="2"/>
    <x v="13"/>
    <n v="671.88"/>
    <n v="139.37"/>
  </r>
  <r>
    <x v="84"/>
    <n v="2"/>
    <x v="13"/>
    <n v="1104.26"/>
    <n v="300.27"/>
  </r>
  <r>
    <x v="85"/>
    <n v="2"/>
    <x v="13"/>
    <n v="990.42"/>
    <n v="257.52"/>
  </r>
  <r>
    <x v="86"/>
    <n v="2"/>
    <x v="13"/>
    <n v="1036.4100000000001"/>
    <n v="323.42"/>
  </r>
  <r>
    <x v="87"/>
    <n v="2"/>
    <x v="13"/>
    <n v="821.76"/>
    <n v="248.51"/>
  </r>
  <r>
    <x v="88"/>
    <n v="2"/>
    <x v="13"/>
    <n v="716.59"/>
    <n v="183.54"/>
  </r>
  <r>
    <x v="89"/>
    <n v="2"/>
    <x v="13"/>
    <n v="778.14"/>
    <n v="186.02"/>
  </r>
  <r>
    <x v="90"/>
    <n v="2"/>
    <x v="13"/>
    <n v="648.95000000000005"/>
    <n v="133.12"/>
  </r>
  <r>
    <x v="91"/>
    <n v="2"/>
    <x v="13"/>
    <n v="595.41"/>
    <n v="133.68"/>
  </r>
  <r>
    <x v="92"/>
    <n v="2"/>
    <x v="13"/>
    <n v="683.15"/>
    <n v="175.39"/>
  </r>
  <r>
    <x v="93"/>
    <n v="2"/>
    <x v="13"/>
    <n v="846.56"/>
    <n v="242.28"/>
  </r>
  <r>
    <x v="94"/>
    <n v="2"/>
    <x v="13"/>
    <n v="767.91"/>
    <n v="169.34"/>
  </r>
  <r>
    <x v="95"/>
    <n v="2"/>
    <x v="13"/>
    <n v="846.95"/>
    <n v="212.61"/>
  </r>
  <r>
    <x v="0"/>
    <n v="2"/>
    <x v="14"/>
    <n v="1939.62"/>
    <n v="9320.02"/>
  </r>
  <r>
    <x v="1"/>
    <n v="2"/>
    <x v="14"/>
    <n v="1573.25"/>
    <n v="6012.81"/>
  </r>
  <r>
    <x v="2"/>
    <n v="2"/>
    <x v="14"/>
    <n v="1430.25"/>
    <n v="6055.4"/>
  </r>
  <r>
    <x v="3"/>
    <n v="2"/>
    <x v="14"/>
    <n v="1432.37"/>
    <n v="6185.06"/>
  </r>
  <r>
    <x v="4"/>
    <n v="2"/>
    <x v="14"/>
    <n v="1467.03"/>
    <n v="6219.02"/>
  </r>
  <r>
    <x v="5"/>
    <n v="2"/>
    <x v="14"/>
    <n v="1456.28"/>
    <n v="6311.64"/>
  </r>
  <r>
    <x v="6"/>
    <n v="2"/>
    <x v="14"/>
    <n v="1352.49"/>
    <n v="5617.51"/>
  </r>
  <r>
    <x v="7"/>
    <n v="2"/>
    <x v="14"/>
    <n v="1487.99"/>
    <n v="6663.63"/>
  </r>
  <r>
    <x v="8"/>
    <n v="2"/>
    <x v="14"/>
    <n v="1550.43"/>
    <n v="6459.77"/>
  </r>
  <r>
    <x v="9"/>
    <n v="2"/>
    <x v="14"/>
    <n v="1467.97"/>
    <n v="6262.16"/>
  </r>
  <r>
    <x v="10"/>
    <n v="2"/>
    <x v="14"/>
    <n v="1475.28"/>
    <n v="6067.03"/>
  </r>
  <r>
    <x v="11"/>
    <n v="2"/>
    <x v="14"/>
    <n v="2737.74"/>
    <n v="7468.91"/>
  </r>
  <r>
    <x v="12"/>
    <n v="2"/>
    <x v="14"/>
    <n v="4395.8100000000004"/>
    <n v="9154.58"/>
  </r>
  <r>
    <x v="13"/>
    <n v="2"/>
    <x v="14"/>
    <n v="2266.36"/>
    <n v="5696.21"/>
  </r>
  <r>
    <x v="14"/>
    <n v="2"/>
    <x v="14"/>
    <n v="2340.4699999999998"/>
    <n v="6013.34"/>
  </r>
  <r>
    <x v="15"/>
    <n v="2"/>
    <x v="14"/>
    <n v="2457.6799999999998"/>
    <n v="6199.8"/>
  </r>
  <r>
    <x v="16"/>
    <n v="2"/>
    <x v="14"/>
    <n v="2425.3200000000002"/>
    <n v="6239.44"/>
  </r>
  <r>
    <x v="17"/>
    <n v="2"/>
    <x v="14"/>
    <n v="2646.71"/>
    <n v="5974.31"/>
  </r>
  <r>
    <x v="18"/>
    <n v="2"/>
    <x v="14"/>
    <n v="2494.5500000000002"/>
    <n v="5594.15"/>
  </r>
  <r>
    <x v="19"/>
    <n v="2"/>
    <x v="14"/>
    <n v="2759.01"/>
    <n v="6271.92"/>
  </r>
  <r>
    <x v="20"/>
    <n v="2"/>
    <x v="14"/>
    <n v="2857.19"/>
    <n v="6512.86"/>
  </r>
  <r>
    <x v="21"/>
    <n v="2"/>
    <x v="14"/>
    <n v="2826.71"/>
    <n v="6157.85"/>
  </r>
  <r>
    <x v="22"/>
    <n v="2"/>
    <x v="14"/>
    <n v="2762.87"/>
    <n v="5816.44"/>
  </r>
  <r>
    <x v="23"/>
    <n v="2"/>
    <x v="14"/>
    <n v="2905.21"/>
    <n v="5759.07"/>
  </r>
  <r>
    <x v="24"/>
    <n v="2"/>
    <x v="14"/>
    <n v="2006.76"/>
    <n v="9593.85"/>
  </r>
  <r>
    <x v="25"/>
    <n v="2"/>
    <x v="14"/>
    <n v="1615.65"/>
    <n v="5792.27"/>
  </r>
  <r>
    <x v="26"/>
    <n v="2"/>
    <x v="14"/>
    <n v="1484.89"/>
    <n v="5681.49"/>
  </r>
  <r>
    <x v="27"/>
    <n v="2"/>
    <x v="14"/>
    <n v="1562.45"/>
    <n v="5983.95"/>
  </r>
  <r>
    <x v="28"/>
    <n v="2"/>
    <x v="14"/>
    <n v="1361.17"/>
    <n v="5906.8"/>
  </r>
  <r>
    <x v="29"/>
    <n v="2"/>
    <x v="14"/>
    <n v="1795.91"/>
    <n v="6395.7"/>
  </r>
  <r>
    <x v="30"/>
    <n v="2"/>
    <x v="14"/>
    <n v="1466.08"/>
    <n v="5993.1"/>
  </r>
  <r>
    <x v="31"/>
    <n v="2"/>
    <x v="14"/>
    <n v="1754.1"/>
    <n v="6448.7"/>
  </r>
  <r>
    <x v="32"/>
    <n v="2"/>
    <x v="14"/>
    <n v="1751.69"/>
    <n v="6041.89"/>
  </r>
  <r>
    <x v="33"/>
    <n v="2"/>
    <x v="14"/>
    <n v="1485.1"/>
    <n v="5947.85"/>
  </r>
  <r>
    <x v="34"/>
    <n v="2"/>
    <x v="14"/>
    <n v="1646.26"/>
    <n v="6435.11"/>
  </r>
  <r>
    <x v="35"/>
    <n v="2"/>
    <x v="14"/>
    <n v="1369.4"/>
    <n v="5740.1"/>
  </r>
  <r>
    <x v="36"/>
    <n v="2"/>
    <x v="14"/>
    <n v="2117.42"/>
    <n v="9912.36"/>
  </r>
  <r>
    <x v="37"/>
    <n v="2"/>
    <x v="14"/>
    <n v="1715.24"/>
    <n v="5628.21"/>
  </r>
  <r>
    <x v="38"/>
    <n v="2"/>
    <x v="14"/>
    <n v="1574.37"/>
    <n v="6710.58"/>
  </r>
  <r>
    <x v="39"/>
    <n v="2"/>
    <x v="14"/>
    <n v="1426.87"/>
    <n v="5840.12"/>
  </r>
  <r>
    <x v="40"/>
    <n v="2"/>
    <x v="14"/>
    <n v="1638.89"/>
    <n v="6866.54"/>
  </r>
  <r>
    <x v="41"/>
    <n v="2"/>
    <x v="14"/>
    <n v="1530.12"/>
    <n v="6510.18"/>
  </r>
  <r>
    <x v="42"/>
    <n v="2"/>
    <x v="14"/>
    <n v="1526.19"/>
    <n v="6443.65"/>
  </r>
  <r>
    <x v="43"/>
    <n v="2"/>
    <x v="14"/>
    <n v="1809.4"/>
    <n v="6801.27"/>
  </r>
  <r>
    <x v="44"/>
    <n v="2"/>
    <x v="14"/>
    <n v="1750.76"/>
    <n v="6965.39"/>
  </r>
  <r>
    <x v="45"/>
    <n v="2"/>
    <x v="14"/>
    <n v="1598.39"/>
    <n v="6738.33"/>
  </r>
  <r>
    <x v="46"/>
    <n v="2"/>
    <x v="14"/>
    <n v="1565.02"/>
    <n v="5934.78"/>
  </r>
  <r>
    <x v="47"/>
    <n v="2"/>
    <x v="14"/>
    <n v="1403.92"/>
    <n v="5695.71"/>
  </r>
  <r>
    <x v="48"/>
    <n v="2"/>
    <x v="14"/>
    <n v="2705.27"/>
    <n v="10895.05"/>
  </r>
  <r>
    <x v="49"/>
    <n v="2"/>
    <x v="14"/>
    <n v="1781.76"/>
    <n v="6126.21"/>
  </r>
  <r>
    <x v="50"/>
    <n v="2"/>
    <x v="14"/>
    <n v="1909.36"/>
    <n v="6070.79"/>
  </r>
  <r>
    <x v="51"/>
    <n v="2"/>
    <x v="14"/>
    <n v="1750.87"/>
    <n v="6410.89"/>
  </r>
  <r>
    <x v="52"/>
    <n v="2"/>
    <x v="14"/>
    <n v="1712.43"/>
    <n v="6456.94"/>
  </r>
  <r>
    <x v="53"/>
    <n v="2"/>
    <x v="14"/>
    <n v="1866.19"/>
    <n v="6850.17"/>
  </r>
  <r>
    <x v="54"/>
    <n v="2"/>
    <x v="14"/>
    <n v="1413.39"/>
    <n v="5437.44"/>
  </r>
  <r>
    <x v="55"/>
    <n v="2"/>
    <x v="14"/>
    <n v="1718.74"/>
    <n v="6865.98"/>
  </r>
  <r>
    <x v="56"/>
    <n v="2"/>
    <x v="14"/>
    <n v="1766.53"/>
    <n v="6570.33"/>
  </r>
  <r>
    <x v="57"/>
    <n v="2"/>
    <x v="14"/>
    <n v="1838.16"/>
    <n v="6914.64"/>
  </r>
  <r>
    <x v="58"/>
    <n v="2"/>
    <x v="14"/>
    <n v="2106.94"/>
    <n v="7481.21"/>
  </r>
  <r>
    <x v="59"/>
    <n v="2"/>
    <x v="14"/>
    <n v="1701.08"/>
    <n v="6190.71"/>
  </r>
  <r>
    <x v="60"/>
    <n v="2"/>
    <x v="14"/>
    <n v="1991.67"/>
    <n v="9072.64"/>
  </r>
  <r>
    <x v="61"/>
    <n v="2"/>
    <x v="14"/>
    <n v="1520.19"/>
    <n v="5929.68"/>
  </r>
  <r>
    <x v="62"/>
    <n v="2"/>
    <x v="14"/>
    <n v="1536.76"/>
    <n v="6557.01"/>
  </r>
  <r>
    <x v="63"/>
    <n v="2"/>
    <x v="14"/>
    <n v="1552.01"/>
    <n v="6065.32"/>
  </r>
  <r>
    <x v="64"/>
    <n v="2"/>
    <x v="14"/>
    <n v="1627.75"/>
    <n v="6977.55"/>
  </r>
  <r>
    <x v="65"/>
    <n v="2"/>
    <x v="14"/>
    <n v="1645.52"/>
    <n v="7117.15"/>
  </r>
  <r>
    <x v="66"/>
    <n v="2"/>
    <x v="14"/>
    <n v="1453"/>
    <n v="6062.24"/>
  </r>
  <r>
    <x v="67"/>
    <n v="2"/>
    <x v="14"/>
    <n v="1562.49"/>
    <n v="7116.29"/>
  </r>
  <r>
    <x v="68"/>
    <n v="2"/>
    <x v="14"/>
    <n v="1493.58"/>
    <n v="6176.36"/>
  </r>
  <r>
    <x v="69"/>
    <n v="2"/>
    <x v="14"/>
    <n v="1584.12"/>
    <n v="6659.05"/>
  </r>
  <r>
    <x v="70"/>
    <n v="2"/>
    <x v="14"/>
    <n v="1952.21"/>
    <n v="6997.19"/>
  </r>
  <r>
    <x v="71"/>
    <n v="2"/>
    <x v="14"/>
    <n v="1643.2"/>
    <n v="6872.63"/>
  </r>
  <r>
    <x v="72"/>
    <n v="2"/>
    <x v="14"/>
    <n v="813.3"/>
    <n v="217.34"/>
  </r>
  <r>
    <x v="73"/>
    <n v="2"/>
    <x v="14"/>
    <n v="623.25"/>
    <n v="150.16"/>
  </r>
  <r>
    <x v="74"/>
    <n v="2"/>
    <x v="14"/>
    <n v="655.12"/>
    <n v="169.8"/>
  </r>
  <r>
    <x v="75"/>
    <n v="2"/>
    <x v="14"/>
    <n v="597"/>
    <n v="146.22999999999999"/>
  </r>
  <r>
    <x v="76"/>
    <n v="2"/>
    <x v="14"/>
    <n v="615.61"/>
    <n v="140.44"/>
  </r>
  <r>
    <x v="77"/>
    <n v="2"/>
    <x v="14"/>
    <n v="555.11"/>
    <n v="122.12"/>
  </r>
  <r>
    <x v="78"/>
    <n v="2"/>
    <x v="14"/>
    <n v="571.69000000000005"/>
    <n v="141.38"/>
  </r>
  <r>
    <x v="79"/>
    <n v="2"/>
    <x v="14"/>
    <n v="646.91"/>
    <n v="266.25"/>
  </r>
  <r>
    <x v="80"/>
    <n v="2"/>
    <x v="14"/>
    <n v="640.5"/>
    <n v="175.88"/>
  </r>
  <r>
    <x v="81"/>
    <n v="2"/>
    <x v="14"/>
    <n v="612.23"/>
    <n v="128.01"/>
  </r>
  <r>
    <x v="82"/>
    <n v="2"/>
    <x v="14"/>
    <n v="780.22"/>
    <n v="201.71"/>
  </r>
  <r>
    <x v="83"/>
    <n v="2"/>
    <x v="14"/>
    <n v="678.58"/>
    <n v="140.04"/>
  </r>
  <r>
    <x v="84"/>
    <n v="2"/>
    <x v="14"/>
    <n v="1108.6500000000001"/>
    <n v="300.24"/>
  </r>
  <r>
    <x v="85"/>
    <n v="2"/>
    <x v="14"/>
    <n v="994.59"/>
    <n v="257.39"/>
  </r>
  <r>
    <x v="86"/>
    <n v="2"/>
    <x v="14"/>
    <n v="1041.6199999999999"/>
    <n v="323.57"/>
  </r>
  <r>
    <x v="87"/>
    <n v="2"/>
    <x v="14"/>
    <n v="826.01"/>
    <n v="248.46"/>
  </r>
  <r>
    <x v="88"/>
    <n v="2"/>
    <x v="14"/>
    <n v="725.41"/>
    <n v="184.83"/>
  </r>
  <r>
    <x v="89"/>
    <n v="2"/>
    <x v="14"/>
    <n v="788.18"/>
    <n v="189.29"/>
  </r>
  <r>
    <x v="90"/>
    <n v="2"/>
    <x v="14"/>
    <n v="657.66"/>
    <n v="133.43"/>
  </r>
  <r>
    <x v="91"/>
    <n v="2"/>
    <x v="14"/>
    <n v="602.32000000000005"/>
    <n v="135.47"/>
  </r>
  <r>
    <x v="92"/>
    <n v="2"/>
    <x v="14"/>
    <n v="687.74"/>
    <n v="176.74"/>
  </r>
  <r>
    <x v="93"/>
    <n v="2"/>
    <x v="14"/>
    <n v="850.74"/>
    <n v="242.12"/>
  </r>
  <r>
    <x v="94"/>
    <n v="2"/>
    <x v="14"/>
    <n v="772.93"/>
    <n v="168.57"/>
  </r>
  <r>
    <x v="95"/>
    <n v="2"/>
    <x v="14"/>
    <n v="851.8"/>
    <n v="212.05"/>
  </r>
  <r>
    <x v="0"/>
    <n v="2"/>
    <x v="15"/>
    <n v="1979.88"/>
    <n v="9319.66"/>
  </r>
  <r>
    <x v="1"/>
    <n v="2"/>
    <x v="15"/>
    <n v="1595.58"/>
    <n v="6014.56"/>
  </r>
  <r>
    <x v="2"/>
    <n v="2"/>
    <x v="15"/>
    <n v="1453.05"/>
    <n v="6057.16"/>
  </r>
  <r>
    <x v="3"/>
    <n v="2"/>
    <x v="15"/>
    <n v="1454.59"/>
    <n v="6190.97"/>
  </r>
  <r>
    <x v="4"/>
    <n v="2"/>
    <x v="15"/>
    <n v="1489.09"/>
    <n v="6223.09"/>
  </r>
  <r>
    <x v="5"/>
    <n v="2"/>
    <x v="15"/>
    <n v="1480.63"/>
    <n v="6316.74"/>
  </r>
  <r>
    <x v="6"/>
    <n v="2"/>
    <x v="15"/>
    <n v="1374.88"/>
    <n v="5621.04"/>
  </r>
  <r>
    <x v="7"/>
    <n v="2"/>
    <x v="15"/>
    <n v="1512.11"/>
    <n v="6667.77"/>
  </r>
  <r>
    <x v="8"/>
    <n v="2"/>
    <x v="15"/>
    <n v="1575.99"/>
    <n v="6461.85"/>
  </r>
  <r>
    <x v="9"/>
    <n v="2"/>
    <x v="15"/>
    <n v="1494.04"/>
    <n v="6263.44"/>
  </r>
  <r>
    <x v="10"/>
    <n v="2"/>
    <x v="15"/>
    <n v="1501.93"/>
    <n v="6063.8"/>
  </r>
  <r>
    <x v="11"/>
    <n v="2"/>
    <x v="15"/>
    <n v="2786.52"/>
    <n v="7562.04"/>
  </r>
  <r>
    <x v="12"/>
    <n v="2"/>
    <x v="15"/>
    <n v="5734.48"/>
    <n v="9175.35"/>
  </r>
  <r>
    <x v="13"/>
    <n v="2"/>
    <x v="15"/>
    <n v="2869.06"/>
    <n v="5699.77"/>
  </r>
  <r>
    <x v="14"/>
    <n v="2"/>
    <x v="15"/>
    <n v="2989.21"/>
    <n v="6017.81"/>
  </r>
  <r>
    <x v="15"/>
    <n v="2"/>
    <x v="15"/>
    <n v="3138.43"/>
    <n v="6205.01"/>
  </r>
  <r>
    <x v="16"/>
    <n v="2"/>
    <x v="15"/>
    <n v="3126.18"/>
    <n v="6242.58"/>
  </r>
  <r>
    <x v="17"/>
    <n v="2"/>
    <x v="15"/>
    <n v="3350.35"/>
    <n v="5978.06"/>
  </r>
  <r>
    <x v="18"/>
    <n v="2"/>
    <x v="15"/>
    <n v="3166"/>
    <n v="5597.88"/>
  </r>
  <r>
    <x v="19"/>
    <n v="2"/>
    <x v="15"/>
    <n v="3502.2"/>
    <n v="6274.78"/>
  </r>
  <r>
    <x v="20"/>
    <n v="2"/>
    <x v="15"/>
    <n v="3656.13"/>
    <n v="6514.79"/>
  </r>
  <r>
    <x v="21"/>
    <n v="2"/>
    <x v="15"/>
    <n v="3630.33"/>
    <n v="6162.32"/>
  </r>
  <r>
    <x v="22"/>
    <n v="2"/>
    <x v="15"/>
    <n v="3564.94"/>
    <n v="5821.1"/>
  </r>
  <r>
    <x v="23"/>
    <n v="2"/>
    <x v="15"/>
    <n v="3803.88"/>
    <n v="5764.86"/>
  </r>
  <r>
    <x v="24"/>
    <n v="2"/>
    <x v="15"/>
    <n v="2029.36"/>
    <n v="9602.89"/>
  </r>
  <r>
    <x v="25"/>
    <n v="2"/>
    <x v="15"/>
    <n v="1627.72"/>
    <n v="5794.1"/>
  </r>
  <r>
    <x v="26"/>
    <n v="2"/>
    <x v="15"/>
    <n v="1497.13"/>
    <n v="5683.31"/>
  </r>
  <r>
    <x v="27"/>
    <n v="2"/>
    <x v="15"/>
    <n v="1576.32"/>
    <n v="5986.01"/>
  </r>
  <r>
    <x v="28"/>
    <n v="2"/>
    <x v="15"/>
    <n v="1374.67"/>
    <n v="5906.12"/>
  </r>
  <r>
    <x v="29"/>
    <n v="2"/>
    <x v="15"/>
    <n v="1809.35"/>
    <n v="6394.38"/>
  </r>
  <r>
    <x v="30"/>
    <n v="2"/>
    <x v="15"/>
    <n v="1479.7"/>
    <n v="5991.77"/>
  </r>
  <r>
    <x v="31"/>
    <n v="2"/>
    <x v="15"/>
    <n v="1768.08"/>
    <n v="6446.76"/>
  </r>
  <r>
    <x v="32"/>
    <n v="2"/>
    <x v="15"/>
    <n v="1765.48"/>
    <n v="6039.6"/>
  </r>
  <r>
    <x v="33"/>
    <n v="2"/>
    <x v="15"/>
    <n v="1499.15"/>
    <n v="5945.47"/>
  </r>
  <r>
    <x v="34"/>
    <n v="2"/>
    <x v="15"/>
    <n v="1660.91"/>
    <n v="6432.97"/>
  </r>
  <r>
    <x v="35"/>
    <n v="2"/>
    <x v="15"/>
    <n v="1380.46"/>
    <n v="5734.77"/>
  </r>
  <r>
    <x v="36"/>
    <n v="2"/>
    <x v="15"/>
    <n v="2132.09"/>
    <n v="9920.92"/>
  </r>
  <r>
    <x v="37"/>
    <n v="2"/>
    <x v="15"/>
    <n v="1719.64"/>
    <n v="5628.02"/>
  </r>
  <r>
    <x v="38"/>
    <n v="2"/>
    <x v="15"/>
    <n v="1583.46"/>
    <n v="6713.41"/>
  </r>
  <r>
    <x v="39"/>
    <n v="2"/>
    <x v="15"/>
    <n v="1435.63"/>
    <n v="5842.72"/>
  </r>
  <r>
    <x v="40"/>
    <n v="2"/>
    <x v="15"/>
    <n v="1647.32"/>
    <n v="6865.21"/>
  </r>
  <r>
    <x v="41"/>
    <n v="2"/>
    <x v="15"/>
    <n v="1539.23"/>
    <n v="6510.42"/>
  </r>
  <r>
    <x v="42"/>
    <n v="2"/>
    <x v="15"/>
    <n v="1534.83"/>
    <n v="6443.7"/>
  </r>
  <r>
    <x v="43"/>
    <n v="2"/>
    <x v="15"/>
    <n v="1818.11"/>
    <n v="6796.85"/>
  </r>
  <r>
    <x v="44"/>
    <n v="2"/>
    <x v="15"/>
    <n v="1759.57"/>
    <n v="6964.17"/>
  </r>
  <r>
    <x v="45"/>
    <n v="2"/>
    <x v="15"/>
    <n v="1607.14"/>
    <n v="6737.59"/>
  </r>
  <r>
    <x v="46"/>
    <n v="2"/>
    <x v="15"/>
    <n v="1570.97"/>
    <n v="5933.8"/>
  </r>
  <r>
    <x v="47"/>
    <n v="2"/>
    <x v="15"/>
    <n v="1409.64"/>
    <n v="5685.04"/>
  </r>
  <r>
    <x v="48"/>
    <n v="2"/>
    <x v="15"/>
    <n v="2717.66"/>
    <n v="10892.44"/>
  </r>
  <r>
    <x v="49"/>
    <n v="2"/>
    <x v="15"/>
    <n v="1790.58"/>
    <n v="6128.12"/>
  </r>
  <r>
    <x v="50"/>
    <n v="2"/>
    <x v="15"/>
    <n v="1918.1"/>
    <n v="6072.62"/>
  </r>
  <r>
    <x v="51"/>
    <n v="2"/>
    <x v="15"/>
    <n v="1759.83"/>
    <n v="6411.08"/>
  </r>
  <r>
    <x v="52"/>
    <n v="2"/>
    <x v="15"/>
    <n v="1721.4"/>
    <n v="6457.56"/>
  </r>
  <r>
    <x v="53"/>
    <n v="2"/>
    <x v="15"/>
    <n v="1876.78"/>
    <n v="6853.09"/>
  </r>
  <r>
    <x v="54"/>
    <n v="2"/>
    <x v="15"/>
    <n v="1420.08"/>
    <n v="5439.13"/>
  </r>
  <r>
    <x v="55"/>
    <n v="2"/>
    <x v="15"/>
    <n v="1727.63"/>
    <n v="6866.14"/>
  </r>
  <r>
    <x v="56"/>
    <n v="2"/>
    <x v="15"/>
    <n v="1775.22"/>
    <n v="6570.22"/>
  </r>
  <r>
    <x v="57"/>
    <n v="2"/>
    <x v="15"/>
    <n v="1846.86"/>
    <n v="6918.2"/>
  </r>
  <r>
    <x v="58"/>
    <n v="2"/>
    <x v="15"/>
    <n v="2112.13"/>
    <n v="7480.69"/>
  </r>
  <r>
    <x v="59"/>
    <n v="2"/>
    <x v="15"/>
    <n v="1708.79"/>
    <n v="6187.08"/>
  </r>
  <r>
    <x v="60"/>
    <n v="2"/>
    <x v="15"/>
    <n v="2002.1"/>
    <n v="9068.92"/>
  </r>
  <r>
    <x v="61"/>
    <n v="2"/>
    <x v="15"/>
    <n v="1528.58"/>
    <n v="5931.72"/>
  </r>
  <r>
    <x v="62"/>
    <n v="2"/>
    <x v="15"/>
    <n v="1544.38"/>
    <n v="6556.55"/>
  </r>
  <r>
    <x v="63"/>
    <n v="2"/>
    <x v="15"/>
    <n v="1560.66"/>
    <n v="6065.66"/>
  </r>
  <r>
    <x v="64"/>
    <n v="2"/>
    <x v="15"/>
    <n v="1637.1"/>
    <n v="6981.75"/>
  </r>
  <r>
    <x v="65"/>
    <n v="2"/>
    <x v="15"/>
    <n v="1653.96"/>
    <n v="7116.13"/>
  </r>
  <r>
    <x v="66"/>
    <n v="2"/>
    <x v="15"/>
    <n v="1461.43"/>
    <n v="6062.27"/>
  </r>
  <r>
    <x v="67"/>
    <n v="2"/>
    <x v="15"/>
    <n v="1571.38"/>
    <n v="7116.4"/>
  </r>
  <r>
    <x v="68"/>
    <n v="2"/>
    <x v="15"/>
    <n v="1502.36"/>
    <n v="6179.46"/>
  </r>
  <r>
    <x v="69"/>
    <n v="2"/>
    <x v="15"/>
    <n v="1593.63"/>
    <n v="6658"/>
  </r>
  <r>
    <x v="70"/>
    <n v="2"/>
    <x v="15"/>
    <n v="1957.5"/>
    <n v="6997.59"/>
  </r>
  <r>
    <x v="71"/>
    <n v="2"/>
    <x v="15"/>
    <n v="1652.03"/>
    <n v="6876.7"/>
  </r>
  <r>
    <x v="72"/>
    <n v="2"/>
    <x v="15"/>
    <n v="817.04"/>
    <n v="217.26"/>
  </r>
  <r>
    <x v="73"/>
    <n v="2"/>
    <x v="15"/>
    <n v="627.48"/>
    <n v="151.13999999999999"/>
  </r>
  <r>
    <x v="74"/>
    <n v="2"/>
    <x v="15"/>
    <n v="659.54"/>
    <n v="170.15"/>
  </r>
  <r>
    <x v="75"/>
    <n v="2"/>
    <x v="15"/>
    <n v="601.27"/>
    <n v="146.82"/>
  </r>
  <r>
    <x v="76"/>
    <n v="2"/>
    <x v="15"/>
    <n v="619.75"/>
    <n v="140.53"/>
  </r>
  <r>
    <x v="77"/>
    <n v="2"/>
    <x v="15"/>
    <n v="559.21"/>
    <n v="122.49"/>
  </r>
  <r>
    <x v="78"/>
    <n v="2"/>
    <x v="15"/>
    <n v="576.9"/>
    <n v="141.46"/>
  </r>
  <r>
    <x v="79"/>
    <n v="2"/>
    <x v="15"/>
    <n v="651.96"/>
    <n v="269.93"/>
  </r>
  <r>
    <x v="80"/>
    <n v="2"/>
    <x v="15"/>
    <n v="644.91999999999996"/>
    <n v="176.35"/>
  </r>
  <r>
    <x v="81"/>
    <n v="2"/>
    <x v="15"/>
    <n v="614.61"/>
    <n v="128.11000000000001"/>
  </r>
  <r>
    <x v="82"/>
    <n v="2"/>
    <x v="15"/>
    <n v="782.18"/>
    <n v="201.75"/>
  </r>
  <r>
    <x v="83"/>
    <n v="2"/>
    <x v="15"/>
    <n v="682.52"/>
    <n v="140.80000000000001"/>
  </r>
  <r>
    <x v="84"/>
    <n v="2"/>
    <x v="15"/>
    <n v="1110.8"/>
    <n v="300.02"/>
  </r>
  <r>
    <x v="85"/>
    <n v="2"/>
    <x v="15"/>
    <n v="996.76"/>
    <n v="257.38"/>
  </r>
  <r>
    <x v="86"/>
    <n v="2"/>
    <x v="15"/>
    <n v="1045.78"/>
    <n v="323.5"/>
  </r>
  <r>
    <x v="87"/>
    <n v="2"/>
    <x v="15"/>
    <n v="830.05"/>
    <n v="248.44"/>
  </r>
  <r>
    <x v="88"/>
    <n v="2"/>
    <x v="15"/>
    <n v="734.4"/>
    <n v="185.91"/>
  </r>
  <r>
    <x v="89"/>
    <n v="2"/>
    <x v="15"/>
    <n v="798.13"/>
    <n v="192.75"/>
  </r>
  <r>
    <x v="90"/>
    <n v="2"/>
    <x v="15"/>
    <n v="666.62"/>
    <n v="134.85"/>
  </r>
  <r>
    <x v="91"/>
    <n v="2"/>
    <x v="15"/>
    <n v="609.14"/>
    <n v="135.6"/>
  </r>
  <r>
    <x v="92"/>
    <n v="2"/>
    <x v="15"/>
    <n v="692.98"/>
    <n v="177.72"/>
  </r>
  <r>
    <x v="93"/>
    <n v="2"/>
    <x v="15"/>
    <n v="854.42"/>
    <n v="241.87"/>
  </r>
  <r>
    <x v="94"/>
    <n v="2"/>
    <x v="15"/>
    <n v="776.23"/>
    <n v="168.12"/>
  </r>
  <r>
    <x v="95"/>
    <n v="2"/>
    <x v="15"/>
    <n v="855.01"/>
    <n v="211.75"/>
  </r>
  <r>
    <x v="0"/>
    <n v="2"/>
    <x v="16"/>
    <n v="2048.09"/>
    <n v="9319.7999999999993"/>
  </r>
  <r>
    <x v="1"/>
    <n v="2"/>
    <x v="16"/>
    <n v="1633.42"/>
    <n v="6015.35"/>
  </r>
  <r>
    <x v="2"/>
    <n v="2"/>
    <x v="16"/>
    <n v="1489.83"/>
    <n v="6057.01"/>
  </r>
  <r>
    <x v="3"/>
    <n v="2"/>
    <x v="16"/>
    <n v="1492.04"/>
    <n v="6197.68"/>
  </r>
  <r>
    <x v="4"/>
    <n v="2"/>
    <x v="16"/>
    <n v="1525.55"/>
    <n v="6229.12"/>
  </r>
  <r>
    <x v="5"/>
    <n v="2"/>
    <x v="16"/>
    <n v="1518.09"/>
    <n v="6319.78"/>
  </r>
  <r>
    <x v="6"/>
    <n v="2"/>
    <x v="16"/>
    <n v="1413.65"/>
    <n v="5622.23"/>
  </r>
  <r>
    <x v="7"/>
    <n v="2"/>
    <x v="16"/>
    <n v="1553.45"/>
    <n v="6673.58"/>
  </r>
  <r>
    <x v="8"/>
    <n v="2"/>
    <x v="16"/>
    <n v="1619.73"/>
    <n v="6463.9"/>
  </r>
  <r>
    <x v="9"/>
    <n v="2"/>
    <x v="16"/>
    <n v="1537.92"/>
    <n v="6263.73"/>
  </r>
  <r>
    <x v="10"/>
    <n v="2"/>
    <x v="16"/>
    <n v="1546.64"/>
    <n v="6061.37"/>
  </r>
  <r>
    <x v="11"/>
    <n v="2"/>
    <x v="16"/>
    <n v="2872.69"/>
    <n v="7660.57"/>
  </r>
  <r>
    <x v="12"/>
    <n v="2"/>
    <x v="16"/>
    <n v="7546.17"/>
    <n v="9202.42"/>
  </r>
  <r>
    <x v="13"/>
    <n v="2"/>
    <x v="16"/>
    <n v="3764.14"/>
    <n v="5707.11"/>
  </r>
  <r>
    <x v="14"/>
    <n v="2"/>
    <x v="16"/>
    <n v="3947.22"/>
    <n v="6026.39"/>
  </r>
  <r>
    <x v="15"/>
    <n v="2"/>
    <x v="16"/>
    <n v="4138.53"/>
    <n v="6212.52"/>
  </r>
  <r>
    <x v="16"/>
    <n v="2"/>
    <x v="16"/>
    <n v="4112.3"/>
    <n v="6248.15"/>
  </r>
  <r>
    <x v="17"/>
    <n v="2"/>
    <x v="16"/>
    <n v="4375.53"/>
    <n v="5986.25"/>
  </r>
  <r>
    <x v="18"/>
    <n v="2"/>
    <x v="16"/>
    <n v="4128.51"/>
    <n v="5604.79"/>
  </r>
  <r>
    <x v="19"/>
    <n v="2"/>
    <x v="16"/>
    <n v="4573.57"/>
    <n v="6281.32"/>
  </r>
  <r>
    <x v="20"/>
    <n v="2"/>
    <x v="16"/>
    <n v="4789.72"/>
    <n v="6520.26"/>
  </r>
  <r>
    <x v="21"/>
    <n v="2"/>
    <x v="16"/>
    <n v="4758.7299999999996"/>
    <n v="6171.76"/>
  </r>
  <r>
    <x v="22"/>
    <n v="2"/>
    <x v="16"/>
    <n v="4680.84"/>
    <n v="5829.56"/>
  </r>
  <r>
    <x v="23"/>
    <n v="2"/>
    <x v="16"/>
    <n v="5016.99"/>
    <n v="5772.42"/>
  </r>
  <r>
    <x v="24"/>
    <n v="2"/>
    <x v="16"/>
    <n v="2065.0100000000002"/>
    <n v="9613.5"/>
  </r>
  <r>
    <x v="25"/>
    <n v="2"/>
    <x v="16"/>
    <n v="1647.82"/>
    <n v="5796.18"/>
  </r>
  <r>
    <x v="26"/>
    <n v="2"/>
    <x v="16"/>
    <n v="1516.58"/>
    <n v="5683.3"/>
  </r>
  <r>
    <x v="27"/>
    <n v="2"/>
    <x v="16"/>
    <n v="1598.34"/>
    <n v="5987.1"/>
  </r>
  <r>
    <x v="28"/>
    <n v="2"/>
    <x v="16"/>
    <n v="1396.66"/>
    <n v="5905.85"/>
  </r>
  <r>
    <x v="29"/>
    <n v="2"/>
    <x v="16"/>
    <n v="1831.26"/>
    <n v="6393.95"/>
  </r>
  <r>
    <x v="30"/>
    <n v="2"/>
    <x v="16"/>
    <n v="1502.25"/>
    <n v="5991.4"/>
  </r>
  <r>
    <x v="31"/>
    <n v="2"/>
    <x v="16"/>
    <n v="1791.63"/>
    <n v="6445.37"/>
  </r>
  <r>
    <x v="32"/>
    <n v="2"/>
    <x v="16"/>
    <n v="1788.05"/>
    <n v="6038.17"/>
  </r>
  <r>
    <x v="33"/>
    <n v="2"/>
    <x v="16"/>
    <n v="1521.69"/>
    <n v="5943.34"/>
  </r>
  <r>
    <x v="34"/>
    <n v="2"/>
    <x v="16"/>
    <n v="1686.19"/>
    <n v="6431.03"/>
  </r>
  <r>
    <x v="35"/>
    <n v="2"/>
    <x v="16"/>
    <n v="1400.45"/>
    <n v="5729.27"/>
  </r>
  <r>
    <x v="36"/>
    <n v="2"/>
    <x v="16"/>
    <n v="2150.94"/>
    <n v="9929.99"/>
  </r>
  <r>
    <x v="37"/>
    <n v="2"/>
    <x v="16"/>
    <n v="1728.02"/>
    <n v="5628.43"/>
  </r>
  <r>
    <x v="38"/>
    <n v="2"/>
    <x v="16"/>
    <n v="1596.3"/>
    <n v="6714.22"/>
  </r>
  <r>
    <x v="39"/>
    <n v="2"/>
    <x v="16"/>
    <n v="1447.54"/>
    <n v="5842.14"/>
  </r>
  <r>
    <x v="40"/>
    <n v="2"/>
    <x v="16"/>
    <n v="1660.69"/>
    <n v="6864"/>
  </r>
  <r>
    <x v="41"/>
    <n v="2"/>
    <x v="16"/>
    <n v="1551.59"/>
    <n v="6510.69"/>
  </r>
  <r>
    <x v="42"/>
    <n v="2"/>
    <x v="16"/>
    <n v="1547.65"/>
    <n v="6444.58"/>
  </r>
  <r>
    <x v="43"/>
    <n v="2"/>
    <x v="16"/>
    <n v="1830.83"/>
    <n v="6793.75"/>
  </r>
  <r>
    <x v="44"/>
    <n v="2"/>
    <x v="16"/>
    <n v="1772.33"/>
    <n v="6964.26"/>
  </r>
  <r>
    <x v="45"/>
    <n v="2"/>
    <x v="16"/>
    <n v="1619.81"/>
    <n v="6734.82"/>
  </r>
  <r>
    <x v="46"/>
    <n v="2"/>
    <x v="16"/>
    <n v="1579.39"/>
    <n v="5931.65"/>
  </r>
  <r>
    <x v="47"/>
    <n v="2"/>
    <x v="16"/>
    <n v="1419.22"/>
    <n v="5674.86"/>
  </r>
  <r>
    <x v="48"/>
    <n v="2"/>
    <x v="16"/>
    <n v="2736.04"/>
    <n v="10896.97"/>
  </r>
  <r>
    <x v="49"/>
    <n v="2"/>
    <x v="16"/>
    <n v="1801.75"/>
    <n v="6130.69"/>
  </r>
  <r>
    <x v="50"/>
    <n v="2"/>
    <x v="16"/>
    <n v="1930.56"/>
    <n v="6074.8"/>
  </r>
  <r>
    <x v="51"/>
    <n v="2"/>
    <x v="16"/>
    <n v="1772"/>
    <n v="6411.05"/>
  </r>
  <r>
    <x v="52"/>
    <n v="2"/>
    <x v="16"/>
    <n v="1733.55"/>
    <n v="6458.99"/>
  </r>
  <r>
    <x v="53"/>
    <n v="2"/>
    <x v="16"/>
    <n v="1889.69"/>
    <n v="6855.24"/>
  </r>
  <r>
    <x v="54"/>
    <n v="2"/>
    <x v="16"/>
    <n v="1428.91"/>
    <n v="5440.99"/>
  </r>
  <r>
    <x v="55"/>
    <n v="2"/>
    <x v="16"/>
    <n v="1740.36"/>
    <n v="6866.05"/>
  </r>
  <r>
    <x v="56"/>
    <n v="2"/>
    <x v="16"/>
    <n v="1787.39"/>
    <n v="6570.03"/>
  </r>
  <r>
    <x v="57"/>
    <n v="2"/>
    <x v="16"/>
    <n v="1860.65"/>
    <n v="6920.05"/>
  </r>
  <r>
    <x v="58"/>
    <n v="2"/>
    <x v="16"/>
    <n v="2120.2600000000002"/>
    <n v="7480.64"/>
  </r>
  <r>
    <x v="59"/>
    <n v="2"/>
    <x v="16"/>
    <n v="1719.75"/>
    <n v="6183.89"/>
  </r>
  <r>
    <x v="60"/>
    <n v="2"/>
    <x v="16"/>
    <n v="2017.56"/>
    <n v="9067.02"/>
  </r>
  <r>
    <x v="61"/>
    <n v="2"/>
    <x v="16"/>
    <n v="1539.58"/>
    <n v="5933.93"/>
  </r>
  <r>
    <x v="62"/>
    <n v="2"/>
    <x v="16"/>
    <n v="1556.21"/>
    <n v="6556.5"/>
  </r>
  <r>
    <x v="63"/>
    <n v="2"/>
    <x v="16"/>
    <n v="1571.32"/>
    <n v="6066.51"/>
  </r>
  <r>
    <x v="64"/>
    <n v="2"/>
    <x v="16"/>
    <n v="1650.44"/>
    <n v="6985.48"/>
  </r>
  <r>
    <x v="65"/>
    <n v="2"/>
    <x v="16"/>
    <n v="1667.87"/>
    <n v="7116.1"/>
  </r>
  <r>
    <x v="66"/>
    <n v="2"/>
    <x v="16"/>
    <n v="1472.97"/>
    <n v="6062.08"/>
  </r>
  <r>
    <x v="67"/>
    <n v="2"/>
    <x v="16"/>
    <n v="1583.1"/>
    <n v="7115.78"/>
  </r>
  <r>
    <x v="68"/>
    <n v="2"/>
    <x v="16"/>
    <n v="1513.6"/>
    <n v="6183.63"/>
  </r>
  <r>
    <x v="69"/>
    <n v="2"/>
    <x v="16"/>
    <n v="1606.53"/>
    <n v="6657.61"/>
  </r>
  <r>
    <x v="70"/>
    <n v="2"/>
    <x v="16"/>
    <n v="1967.13"/>
    <n v="6997.58"/>
  </r>
  <r>
    <x v="71"/>
    <n v="2"/>
    <x v="16"/>
    <n v="1664.16"/>
    <n v="6879.34"/>
  </r>
  <r>
    <x v="72"/>
    <n v="2"/>
    <x v="16"/>
    <n v="818.79"/>
    <n v="217.03"/>
  </r>
  <r>
    <x v="73"/>
    <n v="2"/>
    <x v="16"/>
    <n v="632.02"/>
    <n v="152.71"/>
  </r>
  <r>
    <x v="74"/>
    <n v="2"/>
    <x v="16"/>
    <n v="665.27"/>
    <n v="170.08"/>
  </r>
  <r>
    <x v="75"/>
    <n v="2"/>
    <x v="16"/>
    <n v="605.33000000000004"/>
    <n v="147.53"/>
  </r>
  <r>
    <x v="76"/>
    <n v="2"/>
    <x v="16"/>
    <n v="624.29"/>
    <n v="140.62"/>
  </r>
  <r>
    <x v="77"/>
    <n v="2"/>
    <x v="16"/>
    <n v="564.04999999999995"/>
    <n v="122.64"/>
  </r>
  <r>
    <x v="78"/>
    <n v="2"/>
    <x v="16"/>
    <n v="581.99"/>
    <n v="142.81"/>
  </r>
  <r>
    <x v="79"/>
    <n v="2"/>
    <x v="16"/>
    <n v="657.1"/>
    <n v="273.93"/>
  </r>
  <r>
    <x v="80"/>
    <n v="2"/>
    <x v="16"/>
    <n v="649.95000000000005"/>
    <n v="176.76"/>
  </r>
  <r>
    <x v="81"/>
    <n v="2"/>
    <x v="16"/>
    <n v="619.84"/>
    <n v="128.44999999999999"/>
  </r>
  <r>
    <x v="82"/>
    <n v="2"/>
    <x v="16"/>
    <n v="785.79"/>
    <n v="201.81"/>
  </r>
  <r>
    <x v="83"/>
    <n v="2"/>
    <x v="16"/>
    <n v="688.31"/>
    <n v="141.01"/>
  </r>
  <r>
    <x v="84"/>
    <n v="2"/>
    <x v="16"/>
    <n v="1114.3900000000001"/>
    <n v="299.74"/>
  </r>
  <r>
    <x v="85"/>
    <n v="2"/>
    <x v="16"/>
    <n v="1000.03"/>
    <n v="257.33"/>
  </r>
  <r>
    <x v="86"/>
    <n v="2"/>
    <x v="16"/>
    <n v="1048.18"/>
    <n v="323.29000000000002"/>
  </r>
  <r>
    <x v="87"/>
    <n v="2"/>
    <x v="16"/>
    <n v="835.06"/>
    <n v="248.65"/>
  </r>
  <r>
    <x v="88"/>
    <n v="2"/>
    <x v="16"/>
    <n v="743.18"/>
    <n v="187.42"/>
  </r>
  <r>
    <x v="89"/>
    <n v="2"/>
    <x v="16"/>
    <n v="809.28"/>
    <n v="196.34"/>
  </r>
  <r>
    <x v="90"/>
    <n v="2"/>
    <x v="16"/>
    <n v="677.08"/>
    <n v="136.86000000000001"/>
  </r>
  <r>
    <x v="91"/>
    <n v="2"/>
    <x v="16"/>
    <n v="616.12"/>
    <n v="136.66"/>
  </r>
  <r>
    <x v="92"/>
    <n v="2"/>
    <x v="16"/>
    <n v="698.88"/>
    <n v="178.65"/>
  </r>
  <r>
    <x v="93"/>
    <n v="2"/>
    <x v="16"/>
    <n v="858.67"/>
    <n v="241.86"/>
  </r>
  <r>
    <x v="94"/>
    <n v="2"/>
    <x v="16"/>
    <n v="780.54"/>
    <n v="167.29"/>
  </r>
  <r>
    <x v="95"/>
    <n v="2"/>
    <x v="16"/>
    <n v="858.99"/>
    <n v="210.94"/>
  </r>
  <r>
    <x v="0"/>
    <n v="2"/>
    <x v="17"/>
    <n v="2171.79"/>
    <n v="9322.6200000000008"/>
  </r>
  <r>
    <x v="1"/>
    <n v="2"/>
    <x v="17"/>
    <n v="1699.68"/>
    <n v="6018.96"/>
  </r>
  <r>
    <x v="2"/>
    <n v="2"/>
    <x v="17"/>
    <n v="1553.6"/>
    <n v="6056.48"/>
  </r>
  <r>
    <x v="3"/>
    <n v="2"/>
    <x v="17"/>
    <n v="1555.05"/>
    <n v="6206.15"/>
  </r>
  <r>
    <x v="4"/>
    <n v="2"/>
    <x v="17"/>
    <n v="1588.44"/>
    <n v="6235.95"/>
  </r>
  <r>
    <x v="5"/>
    <n v="2"/>
    <x v="17"/>
    <n v="1584.2"/>
    <n v="6325.43"/>
  </r>
  <r>
    <x v="6"/>
    <n v="2"/>
    <x v="17"/>
    <n v="1479.25"/>
    <n v="5625.77"/>
  </r>
  <r>
    <x v="7"/>
    <n v="2"/>
    <x v="17"/>
    <n v="1623.95"/>
    <n v="6677.4"/>
  </r>
  <r>
    <x v="8"/>
    <n v="2"/>
    <x v="17"/>
    <n v="1692.65"/>
    <n v="6465.07"/>
  </r>
  <r>
    <x v="9"/>
    <n v="2"/>
    <x v="17"/>
    <n v="1612.52"/>
    <n v="6265.09"/>
  </r>
  <r>
    <x v="10"/>
    <n v="2"/>
    <x v="17"/>
    <n v="1623"/>
    <n v="6061.54"/>
  </r>
  <r>
    <x v="11"/>
    <n v="2"/>
    <x v="17"/>
    <n v="3018.13"/>
    <n v="7766.72"/>
  </r>
  <r>
    <x v="12"/>
    <n v="2"/>
    <x v="17"/>
    <n v="9611.7999999999993"/>
    <n v="9233.9"/>
  </r>
  <r>
    <x v="13"/>
    <n v="2"/>
    <x v="17"/>
    <n v="4878.03"/>
    <n v="5718.37"/>
  </r>
  <r>
    <x v="14"/>
    <n v="2"/>
    <x v="17"/>
    <n v="5138.42"/>
    <n v="6037.08"/>
  </r>
  <r>
    <x v="15"/>
    <n v="2"/>
    <x v="17"/>
    <n v="5368.76"/>
    <n v="6222.9"/>
  </r>
  <r>
    <x v="16"/>
    <n v="2"/>
    <x v="17"/>
    <n v="5332.66"/>
    <n v="6256.83"/>
  </r>
  <r>
    <x v="17"/>
    <n v="2"/>
    <x v="17"/>
    <n v="5622.75"/>
    <n v="5997.52"/>
  </r>
  <r>
    <x v="18"/>
    <n v="2"/>
    <x v="17"/>
    <n v="5317.24"/>
    <n v="5612.82"/>
  </r>
  <r>
    <x v="19"/>
    <n v="2"/>
    <x v="17"/>
    <n v="5865.16"/>
    <n v="6290.88"/>
  </r>
  <r>
    <x v="20"/>
    <n v="2"/>
    <x v="17"/>
    <n v="6134.83"/>
    <n v="6530.51"/>
  </r>
  <r>
    <x v="21"/>
    <n v="2"/>
    <x v="17"/>
    <n v="6107.23"/>
    <n v="6185.88"/>
  </r>
  <r>
    <x v="22"/>
    <n v="2"/>
    <x v="17"/>
    <n v="5969.09"/>
    <n v="5838.95"/>
  </r>
  <r>
    <x v="23"/>
    <n v="2"/>
    <x v="17"/>
    <n v="6352.76"/>
    <n v="5781.31"/>
  </r>
  <r>
    <x v="24"/>
    <n v="2"/>
    <x v="17"/>
    <n v="2124.52"/>
    <n v="9626.42"/>
  </r>
  <r>
    <x v="25"/>
    <n v="2"/>
    <x v="17"/>
    <n v="1687.61"/>
    <n v="5798.76"/>
  </r>
  <r>
    <x v="26"/>
    <n v="2"/>
    <x v="17"/>
    <n v="1552.02"/>
    <n v="5681.92"/>
  </r>
  <r>
    <x v="27"/>
    <n v="2"/>
    <x v="17"/>
    <n v="1637.8"/>
    <n v="5988.74"/>
  </r>
  <r>
    <x v="28"/>
    <n v="2"/>
    <x v="17"/>
    <n v="1433.7"/>
    <n v="5907.47"/>
  </r>
  <r>
    <x v="29"/>
    <n v="2"/>
    <x v="17"/>
    <n v="1872.07"/>
    <n v="6393.92"/>
  </r>
  <r>
    <x v="30"/>
    <n v="2"/>
    <x v="17"/>
    <n v="1541.29"/>
    <n v="5990.79"/>
  </r>
  <r>
    <x v="31"/>
    <n v="2"/>
    <x v="17"/>
    <n v="1831.68"/>
    <n v="6445.26"/>
  </r>
  <r>
    <x v="32"/>
    <n v="2"/>
    <x v="17"/>
    <n v="1825.96"/>
    <n v="6039.31"/>
  </r>
  <r>
    <x v="33"/>
    <n v="2"/>
    <x v="17"/>
    <n v="1559.53"/>
    <n v="5944.9"/>
  </r>
  <r>
    <x v="34"/>
    <n v="2"/>
    <x v="17"/>
    <n v="1728.92"/>
    <n v="6430.75"/>
  </r>
  <r>
    <x v="35"/>
    <n v="2"/>
    <x v="17"/>
    <n v="1436.43"/>
    <n v="5725.86"/>
  </r>
  <r>
    <x v="36"/>
    <n v="2"/>
    <x v="17"/>
    <n v="2180.4699999999998"/>
    <n v="9946"/>
  </r>
  <r>
    <x v="37"/>
    <n v="2"/>
    <x v="17"/>
    <n v="1744.06"/>
    <n v="5630.06"/>
  </r>
  <r>
    <x v="38"/>
    <n v="2"/>
    <x v="17"/>
    <n v="1617.23"/>
    <n v="6714.35"/>
  </r>
  <r>
    <x v="39"/>
    <n v="2"/>
    <x v="17"/>
    <n v="1465.04"/>
    <n v="5841.03"/>
  </r>
  <r>
    <x v="40"/>
    <n v="2"/>
    <x v="17"/>
    <n v="1681.03"/>
    <n v="6864.06"/>
  </r>
  <r>
    <x v="41"/>
    <n v="2"/>
    <x v="17"/>
    <n v="1571.51"/>
    <n v="6510.92"/>
  </r>
  <r>
    <x v="42"/>
    <n v="2"/>
    <x v="17"/>
    <n v="1567.43"/>
    <n v="6447.13"/>
  </r>
  <r>
    <x v="43"/>
    <n v="2"/>
    <x v="17"/>
    <n v="1851.14"/>
    <n v="6791.73"/>
  </r>
  <r>
    <x v="44"/>
    <n v="2"/>
    <x v="17"/>
    <n v="1792.6"/>
    <n v="6963.79"/>
  </r>
  <r>
    <x v="45"/>
    <n v="2"/>
    <x v="17"/>
    <n v="1639.43"/>
    <n v="6732.37"/>
  </r>
  <r>
    <x v="46"/>
    <n v="2"/>
    <x v="17"/>
    <n v="1594.81"/>
    <n v="5929.55"/>
  </r>
  <r>
    <x v="47"/>
    <n v="2"/>
    <x v="17"/>
    <n v="1434.77"/>
    <n v="5666.77"/>
  </r>
  <r>
    <x v="48"/>
    <n v="2"/>
    <x v="17"/>
    <n v="2764.06"/>
    <n v="10900.95"/>
  </r>
  <r>
    <x v="49"/>
    <n v="2"/>
    <x v="17"/>
    <n v="1819.15"/>
    <n v="6130.8"/>
  </r>
  <r>
    <x v="50"/>
    <n v="2"/>
    <x v="17"/>
    <n v="1948.58"/>
    <n v="6074.54"/>
  </r>
  <r>
    <x v="51"/>
    <n v="2"/>
    <x v="17"/>
    <n v="1789.44"/>
    <n v="6411.41"/>
  </r>
  <r>
    <x v="52"/>
    <n v="2"/>
    <x v="17"/>
    <n v="1751.01"/>
    <n v="6459.33"/>
  </r>
  <r>
    <x v="53"/>
    <n v="2"/>
    <x v="17"/>
    <n v="1909.87"/>
    <n v="6859.3"/>
  </r>
  <r>
    <x v="54"/>
    <n v="2"/>
    <x v="17"/>
    <n v="1442.91"/>
    <n v="5442.75"/>
  </r>
  <r>
    <x v="55"/>
    <n v="2"/>
    <x v="17"/>
    <n v="1759.57"/>
    <n v="6866.52"/>
  </r>
  <r>
    <x v="56"/>
    <n v="2"/>
    <x v="17"/>
    <n v="1806.89"/>
    <n v="6571.78"/>
  </r>
  <r>
    <x v="57"/>
    <n v="2"/>
    <x v="17"/>
    <n v="1881.39"/>
    <n v="6920.89"/>
  </r>
  <r>
    <x v="58"/>
    <n v="2"/>
    <x v="17"/>
    <n v="2135.88"/>
    <n v="7481.48"/>
  </r>
  <r>
    <x v="59"/>
    <n v="2"/>
    <x v="17"/>
    <n v="1737.72"/>
    <n v="6180.77"/>
  </r>
  <r>
    <x v="60"/>
    <n v="2"/>
    <x v="17"/>
    <n v="2042.07"/>
    <n v="9068.51"/>
  </r>
  <r>
    <x v="61"/>
    <n v="2"/>
    <x v="17"/>
    <n v="1556.49"/>
    <n v="5937.54"/>
  </r>
  <r>
    <x v="62"/>
    <n v="2"/>
    <x v="17"/>
    <n v="1574.52"/>
    <n v="6555.94"/>
  </r>
  <r>
    <x v="63"/>
    <n v="2"/>
    <x v="17"/>
    <n v="1589.24"/>
    <n v="6068.6"/>
  </r>
  <r>
    <x v="64"/>
    <n v="2"/>
    <x v="17"/>
    <n v="1670.42"/>
    <n v="6988.59"/>
  </r>
  <r>
    <x v="65"/>
    <n v="2"/>
    <x v="17"/>
    <n v="1689.48"/>
    <n v="7116.18"/>
  </r>
  <r>
    <x v="66"/>
    <n v="2"/>
    <x v="17"/>
    <n v="1489.88"/>
    <n v="6062.36"/>
  </r>
  <r>
    <x v="67"/>
    <n v="2"/>
    <x v="17"/>
    <n v="1601.73"/>
    <n v="7115.25"/>
  </r>
  <r>
    <x v="68"/>
    <n v="2"/>
    <x v="17"/>
    <n v="1529.92"/>
    <n v="6186.53"/>
  </r>
  <r>
    <x v="69"/>
    <n v="2"/>
    <x v="17"/>
    <n v="1625.75"/>
    <n v="6657.14"/>
  </r>
  <r>
    <x v="70"/>
    <n v="2"/>
    <x v="17"/>
    <n v="1984.25"/>
    <n v="6997.1"/>
  </r>
  <r>
    <x v="71"/>
    <n v="2"/>
    <x v="17"/>
    <n v="1682.62"/>
    <n v="6879.03"/>
  </r>
  <r>
    <x v="72"/>
    <n v="2"/>
    <x v="17"/>
    <n v="822.68"/>
    <n v="217"/>
  </r>
  <r>
    <x v="73"/>
    <n v="2"/>
    <x v="17"/>
    <n v="636.55999999999995"/>
    <n v="154.29"/>
  </r>
  <r>
    <x v="74"/>
    <n v="2"/>
    <x v="17"/>
    <n v="669.37"/>
    <n v="171.51"/>
  </r>
  <r>
    <x v="75"/>
    <n v="2"/>
    <x v="17"/>
    <n v="609.80999999999995"/>
    <n v="148.38999999999999"/>
  </r>
  <r>
    <x v="76"/>
    <n v="2"/>
    <x v="17"/>
    <n v="627.52"/>
    <n v="141.49"/>
  </r>
  <r>
    <x v="77"/>
    <n v="2"/>
    <x v="17"/>
    <n v="567.65"/>
    <n v="123.38"/>
  </r>
  <r>
    <x v="78"/>
    <n v="2"/>
    <x v="17"/>
    <n v="587.04"/>
    <n v="143.15"/>
  </r>
  <r>
    <x v="79"/>
    <n v="2"/>
    <x v="17"/>
    <n v="660.32"/>
    <n v="276.76"/>
  </r>
  <r>
    <x v="80"/>
    <n v="2"/>
    <x v="17"/>
    <n v="653.36"/>
    <n v="177.5"/>
  </r>
  <r>
    <x v="81"/>
    <n v="2"/>
    <x v="17"/>
    <n v="623.09"/>
    <n v="129.47"/>
  </r>
  <r>
    <x v="82"/>
    <n v="2"/>
    <x v="17"/>
    <n v="790.6"/>
    <n v="201.92"/>
  </r>
  <r>
    <x v="83"/>
    <n v="2"/>
    <x v="17"/>
    <n v="692.21"/>
    <n v="142.35"/>
  </r>
  <r>
    <x v="84"/>
    <n v="2"/>
    <x v="17"/>
    <n v="1118.3399999999999"/>
    <n v="299.66000000000003"/>
  </r>
  <r>
    <x v="85"/>
    <n v="2"/>
    <x v="17"/>
    <n v="1002.62"/>
    <n v="257.39999999999998"/>
  </r>
  <r>
    <x v="86"/>
    <n v="2"/>
    <x v="17"/>
    <n v="1050.51"/>
    <n v="323.39"/>
  </r>
  <r>
    <x v="87"/>
    <n v="2"/>
    <x v="17"/>
    <n v="839.13"/>
    <n v="248.73"/>
  </r>
  <r>
    <x v="88"/>
    <n v="2"/>
    <x v="17"/>
    <n v="748.86"/>
    <n v="188.9"/>
  </r>
  <r>
    <x v="89"/>
    <n v="2"/>
    <x v="17"/>
    <n v="820.13"/>
    <n v="200.69"/>
  </r>
  <r>
    <x v="90"/>
    <n v="2"/>
    <x v="17"/>
    <n v="684.38"/>
    <n v="138.91"/>
  </r>
  <r>
    <x v="91"/>
    <n v="2"/>
    <x v="17"/>
    <n v="623.48"/>
    <n v="137.75"/>
  </r>
  <r>
    <x v="92"/>
    <n v="2"/>
    <x v="17"/>
    <n v="704.4"/>
    <n v="179.11"/>
  </r>
  <r>
    <x v="93"/>
    <n v="2"/>
    <x v="17"/>
    <n v="862.93"/>
    <n v="241.87"/>
  </r>
  <r>
    <x v="94"/>
    <n v="2"/>
    <x v="17"/>
    <n v="784.5"/>
    <n v="166.69"/>
  </r>
  <r>
    <x v="95"/>
    <n v="2"/>
    <x v="17"/>
    <n v="862.18"/>
    <n v="209.84"/>
  </r>
  <r>
    <x v="0"/>
    <n v="2"/>
    <x v="18"/>
    <n v="2379.92"/>
    <n v="9335.64"/>
  </r>
  <r>
    <x v="1"/>
    <n v="2"/>
    <x v="18"/>
    <n v="1815.52"/>
    <n v="6026.9"/>
  </r>
  <r>
    <x v="2"/>
    <n v="2"/>
    <x v="18"/>
    <n v="1669.31"/>
    <n v="6061.65"/>
  </r>
  <r>
    <x v="3"/>
    <n v="2"/>
    <x v="18"/>
    <n v="1662.78"/>
    <n v="6217.47"/>
  </r>
  <r>
    <x v="4"/>
    <n v="2"/>
    <x v="18"/>
    <n v="1698.49"/>
    <n v="6244.63"/>
  </r>
  <r>
    <x v="5"/>
    <n v="2"/>
    <x v="18"/>
    <n v="1701.89"/>
    <n v="6335.14"/>
  </r>
  <r>
    <x v="6"/>
    <n v="2"/>
    <x v="18"/>
    <n v="1589.92"/>
    <n v="5634.53"/>
  </r>
  <r>
    <x v="7"/>
    <n v="2"/>
    <x v="18"/>
    <n v="1749.41"/>
    <n v="6684.38"/>
  </r>
  <r>
    <x v="8"/>
    <n v="2"/>
    <x v="18"/>
    <n v="1816.37"/>
    <n v="6467.42"/>
  </r>
  <r>
    <x v="9"/>
    <n v="2"/>
    <x v="18"/>
    <n v="1744.35"/>
    <n v="6270.78"/>
  </r>
  <r>
    <x v="10"/>
    <n v="2"/>
    <x v="18"/>
    <n v="1756.48"/>
    <n v="6066.11"/>
  </r>
  <r>
    <x v="11"/>
    <n v="2"/>
    <x v="18"/>
    <n v="3251.36"/>
    <n v="7883.8"/>
  </r>
  <r>
    <x v="12"/>
    <n v="2"/>
    <x v="18"/>
    <n v="11706.52"/>
    <n v="9254.93"/>
  </r>
  <r>
    <x v="13"/>
    <n v="2"/>
    <x v="18"/>
    <n v="6138.88"/>
    <n v="5733.17"/>
  </r>
  <r>
    <x v="14"/>
    <n v="2"/>
    <x v="18"/>
    <n v="6461.73"/>
    <n v="6050.29"/>
  </r>
  <r>
    <x v="15"/>
    <n v="2"/>
    <x v="18"/>
    <n v="6723.03"/>
    <n v="6236.7"/>
  </r>
  <r>
    <x v="16"/>
    <n v="2"/>
    <x v="18"/>
    <n v="6669.4"/>
    <n v="6269.07"/>
  </r>
  <r>
    <x v="17"/>
    <n v="2"/>
    <x v="18"/>
    <n v="6975.34"/>
    <n v="6009.41"/>
  </r>
  <r>
    <x v="18"/>
    <n v="2"/>
    <x v="18"/>
    <n v="6579.57"/>
    <n v="5623.09"/>
  </r>
  <r>
    <x v="19"/>
    <n v="2"/>
    <x v="18"/>
    <n v="7252.91"/>
    <n v="6303.31"/>
  </r>
  <r>
    <x v="20"/>
    <n v="2"/>
    <x v="18"/>
    <n v="7581.3"/>
    <n v="6542.77"/>
  </r>
  <r>
    <x v="21"/>
    <n v="2"/>
    <x v="18"/>
    <n v="7507.72"/>
    <n v="6199.84"/>
  </r>
  <r>
    <x v="22"/>
    <n v="2"/>
    <x v="18"/>
    <n v="7291.97"/>
    <n v="5849.35"/>
  </r>
  <r>
    <x v="23"/>
    <n v="2"/>
    <x v="18"/>
    <n v="7689.17"/>
    <n v="5791.02"/>
  </r>
  <r>
    <x v="24"/>
    <n v="2"/>
    <x v="18"/>
    <n v="2236.77"/>
    <n v="9643.5300000000007"/>
  </r>
  <r>
    <x v="25"/>
    <n v="2"/>
    <x v="18"/>
    <n v="1756.84"/>
    <n v="5802.66"/>
  </r>
  <r>
    <x v="26"/>
    <n v="2"/>
    <x v="18"/>
    <n v="1616.65"/>
    <n v="5686.73"/>
  </r>
  <r>
    <x v="27"/>
    <n v="2"/>
    <x v="18"/>
    <n v="1706.94"/>
    <n v="5995.33"/>
  </r>
  <r>
    <x v="28"/>
    <n v="2"/>
    <x v="18"/>
    <n v="1501.07"/>
    <n v="5912.84"/>
  </r>
  <r>
    <x v="29"/>
    <n v="2"/>
    <x v="18"/>
    <n v="1946.11"/>
    <n v="6399.27"/>
  </r>
  <r>
    <x v="30"/>
    <n v="2"/>
    <x v="18"/>
    <n v="1609.07"/>
    <n v="5994.61"/>
  </r>
  <r>
    <x v="31"/>
    <n v="2"/>
    <x v="18"/>
    <n v="1903.04"/>
    <n v="6451.12"/>
  </r>
  <r>
    <x v="32"/>
    <n v="2"/>
    <x v="18"/>
    <n v="1894.43"/>
    <n v="6044.19"/>
  </r>
  <r>
    <x v="33"/>
    <n v="2"/>
    <x v="18"/>
    <n v="1627.27"/>
    <n v="5950.29"/>
  </r>
  <r>
    <x v="34"/>
    <n v="2"/>
    <x v="18"/>
    <n v="1804.68"/>
    <n v="6434.42"/>
  </r>
  <r>
    <x v="35"/>
    <n v="2"/>
    <x v="18"/>
    <n v="1505.18"/>
    <n v="5726.63"/>
  </r>
  <r>
    <x v="36"/>
    <n v="2"/>
    <x v="18"/>
    <n v="2226.75"/>
    <n v="9958.33"/>
  </r>
  <r>
    <x v="37"/>
    <n v="2"/>
    <x v="18"/>
    <n v="1771.34"/>
    <n v="5632.21"/>
  </r>
  <r>
    <x v="38"/>
    <n v="2"/>
    <x v="18"/>
    <n v="1650.35"/>
    <n v="6717.55"/>
  </r>
  <r>
    <x v="39"/>
    <n v="2"/>
    <x v="18"/>
    <n v="1493.95"/>
    <n v="5840.37"/>
  </r>
  <r>
    <x v="40"/>
    <n v="2"/>
    <x v="18"/>
    <n v="1712.96"/>
    <n v="6864.34"/>
  </r>
  <r>
    <x v="41"/>
    <n v="2"/>
    <x v="18"/>
    <n v="1605.27"/>
    <n v="6514.07"/>
  </r>
  <r>
    <x v="42"/>
    <n v="2"/>
    <x v="18"/>
    <n v="1600.29"/>
    <n v="6448.71"/>
  </r>
  <r>
    <x v="43"/>
    <n v="2"/>
    <x v="18"/>
    <n v="1883.29"/>
    <n v="6791.48"/>
  </r>
  <r>
    <x v="44"/>
    <n v="2"/>
    <x v="18"/>
    <n v="1825.1"/>
    <n v="6963.76"/>
  </r>
  <r>
    <x v="45"/>
    <n v="2"/>
    <x v="18"/>
    <n v="1671.57"/>
    <n v="6733.93"/>
  </r>
  <r>
    <x v="46"/>
    <n v="2"/>
    <x v="18"/>
    <n v="1621.6"/>
    <n v="5931.12"/>
  </r>
  <r>
    <x v="47"/>
    <n v="2"/>
    <x v="18"/>
    <n v="1461.45"/>
    <n v="5666.21"/>
  </r>
  <r>
    <x v="48"/>
    <n v="2"/>
    <x v="18"/>
    <n v="2813.68"/>
    <n v="10910.85"/>
  </r>
  <r>
    <x v="49"/>
    <n v="2"/>
    <x v="18"/>
    <n v="1850.11"/>
    <n v="6136.04"/>
  </r>
  <r>
    <x v="50"/>
    <n v="2"/>
    <x v="18"/>
    <n v="1978.06"/>
    <n v="6075.44"/>
  </r>
  <r>
    <x v="51"/>
    <n v="2"/>
    <x v="18"/>
    <n v="1818.5"/>
    <n v="6416.19"/>
  </r>
  <r>
    <x v="52"/>
    <n v="2"/>
    <x v="18"/>
    <n v="1780.11"/>
    <n v="6461.92"/>
  </r>
  <r>
    <x v="53"/>
    <n v="2"/>
    <x v="18"/>
    <n v="1942.89"/>
    <n v="6865.9"/>
  </r>
  <r>
    <x v="54"/>
    <n v="2"/>
    <x v="18"/>
    <n v="1466.62"/>
    <n v="5446.33"/>
  </r>
  <r>
    <x v="55"/>
    <n v="2"/>
    <x v="18"/>
    <n v="1790.78"/>
    <n v="6869.75"/>
  </r>
  <r>
    <x v="56"/>
    <n v="2"/>
    <x v="18"/>
    <n v="1838.87"/>
    <n v="6575.61"/>
  </r>
  <r>
    <x v="57"/>
    <n v="2"/>
    <x v="18"/>
    <n v="1915.71"/>
    <n v="6923.77"/>
  </r>
  <r>
    <x v="58"/>
    <n v="2"/>
    <x v="18"/>
    <n v="2163.52"/>
    <n v="7484.76"/>
  </r>
  <r>
    <x v="59"/>
    <n v="2"/>
    <x v="18"/>
    <n v="1768.83"/>
    <n v="6180.95"/>
  </r>
  <r>
    <x v="60"/>
    <n v="2"/>
    <x v="18"/>
    <n v="2083.31"/>
    <n v="9076.09"/>
  </r>
  <r>
    <x v="61"/>
    <n v="2"/>
    <x v="18"/>
    <n v="1584.11"/>
    <n v="5943.36"/>
  </r>
  <r>
    <x v="62"/>
    <n v="2"/>
    <x v="18"/>
    <n v="1604.89"/>
    <n v="6559.56"/>
  </r>
  <r>
    <x v="63"/>
    <n v="2"/>
    <x v="18"/>
    <n v="1620.19"/>
    <n v="6073.74"/>
  </r>
  <r>
    <x v="64"/>
    <n v="2"/>
    <x v="18"/>
    <n v="1703.45"/>
    <n v="6995.03"/>
  </r>
  <r>
    <x v="65"/>
    <n v="2"/>
    <x v="18"/>
    <n v="1724.57"/>
    <n v="7116.57"/>
  </r>
  <r>
    <x v="66"/>
    <n v="2"/>
    <x v="18"/>
    <n v="1517.77"/>
    <n v="6064.36"/>
  </r>
  <r>
    <x v="67"/>
    <n v="2"/>
    <x v="18"/>
    <n v="1633.72"/>
    <n v="7116.41"/>
  </r>
  <r>
    <x v="68"/>
    <n v="2"/>
    <x v="18"/>
    <n v="1557.56"/>
    <n v="6189.06"/>
  </r>
  <r>
    <x v="69"/>
    <n v="2"/>
    <x v="18"/>
    <n v="1657.7"/>
    <n v="6658.7"/>
  </r>
  <r>
    <x v="70"/>
    <n v="2"/>
    <x v="18"/>
    <n v="2015.45"/>
    <n v="6999.29"/>
  </r>
  <r>
    <x v="71"/>
    <n v="2"/>
    <x v="18"/>
    <n v="1714.02"/>
    <n v="6877.64"/>
  </r>
  <r>
    <x v="72"/>
    <n v="2"/>
    <x v="18"/>
    <n v="825.94"/>
    <n v="216.67"/>
  </r>
  <r>
    <x v="73"/>
    <n v="2"/>
    <x v="18"/>
    <n v="641.67999999999995"/>
    <n v="156.19"/>
  </r>
  <r>
    <x v="74"/>
    <n v="2"/>
    <x v="18"/>
    <n v="673.22"/>
    <n v="171.4"/>
  </r>
  <r>
    <x v="75"/>
    <n v="2"/>
    <x v="18"/>
    <n v="613.92999999999995"/>
    <n v="148.94999999999999"/>
  </r>
  <r>
    <x v="76"/>
    <n v="2"/>
    <x v="18"/>
    <n v="631.69000000000005"/>
    <n v="142.05000000000001"/>
  </r>
  <r>
    <x v="77"/>
    <n v="2"/>
    <x v="18"/>
    <n v="571.71"/>
    <n v="124.89"/>
  </r>
  <r>
    <x v="78"/>
    <n v="2"/>
    <x v="18"/>
    <n v="591.6"/>
    <n v="144.08000000000001"/>
  </r>
  <r>
    <x v="79"/>
    <n v="2"/>
    <x v="18"/>
    <n v="665.29"/>
    <n v="276.63"/>
  </r>
  <r>
    <x v="80"/>
    <n v="2"/>
    <x v="18"/>
    <n v="657.39"/>
    <n v="178.35"/>
  </r>
  <r>
    <x v="81"/>
    <n v="2"/>
    <x v="18"/>
    <n v="626.48"/>
    <n v="129.76"/>
  </r>
  <r>
    <x v="82"/>
    <n v="2"/>
    <x v="18"/>
    <n v="791.86"/>
    <n v="201.89"/>
  </r>
  <r>
    <x v="83"/>
    <n v="2"/>
    <x v="18"/>
    <n v="695.88"/>
    <n v="143.44"/>
  </r>
  <r>
    <x v="84"/>
    <n v="2"/>
    <x v="18"/>
    <n v="1119.6600000000001"/>
    <n v="299.57"/>
  </r>
  <r>
    <x v="85"/>
    <n v="2"/>
    <x v="18"/>
    <n v="1004.99"/>
    <n v="257.14"/>
  </r>
  <r>
    <x v="86"/>
    <n v="2"/>
    <x v="18"/>
    <n v="1052.6199999999999"/>
    <n v="323.2"/>
  </r>
  <r>
    <x v="87"/>
    <n v="2"/>
    <x v="18"/>
    <n v="842.93"/>
    <n v="248.62"/>
  </r>
  <r>
    <x v="88"/>
    <n v="2"/>
    <x v="18"/>
    <n v="755.85"/>
    <n v="190.11"/>
  </r>
  <r>
    <x v="89"/>
    <n v="2"/>
    <x v="18"/>
    <n v="830.64"/>
    <n v="204.76"/>
  </r>
  <r>
    <x v="90"/>
    <n v="2"/>
    <x v="18"/>
    <n v="693.07"/>
    <n v="141.09"/>
  </r>
  <r>
    <x v="91"/>
    <n v="2"/>
    <x v="18"/>
    <n v="630.74"/>
    <n v="138.88999999999999"/>
  </r>
  <r>
    <x v="92"/>
    <n v="2"/>
    <x v="18"/>
    <n v="709.62"/>
    <n v="179.62"/>
  </r>
  <r>
    <x v="93"/>
    <n v="2"/>
    <x v="18"/>
    <n v="865.08"/>
    <n v="241.78"/>
  </r>
  <r>
    <x v="94"/>
    <n v="2"/>
    <x v="18"/>
    <n v="786.2"/>
    <n v="166.32"/>
  </r>
  <r>
    <x v="95"/>
    <n v="2"/>
    <x v="18"/>
    <n v="866.24"/>
    <n v="209.33"/>
  </r>
  <r>
    <x v="0"/>
    <n v="2"/>
    <x v="19"/>
    <n v="2733.92"/>
    <n v="9366.7099999999991"/>
  </r>
  <r>
    <x v="1"/>
    <n v="2"/>
    <x v="19"/>
    <n v="2019.79"/>
    <n v="6044.4"/>
  </r>
  <r>
    <x v="2"/>
    <n v="2"/>
    <x v="19"/>
    <n v="1866.65"/>
    <n v="6076.86"/>
  </r>
  <r>
    <x v="3"/>
    <n v="2"/>
    <x v="19"/>
    <n v="1859.05"/>
    <n v="6238.44"/>
  </r>
  <r>
    <x v="4"/>
    <n v="2"/>
    <x v="19"/>
    <n v="1891.83"/>
    <n v="6263.74"/>
  </r>
  <r>
    <x v="5"/>
    <n v="2"/>
    <x v="19"/>
    <n v="1908.19"/>
    <n v="6350.63"/>
  </r>
  <r>
    <x v="6"/>
    <n v="2"/>
    <x v="19"/>
    <n v="1788.8"/>
    <n v="5650.78"/>
  </r>
  <r>
    <x v="7"/>
    <n v="2"/>
    <x v="19"/>
    <n v="1962.1"/>
    <n v="6700.53"/>
  </r>
  <r>
    <x v="8"/>
    <n v="2"/>
    <x v="19"/>
    <n v="2030.87"/>
    <n v="6479.38"/>
  </r>
  <r>
    <x v="9"/>
    <n v="2"/>
    <x v="19"/>
    <n v="1972.07"/>
    <n v="6284.04"/>
  </r>
  <r>
    <x v="10"/>
    <n v="2"/>
    <x v="19"/>
    <n v="1987.61"/>
    <n v="6076.29"/>
  </r>
  <r>
    <x v="11"/>
    <n v="2"/>
    <x v="19"/>
    <n v="3582.16"/>
    <n v="8020.6"/>
  </r>
  <r>
    <x v="12"/>
    <n v="2"/>
    <x v="19"/>
    <n v="13559.98"/>
    <n v="9279.3799999999992"/>
  </r>
  <r>
    <x v="13"/>
    <n v="2"/>
    <x v="19"/>
    <n v="7352.82"/>
    <n v="5748.97"/>
  </r>
  <r>
    <x v="14"/>
    <n v="2"/>
    <x v="19"/>
    <n v="7741.78"/>
    <n v="6065.67"/>
  </r>
  <r>
    <x v="15"/>
    <n v="2"/>
    <x v="19"/>
    <n v="8020.04"/>
    <n v="6252.67"/>
  </r>
  <r>
    <x v="16"/>
    <n v="2"/>
    <x v="19"/>
    <n v="7932.05"/>
    <n v="6282.7"/>
  </r>
  <r>
    <x v="17"/>
    <n v="2"/>
    <x v="19"/>
    <n v="8255.65"/>
    <n v="6021.59"/>
  </r>
  <r>
    <x v="18"/>
    <n v="2"/>
    <x v="19"/>
    <n v="7781.32"/>
    <n v="5636.32"/>
  </r>
  <r>
    <x v="19"/>
    <n v="2"/>
    <x v="19"/>
    <n v="8548.8799999999992"/>
    <n v="6317.56"/>
  </r>
  <r>
    <x v="20"/>
    <n v="2"/>
    <x v="19"/>
    <n v="8894.7999999999993"/>
    <n v="6554.58"/>
  </r>
  <r>
    <x v="21"/>
    <n v="2"/>
    <x v="19"/>
    <n v="8754.58"/>
    <n v="6213.18"/>
  </r>
  <r>
    <x v="22"/>
    <n v="2"/>
    <x v="19"/>
    <n v="8480.9"/>
    <n v="5859.9"/>
  </r>
  <r>
    <x v="23"/>
    <n v="2"/>
    <x v="19"/>
    <n v="8841.81"/>
    <n v="5800.09"/>
  </r>
  <r>
    <x v="24"/>
    <n v="2"/>
    <x v="19"/>
    <n v="2447.64"/>
    <n v="9669.65"/>
  </r>
  <r>
    <x v="25"/>
    <n v="2"/>
    <x v="19"/>
    <n v="1881.95"/>
    <n v="5817.16"/>
  </r>
  <r>
    <x v="26"/>
    <n v="2"/>
    <x v="19"/>
    <n v="1737.95"/>
    <n v="5701.34"/>
  </r>
  <r>
    <x v="27"/>
    <n v="2"/>
    <x v="19"/>
    <n v="1832.09"/>
    <n v="6008.95"/>
  </r>
  <r>
    <x v="28"/>
    <n v="2"/>
    <x v="19"/>
    <n v="1621.15"/>
    <n v="5927.27"/>
  </r>
  <r>
    <x v="29"/>
    <n v="2"/>
    <x v="19"/>
    <n v="2084.19"/>
    <n v="6412.65"/>
  </r>
  <r>
    <x v="30"/>
    <n v="2"/>
    <x v="19"/>
    <n v="1734.07"/>
    <n v="6007.38"/>
  </r>
  <r>
    <x v="31"/>
    <n v="2"/>
    <x v="19"/>
    <n v="2040.12"/>
    <n v="6466.16"/>
  </r>
  <r>
    <x v="32"/>
    <n v="2"/>
    <x v="19"/>
    <n v="2019.5"/>
    <n v="6056.93"/>
  </r>
  <r>
    <x v="33"/>
    <n v="2"/>
    <x v="19"/>
    <n v="1753.83"/>
    <n v="5964.82"/>
  </r>
  <r>
    <x v="34"/>
    <n v="2"/>
    <x v="19"/>
    <n v="1944.8"/>
    <n v="6446.55"/>
  </r>
  <r>
    <x v="35"/>
    <n v="2"/>
    <x v="19"/>
    <n v="1633.55"/>
    <n v="5737.36"/>
  </r>
  <r>
    <x v="36"/>
    <n v="2"/>
    <x v="19"/>
    <n v="2308.34"/>
    <n v="9977.27"/>
  </r>
  <r>
    <x v="37"/>
    <n v="2"/>
    <x v="19"/>
    <n v="1820"/>
    <n v="5640.08"/>
  </r>
  <r>
    <x v="38"/>
    <n v="2"/>
    <x v="19"/>
    <n v="1708.29"/>
    <n v="6728.12"/>
  </r>
  <r>
    <x v="39"/>
    <n v="2"/>
    <x v="19"/>
    <n v="1544.38"/>
    <n v="5846.67"/>
  </r>
  <r>
    <x v="40"/>
    <n v="2"/>
    <x v="19"/>
    <n v="1773.74"/>
    <n v="6869.03"/>
  </r>
  <r>
    <x v="41"/>
    <n v="2"/>
    <x v="19"/>
    <n v="1664.99"/>
    <n v="6522.65"/>
  </r>
  <r>
    <x v="42"/>
    <n v="2"/>
    <x v="19"/>
    <n v="1661"/>
    <n v="6455.34"/>
  </r>
  <r>
    <x v="43"/>
    <n v="2"/>
    <x v="19"/>
    <n v="1939.65"/>
    <n v="6796.29"/>
  </r>
  <r>
    <x v="44"/>
    <n v="2"/>
    <x v="19"/>
    <n v="1883.26"/>
    <n v="6969.99"/>
  </r>
  <r>
    <x v="45"/>
    <n v="2"/>
    <x v="19"/>
    <n v="1728.82"/>
    <n v="6740.44"/>
  </r>
  <r>
    <x v="46"/>
    <n v="2"/>
    <x v="19"/>
    <n v="1671.06"/>
    <n v="5937.07"/>
  </r>
  <r>
    <x v="47"/>
    <n v="2"/>
    <x v="19"/>
    <n v="1509.42"/>
    <n v="5667.69"/>
  </r>
  <r>
    <x v="48"/>
    <n v="2"/>
    <x v="19"/>
    <n v="2904.63"/>
    <n v="10929.96"/>
  </r>
  <r>
    <x v="49"/>
    <n v="2"/>
    <x v="19"/>
    <n v="1905.59"/>
    <n v="6146.12"/>
  </r>
  <r>
    <x v="50"/>
    <n v="2"/>
    <x v="19"/>
    <n v="2029.25"/>
    <n v="6082.79"/>
  </r>
  <r>
    <x v="51"/>
    <n v="2"/>
    <x v="19"/>
    <n v="1871.53"/>
    <n v="6424.77"/>
  </r>
  <r>
    <x v="52"/>
    <n v="2"/>
    <x v="19"/>
    <n v="1832.78"/>
    <n v="6469.76"/>
  </r>
  <r>
    <x v="53"/>
    <n v="2"/>
    <x v="19"/>
    <n v="2000.75"/>
    <n v="6876.25"/>
  </r>
  <r>
    <x v="54"/>
    <n v="2"/>
    <x v="19"/>
    <n v="1511"/>
    <n v="5453.18"/>
  </r>
  <r>
    <x v="55"/>
    <n v="2"/>
    <x v="19"/>
    <n v="1847.25"/>
    <n v="6875.42"/>
  </r>
  <r>
    <x v="56"/>
    <n v="2"/>
    <x v="19"/>
    <n v="1895.88"/>
    <n v="6584.01"/>
  </r>
  <r>
    <x v="57"/>
    <n v="2"/>
    <x v="19"/>
    <n v="1977.39"/>
    <n v="6930.87"/>
  </r>
  <r>
    <x v="58"/>
    <n v="2"/>
    <x v="19"/>
    <n v="2217.5"/>
    <n v="7494.98"/>
  </r>
  <r>
    <x v="59"/>
    <n v="2"/>
    <x v="19"/>
    <n v="1824.93"/>
    <n v="6186.24"/>
  </r>
  <r>
    <x v="60"/>
    <n v="2"/>
    <x v="19"/>
    <n v="2159.98"/>
    <n v="9092"/>
  </r>
  <r>
    <x v="61"/>
    <n v="2"/>
    <x v="19"/>
    <n v="1634.81"/>
    <n v="5951.3"/>
  </r>
  <r>
    <x v="62"/>
    <n v="2"/>
    <x v="19"/>
    <n v="1659.39"/>
    <n v="6568.96"/>
  </r>
  <r>
    <x v="63"/>
    <n v="2"/>
    <x v="19"/>
    <n v="1672.94"/>
    <n v="6080.48"/>
  </r>
  <r>
    <x v="64"/>
    <n v="2"/>
    <x v="19"/>
    <n v="1760.93"/>
    <n v="7004.67"/>
  </r>
  <r>
    <x v="65"/>
    <n v="2"/>
    <x v="19"/>
    <n v="1785.29"/>
    <n v="7123.22"/>
  </r>
  <r>
    <x v="66"/>
    <n v="2"/>
    <x v="19"/>
    <n v="1570.13"/>
    <n v="6072"/>
  </r>
  <r>
    <x v="67"/>
    <n v="2"/>
    <x v="19"/>
    <n v="1692.93"/>
    <n v="7123.02"/>
  </r>
  <r>
    <x v="68"/>
    <n v="2"/>
    <x v="19"/>
    <n v="1607.06"/>
    <n v="6197.25"/>
  </r>
  <r>
    <x v="69"/>
    <n v="2"/>
    <x v="19"/>
    <n v="1715.65"/>
    <n v="6666.82"/>
  </r>
  <r>
    <x v="70"/>
    <n v="2"/>
    <x v="19"/>
    <n v="2071.7399999999998"/>
    <n v="7005.9"/>
  </r>
  <r>
    <x v="71"/>
    <n v="2"/>
    <x v="19"/>
    <n v="1775.1"/>
    <n v="6882.69"/>
  </r>
  <r>
    <x v="72"/>
    <n v="2"/>
    <x v="19"/>
    <n v="829.68"/>
    <n v="216.51"/>
  </r>
  <r>
    <x v="73"/>
    <n v="2"/>
    <x v="19"/>
    <n v="646.96"/>
    <n v="157.53"/>
  </r>
  <r>
    <x v="74"/>
    <n v="2"/>
    <x v="19"/>
    <n v="677.02"/>
    <n v="171.65"/>
  </r>
  <r>
    <x v="75"/>
    <n v="2"/>
    <x v="19"/>
    <n v="618.84"/>
    <n v="149.32"/>
  </r>
  <r>
    <x v="76"/>
    <n v="2"/>
    <x v="19"/>
    <n v="636.77"/>
    <n v="142.66"/>
  </r>
  <r>
    <x v="77"/>
    <n v="2"/>
    <x v="19"/>
    <n v="575.85"/>
    <n v="125.28"/>
  </r>
  <r>
    <x v="78"/>
    <n v="2"/>
    <x v="19"/>
    <n v="596.71"/>
    <n v="145.19"/>
  </r>
  <r>
    <x v="79"/>
    <n v="2"/>
    <x v="19"/>
    <n v="672.13"/>
    <n v="278.61"/>
  </r>
  <r>
    <x v="80"/>
    <n v="2"/>
    <x v="19"/>
    <n v="662.6"/>
    <n v="179.85"/>
  </r>
  <r>
    <x v="81"/>
    <n v="2"/>
    <x v="19"/>
    <n v="631.47"/>
    <n v="130.33000000000001"/>
  </r>
  <r>
    <x v="82"/>
    <n v="2"/>
    <x v="19"/>
    <n v="795.41"/>
    <n v="202.11"/>
  </r>
  <r>
    <x v="83"/>
    <n v="2"/>
    <x v="19"/>
    <n v="701.52"/>
    <n v="144.63999999999999"/>
  </r>
  <r>
    <x v="84"/>
    <n v="2"/>
    <x v="19"/>
    <n v="1121.08"/>
    <n v="299.52"/>
  </r>
  <r>
    <x v="85"/>
    <n v="2"/>
    <x v="19"/>
    <n v="1008.59"/>
    <n v="257.32"/>
  </r>
  <r>
    <x v="86"/>
    <n v="2"/>
    <x v="19"/>
    <n v="1056.24"/>
    <n v="323"/>
  </r>
  <r>
    <x v="87"/>
    <n v="2"/>
    <x v="19"/>
    <n v="847.3"/>
    <n v="248.43"/>
  </r>
  <r>
    <x v="88"/>
    <n v="2"/>
    <x v="19"/>
    <n v="762.94"/>
    <n v="190.84"/>
  </r>
  <r>
    <x v="89"/>
    <n v="2"/>
    <x v="19"/>
    <n v="842.61"/>
    <n v="210.02"/>
  </r>
  <r>
    <x v="90"/>
    <n v="2"/>
    <x v="19"/>
    <n v="702.17"/>
    <n v="142.69"/>
  </r>
  <r>
    <x v="91"/>
    <n v="2"/>
    <x v="19"/>
    <n v="639.04999999999995"/>
    <n v="139.86000000000001"/>
  </r>
  <r>
    <x v="92"/>
    <n v="2"/>
    <x v="19"/>
    <n v="714.8"/>
    <n v="179.73"/>
  </r>
  <r>
    <x v="93"/>
    <n v="2"/>
    <x v="19"/>
    <n v="868.48"/>
    <n v="241.74"/>
  </r>
  <r>
    <x v="94"/>
    <n v="2"/>
    <x v="19"/>
    <n v="789.11"/>
    <n v="166.08"/>
  </r>
  <r>
    <x v="95"/>
    <n v="2"/>
    <x v="19"/>
    <n v="870.31"/>
    <n v="209.14"/>
  </r>
  <r>
    <x v="0"/>
    <n v="2"/>
    <x v="20"/>
    <n v="3310.79"/>
    <n v="9425.9"/>
  </r>
  <r>
    <x v="1"/>
    <n v="2"/>
    <x v="20"/>
    <n v="2381.11"/>
    <n v="6082.19"/>
  </r>
  <r>
    <x v="2"/>
    <n v="2"/>
    <x v="20"/>
    <n v="2202.19"/>
    <n v="6109.31"/>
  </r>
  <r>
    <x v="3"/>
    <n v="2"/>
    <x v="20"/>
    <n v="2194.96"/>
    <n v="6276.32"/>
  </r>
  <r>
    <x v="4"/>
    <n v="2"/>
    <x v="20"/>
    <n v="2222.29"/>
    <n v="6301.21"/>
  </r>
  <r>
    <x v="5"/>
    <n v="2"/>
    <x v="20"/>
    <n v="2259.2600000000002"/>
    <n v="6384.57"/>
  </r>
  <r>
    <x v="6"/>
    <n v="2"/>
    <x v="20"/>
    <n v="2124.21"/>
    <n v="5680.1"/>
  </r>
  <r>
    <x v="7"/>
    <n v="2"/>
    <x v="20"/>
    <n v="2319.65"/>
    <n v="6737.55"/>
  </r>
  <r>
    <x v="8"/>
    <n v="2"/>
    <x v="20"/>
    <n v="2389.58"/>
    <n v="6508.1"/>
  </r>
  <r>
    <x v="9"/>
    <n v="2"/>
    <x v="20"/>
    <n v="2336.04"/>
    <n v="6315.32"/>
  </r>
  <r>
    <x v="10"/>
    <n v="2"/>
    <x v="20"/>
    <n v="2366.5700000000002"/>
    <n v="6103.34"/>
  </r>
  <r>
    <x v="11"/>
    <n v="2"/>
    <x v="20"/>
    <n v="4019.05"/>
    <n v="8182.35"/>
  </r>
  <r>
    <x v="12"/>
    <n v="2"/>
    <x v="20"/>
    <n v="15067.55"/>
    <n v="9302.2199999999993"/>
  </r>
  <r>
    <x v="13"/>
    <n v="2"/>
    <x v="20"/>
    <n v="8388.1"/>
    <n v="5764.62"/>
  </r>
  <r>
    <x v="14"/>
    <n v="2"/>
    <x v="20"/>
    <n v="8868.11"/>
    <n v="6082.14"/>
  </r>
  <r>
    <x v="15"/>
    <n v="2"/>
    <x v="20"/>
    <n v="9137.4699999999993"/>
    <n v="6268.14"/>
  </r>
  <r>
    <x v="16"/>
    <n v="2"/>
    <x v="20"/>
    <n v="8990.7199999999993"/>
    <n v="6296.42"/>
  </r>
  <r>
    <x v="17"/>
    <n v="2"/>
    <x v="20"/>
    <n v="9348.1"/>
    <n v="6033.62"/>
  </r>
  <r>
    <x v="18"/>
    <n v="2"/>
    <x v="20"/>
    <n v="8791.5400000000009"/>
    <n v="5649.3"/>
  </r>
  <r>
    <x v="19"/>
    <n v="2"/>
    <x v="20"/>
    <n v="9657.7099999999991"/>
    <n v="6331.58"/>
  </r>
  <r>
    <x v="20"/>
    <n v="2"/>
    <x v="20"/>
    <n v="9984.93"/>
    <n v="6561.72"/>
  </r>
  <r>
    <x v="21"/>
    <n v="2"/>
    <x v="20"/>
    <n v="9782.7000000000007"/>
    <n v="6225.29"/>
  </r>
  <r>
    <x v="22"/>
    <n v="2"/>
    <x v="20"/>
    <n v="9458.23"/>
    <n v="5869.76"/>
  </r>
  <r>
    <x v="23"/>
    <n v="2"/>
    <x v="20"/>
    <n v="9763.1299999999992"/>
    <n v="5805.4"/>
  </r>
  <r>
    <x v="24"/>
    <n v="2"/>
    <x v="20"/>
    <n v="2841.52"/>
    <n v="9722.77"/>
  </r>
  <r>
    <x v="25"/>
    <n v="2"/>
    <x v="20"/>
    <n v="2117.92"/>
    <n v="5846.36"/>
  </r>
  <r>
    <x v="26"/>
    <n v="2"/>
    <x v="20"/>
    <n v="1966.86"/>
    <n v="5733.62"/>
  </r>
  <r>
    <x v="27"/>
    <n v="2"/>
    <x v="20"/>
    <n v="2072.48"/>
    <n v="6041.17"/>
  </r>
  <r>
    <x v="28"/>
    <n v="2"/>
    <x v="20"/>
    <n v="1843.99"/>
    <n v="5958.95"/>
  </r>
  <r>
    <x v="29"/>
    <n v="2"/>
    <x v="20"/>
    <n v="2340.39"/>
    <n v="6443.87"/>
  </r>
  <r>
    <x v="30"/>
    <n v="2"/>
    <x v="20"/>
    <n v="1974.41"/>
    <n v="6035.11"/>
  </r>
  <r>
    <x v="31"/>
    <n v="2"/>
    <x v="20"/>
    <n v="2295.58"/>
    <n v="6497.04"/>
  </r>
  <r>
    <x v="32"/>
    <n v="2"/>
    <x v="20"/>
    <n v="2239.3000000000002"/>
    <n v="6085.33"/>
  </r>
  <r>
    <x v="33"/>
    <n v="2"/>
    <x v="20"/>
    <n v="1988.83"/>
    <n v="5996.36"/>
  </r>
  <r>
    <x v="34"/>
    <n v="2"/>
    <x v="20"/>
    <n v="2207.16"/>
    <n v="6479.31"/>
  </r>
  <r>
    <x v="35"/>
    <n v="2"/>
    <x v="20"/>
    <n v="1864.98"/>
    <n v="5765.44"/>
  </r>
  <r>
    <x v="36"/>
    <n v="2"/>
    <x v="20"/>
    <n v="2454.04"/>
    <n v="10005.780000000001"/>
  </r>
  <r>
    <x v="37"/>
    <n v="2"/>
    <x v="20"/>
    <n v="1909.18"/>
    <n v="5654.46"/>
  </r>
  <r>
    <x v="38"/>
    <n v="2"/>
    <x v="20"/>
    <n v="1814.84"/>
    <n v="6746.7"/>
  </r>
  <r>
    <x v="39"/>
    <n v="2"/>
    <x v="20"/>
    <n v="1636.96"/>
    <n v="5863.05"/>
  </r>
  <r>
    <x v="40"/>
    <n v="2"/>
    <x v="20"/>
    <n v="1882.27"/>
    <n v="6883.29"/>
  </r>
  <r>
    <x v="41"/>
    <n v="2"/>
    <x v="20"/>
    <n v="1778.33"/>
    <n v="6539.84"/>
  </r>
  <r>
    <x v="42"/>
    <n v="2"/>
    <x v="20"/>
    <n v="1774.06"/>
    <n v="6470.9"/>
  </r>
  <r>
    <x v="43"/>
    <n v="2"/>
    <x v="20"/>
    <n v="2043.31"/>
    <n v="6808.95"/>
  </r>
  <r>
    <x v="44"/>
    <n v="2"/>
    <x v="20"/>
    <n v="1988.71"/>
    <n v="6985.5"/>
  </r>
  <r>
    <x v="45"/>
    <n v="2"/>
    <x v="20"/>
    <n v="1829.87"/>
    <n v="6753.88"/>
  </r>
  <r>
    <x v="46"/>
    <n v="2"/>
    <x v="20"/>
    <n v="1759.15"/>
    <n v="5948.77"/>
  </r>
  <r>
    <x v="47"/>
    <n v="2"/>
    <x v="20"/>
    <n v="1604.36"/>
    <n v="5676.34"/>
  </r>
  <r>
    <x v="48"/>
    <n v="2"/>
    <x v="20"/>
    <n v="3072.49"/>
    <n v="10960.3"/>
  </r>
  <r>
    <x v="49"/>
    <n v="2"/>
    <x v="20"/>
    <n v="2011.08"/>
    <n v="6161.94"/>
  </r>
  <r>
    <x v="50"/>
    <n v="2"/>
    <x v="20"/>
    <n v="2127.88"/>
    <n v="6099.45"/>
  </r>
  <r>
    <x v="51"/>
    <n v="2"/>
    <x v="20"/>
    <n v="1975.09"/>
    <n v="6440.95"/>
  </r>
  <r>
    <x v="52"/>
    <n v="2"/>
    <x v="20"/>
    <n v="1934.82"/>
    <n v="6485.08"/>
  </r>
  <r>
    <x v="53"/>
    <n v="2"/>
    <x v="20"/>
    <n v="2111.25"/>
    <n v="6895.54"/>
  </r>
  <r>
    <x v="54"/>
    <n v="2"/>
    <x v="20"/>
    <n v="1594.25"/>
    <n v="5468.27"/>
  </r>
  <r>
    <x v="55"/>
    <n v="2"/>
    <x v="20"/>
    <n v="1949.21"/>
    <n v="6890.33"/>
  </r>
  <r>
    <x v="56"/>
    <n v="2"/>
    <x v="20"/>
    <n v="1997.38"/>
    <n v="6602.81"/>
  </r>
  <r>
    <x v="57"/>
    <n v="2"/>
    <x v="20"/>
    <n v="2091.77"/>
    <n v="6946.76"/>
  </r>
  <r>
    <x v="58"/>
    <n v="2"/>
    <x v="20"/>
    <n v="2321.86"/>
    <n v="7516.21"/>
  </r>
  <r>
    <x v="59"/>
    <n v="2"/>
    <x v="20"/>
    <n v="1935.68"/>
    <n v="6202.25"/>
  </r>
  <r>
    <x v="60"/>
    <n v="2"/>
    <x v="20"/>
    <n v="2299.5500000000002"/>
    <n v="9122.56"/>
  </r>
  <r>
    <x v="61"/>
    <n v="2"/>
    <x v="20"/>
    <n v="1729.7"/>
    <n v="5967"/>
  </r>
  <r>
    <x v="62"/>
    <n v="2"/>
    <x v="20"/>
    <n v="1761.14"/>
    <n v="6587.64"/>
  </r>
  <r>
    <x v="63"/>
    <n v="2"/>
    <x v="20"/>
    <n v="1769.52"/>
    <n v="6096.46"/>
  </r>
  <r>
    <x v="64"/>
    <n v="2"/>
    <x v="20"/>
    <n v="1868.18"/>
    <n v="7022.91"/>
  </r>
  <r>
    <x v="65"/>
    <n v="2"/>
    <x v="20"/>
    <n v="1899.87"/>
    <n v="7141.2"/>
  </r>
  <r>
    <x v="66"/>
    <n v="2"/>
    <x v="20"/>
    <n v="1664.25"/>
    <n v="6087.41"/>
  </r>
  <r>
    <x v="67"/>
    <n v="2"/>
    <x v="20"/>
    <n v="1799.47"/>
    <n v="7140.23"/>
  </r>
  <r>
    <x v="68"/>
    <n v="2"/>
    <x v="20"/>
    <n v="1695.86"/>
    <n v="6212.73"/>
  </r>
  <r>
    <x v="69"/>
    <n v="2"/>
    <x v="20"/>
    <n v="1826.87"/>
    <n v="6683.68"/>
  </r>
  <r>
    <x v="70"/>
    <n v="2"/>
    <x v="20"/>
    <n v="2177.56"/>
    <n v="7019.28"/>
  </r>
  <r>
    <x v="71"/>
    <n v="2"/>
    <x v="20"/>
    <n v="1889.45"/>
    <n v="6896.81"/>
  </r>
  <r>
    <x v="72"/>
    <n v="2"/>
    <x v="20"/>
    <n v="832.35"/>
    <n v="216.38"/>
  </r>
  <r>
    <x v="73"/>
    <n v="2"/>
    <x v="20"/>
    <n v="653.94000000000005"/>
    <n v="160.09"/>
  </r>
  <r>
    <x v="74"/>
    <n v="2"/>
    <x v="20"/>
    <n v="681.99"/>
    <n v="171.6"/>
  </r>
  <r>
    <x v="75"/>
    <n v="2"/>
    <x v="20"/>
    <n v="624.39"/>
    <n v="150.16999999999999"/>
  </r>
  <r>
    <x v="76"/>
    <n v="2"/>
    <x v="20"/>
    <n v="642.11"/>
    <n v="143.21"/>
  </r>
  <r>
    <x v="77"/>
    <n v="2"/>
    <x v="20"/>
    <n v="580.79999999999995"/>
    <n v="125.81"/>
  </r>
  <r>
    <x v="78"/>
    <n v="2"/>
    <x v="20"/>
    <n v="602.51"/>
    <n v="145.85"/>
  </r>
  <r>
    <x v="79"/>
    <n v="2"/>
    <x v="20"/>
    <n v="679.5"/>
    <n v="281.77"/>
  </r>
  <r>
    <x v="80"/>
    <n v="2"/>
    <x v="20"/>
    <n v="667.77"/>
    <n v="180.76"/>
  </r>
  <r>
    <x v="81"/>
    <n v="2"/>
    <x v="20"/>
    <n v="636.54999999999995"/>
    <n v="130.54"/>
  </r>
  <r>
    <x v="82"/>
    <n v="2"/>
    <x v="20"/>
    <n v="799.67"/>
    <n v="203.13"/>
  </r>
  <r>
    <x v="83"/>
    <n v="2"/>
    <x v="20"/>
    <n v="710.11"/>
    <n v="145.34"/>
  </r>
  <r>
    <x v="84"/>
    <n v="2"/>
    <x v="20"/>
    <n v="1124.26"/>
    <n v="299.47000000000003"/>
  </r>
  <r>
    <x v="85"/>
    <n v="2"/>
    <x v="20"/>
    <n v="1011.77"/>
    <n v="257.08"/>
  </r>
  <r>
    <x v="86"/>
    <n v="2"/>
    <x v="20"/>
    <n v="1060.23"/>
    <n v="323.02999999999997"/>
  </r>
  <r>
    <x v="87"/>
    <n v="2"/>
    <x v="20"/>
    <n v="851.36"/>
    <n v="248.49"/>
  </r>
  <r>
    <x v="88"/>
    <n v="2"/>
    <x v="20"/>
    <n v="769.95"/>
    <n v="191.3"/>
  </r>
  <r>
    <x v="89"/>
    <n v="2"/>
    <x v="20"/>
    <n v="857.59"/>
    <n v="216.68"/>
  </r>
  <r>
    <x v="90"/>
    <n v="2"/>
    <x v="20"/>
    <n v="711.12"/>
    <n v="143.57"/>
  </r>
  <r>
    <x v="91"/>
    <n v="2"/>
    <x v="20"/>
    <n v="647.13"/>
    <n v="141.49"/>
  </r>
  <r>
    <x v="92"/>
    <n v="2"/>
    <x v="20"/>
    <n v="718.02"/>
    <n v="180.09"/>
  </r>
  <r>
    <x v="93"/>
    <n v="2"/>
    <x v="20"/>
    <n v="872.94"/>
    <n v="241.8"/>
  </r>
  <r>
    <x v="94"/>
    <n v="2"/>
    <x v="20"/>
    <n v="794.02"/>
    <n v="165.43"/>
  </r>
  <r>
    <x v="95"/>
    <n v="2"/>
    <x v="20"/>
    <n v="874.99"/>
    <n v="208.81"/>
  </r>
  <r>
    <x v="0"/>
    <n v="2"/>
    <x v="21"/>
    <n v="4189.45"/>
    <n v="9532.4"/>
  </r>
  <r>
    <x v="1"/>
    <n v="2"/>
    <x v="21"/>
    <n v="2944.73"/>
    <n v="6157.02"/>
  </r>
  <r>
    <x v="2"/>
    <n v="2"/>
    <x v="21"/>
    <n v="2744.15"/>
    <n v="6176.42"/>
  </r>
  <r>
    <x v="3"/>
    <n v="2"/>
    <x v="21"/>
    <n v="2720.69"/>
    <n v="6347.77"/>
  </r>
  <r>
    <x v="4"/>
    <n v="2"/>
    <x v="21"/>
    <n v="2752.38"/>
    <n v="6369.43"/>
  </r>
  <r>
    <x v="5"/>
    <n v="2"/>
    <x v="21"/>
    <n v="2836.18"/>
    <n v="6458.17"/>
  </r>
  <r>
    <x v="6"/>
    <n v="2"/>
    <x v="21"/>
    <n v="2653.48"/>
    <n v="5745.04"/>
  </r>
  <r>
    <x v="7"/>
    <n v="2"/>
    <x v="21"/>
    <n v="2887.92"/>
    <n v="6811.27"/>
  </r>
  <r>
    <x v="8"/>
    <n v="2"/>
    <x v="21"/>
    <n v="2951.09"/>
    <n v="6572.28"/>
  </r>
  <r>
    <x v="9"/>
    <n v="2"/>
    <x v="21"/>
    <n v="2894.11"/>
    <n v="6379.6"/>
  </r>
  <r>
    <x v="10"/>
    <n v="2"/>
    <x v="21"/>
    <n v="2951.39"/>
    <n v="6167.56"/>
  </r>
  <r>
    <x v="11"/>
    <n v="2"/>
    <x v="21"/>
    <n v="4543.7700000000004"/>
    <n v="8394.3700000000008"/>
  </r>
  <r>
    <x v="12"/>
    <n v="2"/>
    <x v="21"/>
    <n v="15918.27"/>
    <n v="9323.32"/>
  </r>
  <r>
    <x v="13"/>
    <n v="2"/>
    <x v="21"/>
    <n v="9218.5400000000009"/>
    <n v="5774.93"/>
  </r>
  <r>
    <x v="14"/>
    <n v="2"/>
    <x v="21"/>
    <n v="9757.99"/>
    <n v="6099"/>
  </r>
  <r>
    <x v="15"/>
    <n v="2"/>
    <x v="21"/>
    <n v="10034.950000000001"/>
    <n v="6281.77"/>
  </r>
  <r>
    <x v="16"/>
    <n v="2"/>
    <x v="21"/>
    <n v="9819.48"/>
    <n v="6311.27"/>
  </r>
  <r>
    <x v="17"/>
    <n v="2"/>
    <x v="21"/>
    <n v="10219.15"/>
    <n v="6043.83"/>
  </r>
  <r>
    <x v="18"/>
    <n v="2"/>
    <x v="21"/>
    <n v="9590.9699999999993"/>
    <n v="5660.96"/>
  </r>
  <r>
    <x v="19"/>
    <n v="2"/>
    <x v="21"/>
    <n v="10532.7"/>
    <n v="6340.73"/>
  </r>
  <r>
    <x v="20"/>
    <n v="2"/>
    <x v="21"/>
    <n v="10830.29"/>
    <n v="6570.65"/>
  </r>
  <r>
    <x v="21"/>
    <n v="2"/>
    <x v="21"/>
    <n v="10367.280000000001"/>
    <n v="6236.92"/>
  </r>
  <r>
    <x v="22"/>
    <n v="2"/>
    <x v="21"/>
    <n v="10224.36"/>
    <n v="5876.06"/>
  </r>
  <r>
    <x v="23"/>
    <n v="2"/>
    <x v="21"/>
    <n v="10281.209999999999"/>
    <n v="5810.12"/>
  </r>
  <r>
    <x v="24"/>
    <n v="2"/>
    <x v="21"/>
    <n v="3555.01"/>
    <n v="9822.49"/>
  </r>
  <r>
    <x v="25"/>
    <n v="2"/>
    <x v="21"/>
    <n v="2548.62"/>
    <n v="5907.12"/>
  </r>
  <r>
    <x v="26"/>
    <n v="2"/>
    <x v="21"/>
    <n v="2395.88"/>
    <n v="5795.97"/>
  </r>
  <r>
    <x v="27"/>
    <n v="2"/>
    <x v="21"/>
    <n v="2497.64"/>
    <n v="6103.67"/>
  </r>
  <r>
    <x v="28"/>
    <n v="2"/>
    <x v="21"/>
    <n v="2262.91"/>
    <n v="6020.07"/>
  </r>
  <r>
    <x v="29"/>
    <n v="2"/>
    <x v="21"/>
    <n v="2805.18"/>
    <n v="6510.29"/>
  </r>
  <r>
    <x v="30"/>
    <n v="2"/>
    <x v="21"/>
    <n v="2400.4899999999998"/>
    <n v="6094.89"/>
  </r>
  <r>
    <x v="31"/>
    <n v="2"/>
    <x v="21"/>
    <n v="2760.17"/>
    <n v="6560.12"/>
  </r>
  <r>
    <x v="32"/>
    <n v="2"/>
    <x v="21"/>
    <n v="2650.58"/>
    <n v="6145.24"/>
  </r>
  <r>
    <x v="33"/>
    <n v="2"/>
    <x v="21"/>
    <n v="2417.42"/>
    <n v="6058.87"/>
  </r>
  <r>
    <x v="34"/>
    <n v="2"/>
    <x v="21"/>
    <n v="2703.51"/>
    <n v="6546.73"/>
  </r>
  <r>
    <x v="35"/>
    <n v="2"/>
    <x v="21"/>
    <n v="2299.0500000000002"/>
    <n v="5824.38"/>
  </r>
  <r>
    <x v="36"/>
    <n v="2"/>
    <x v="21"/>
    <n v="2724.64"/>
    <n v="10054.91"/>
  </r>
  <r>
    <x v="37"/>
    <n v="2"/>
    <x v="21"/>
    <n v="2076.42"/>
    <n v="5684.61"/>
  </r>
  <r>
    <x v="38"/>
    <n v="2"/>
    <x v="21"/>
    <n v="2011.82"/>
    <n v="6780.99"/>
  </r>
  <r>
    <x v="39"/>
    <n v="2"/>
    <x v="21"/>
    <n v="1810.54"/>
    <n v="5894.07"/>
  </r>
  <r>
    <x v="40"/>
    <n v="2"/>
    <x v="21"/>
    <n v="2082.5500000000002"/>
    <n v="6917.05"/>
  </r>
  <r>
    <x v="41"/>
    <n v="2"/>
    <x v="21"/>
    <n v="1983.29"/>
    <n v="6574.69"/>
  </r>
  <r>
    <x v="42"/>
    <n v="2"/>
    <x v="21"/>
    <n v="1973.38"/>
    <n v="6505.4"/>
  </r>
  <r>
    <x v="43"/>
    <n v="2"/>
    <x v="21"/>
    <n v="2235.09"/>
    <n v="6839.98"/>
  </r>
  <r>
    <x v="44"/>
    <n v="2"/>
    <x v="21"/>
    <n v="2189.75"/>
    <n v="7019.68"/>
  </r>
  <r>
    <x v="45"/>
    <n v="2"/>
    <x v="21"/>
    <n v="2017.07"/>
    <n v="6784.57"/>
  </r>
  <r>
    <x v="46"/>
    <n v="2"/>
    <x v="21"/>
    <n v="1926.85"/>
    <n v="5974.17"/>
  </r>
  <r>
    <x v="47"/>
    <n v="2"/>
    <x v="21"/>
    <n v="1776.09"/>
    <n v="5698.78"/>
  </r>
  <r>
    <x v="48"/>
    <n v="2"/>
    <x v="21"/>
    <n v="3382.82"/>
    <n v="11014.39"/>
  </r>
  <r>
    <x v="49"/>
    <n v="2"/>
    <x v="21"/>
    <n v="2202.4"/>
    <n v="6192.58"/>
  </r>
  <r>
    <x v="50"/>
    <n v="2"/>
    <x v="21"/>
    <n v="2314.7800000000002"/>
    <n v="6132.18"/>
  </r>
  <r>
    <x v="51"/>
    <n v="2"/>
    <x v="21"/>
    <n v="2160.86"/>
    <n v="6471.85"/>
  </r>
  <r>
    <x v="52"/>
    <n v="2"/>
    <x v="21"/>
    <n v="2118.1999999999998"/>
    <n v="6517.34"/>
  </r>
  <r>
    <x v="53"/>
    <n v="2"/>
    <x v="21"/>
    <n v="2319.83"/>
    <n v="6934.59"/>
  </r>
  <r>
    <x v="54"/>
    <n v="2"/>
    <x v="21"/>
    <n v="1748.3"/>
    <n v="5497.62"/>
  </r>
  <r>
    <x v="55"/>
    <n v="2"/>
    <x v="21"/>
    <n v="2138.08"/>
    <n v="6923"/>
  </r>
  <r>
    <x v="56"/>
    <n v="2"/>
    <x v="21"/>
    <n v="2186.12"/>
    <n v="6636.87"/>
  </r>
  <r>
    <x v="57"/>
    <n v="2"/>
    <x v="21"/>
    <n v="2295.75"/>
    <n v="6980.99"/>
  </r>
  <r>
    <x v="58"/>
    <n v="2"/>
    <x v="21"/>
    <n v="2526.52"/>
    <n v="7557.68"/>
  </r>
  <r>
    <x v="59"/>
    <n v="2"/>
    <x v="21"/>
    <n v="2136.67"/>
    <n v="6238.99"/>
  </r>
  <r>
    <x v="60"/>
    <n v="2"/>
    <x v="21"/>
    <n v="2568.3000000000002"/>
    <n v="9177.0300000000007"/>
  </r>
  <r>
    <x v="61"/>
    <n v="2"/>
    <x v="21"/>
    <n v="1907.88"/>
    <n v="5997.97"/>
  </r>
  <r>
    <x v="62"/>
    <n v="2"/>
    <x v="21"/>
    <n v="1947.92"/>
    <n v="6622.87"/>
  </r>
  <r>
    <x v="63"/>
    <n v="2"/>
    <x v="21"/>
    <n v="1954.67"/>
    <n v="6131.57"/>
  </r>
  <r>
    <x v="64"/>
    <n v="2"/>
    <x v="21"/>
    <n v="2065.0500000000002"/>
    <n v="7060.08"/>
  </r>
  <r>
    <x v="65"/>
    <n v="2"/>
    <x v="21"/>
    <n v="2112.63"/>
    <n v="7174.73"/>
  </r>
  <r>
    <x v="66"/>
    <n v="2"/>
    <x v="21"/>
    <n v="1841.15"/>
    <n v="6117.24"/>
  </r>
  <r>
    <x v="67"/>
    <n v="2"/>
    <x v="21"/>
    <n v="1997.48"/>
    <n v="7176.34"/>
  </r>
  <r>
    <x v="68"/>
    <n v="2"/>
    <x v="21"/>
    <n v="1860.72"/>
    <n v="6242.91"/>
  </r>
  <r>
    <x v="69"/>
    <n v="2"/>
    <x v="21"/>
    <n v="2027.53"/>
    <n v="6714.78"/>
  </r>
  <r>
    <x v="70"/>
    <n v="2"/>
    <x v="21"/>
    <n v="2377.1799999999998"/>
    <n v="7052.12"/>
  </r>
  <r>
    <x v="71"/>
    <n v="2"/>
    <x v="21"/>
    <n v="2095.89"/>
    <n v="6925.39"/>
  </r>
  <r>
    <x v="72"/>
    <n v="2"/>
    <x v="21"/>
    <n v="836.52"/>
    <n v="216.11"/>
  </r>
  <r>
    <x v="73"/>
    <n v="2"/>
    <x v="21"/>
    <n v="659.9"/>
    <n v="161.46"/>
  </r>
  <r>
    <x v="74"/>
    <n v="2"/>
    <x v="21"/>
    <n v="687.01"/>
    <n v="173.78"/>
  </r>
  <r>
    <x v="75"/>
    <n v="2"/>
    <x v="21"/>
    <n v="629.72"/>
    <n v="150.41999999999999"/>
  </r>
  <r>
    <x v="76"/>
    <n v="2"/>
    <x v="21"/>
    <n v="648.86"/>
    <n v="144.13999999999999"/>
  </r>
  <r>
    <x v="77"/>
    <n v="2"/>
    <x v="21"/>
    <n v="587.15"/>
    <n v="127.01"/>
  </r>
  <r>
    <x v="78"/>
    <n v="2"/>
    <x v="21"/>
    <n v="609.51"/>
    <n v="146.69"/>
  </r>
  <r>
    <x v="79"/>
    <n v="2"/>
    <x v="21"/>
    <n v="687.47"/>
    <n v="286.85000000000002"/>
  </r>
  <r>
    <x v="80"/>
    <n v="2"/>
    <x v="21"/>
    <n v="674.91"/>
    <n v="181.02"/>
  </r>
  <r>
    <x v="81"/>
    <n v="2"/>
    <x v="21"/>
    <n v="642.39"/>
    <n v="131.61000000000001"/>
  </r>
  <r>
    <x v="82"/>
    <n v="2"/>
    <x v="21"/>
    <n v="804.87"/>
    <n v="203.39"/>
  </r>
  <r>
    <x v="83"/>
    <n v="2"/>
    <x v="21"/>
    <n v="718.76"/>
    <n v="146.72999999999999"/>
  </r>
  <r>
    <x v="84"/>
    <n v="2"/>
    <x v="21"/>
    <n v="1128.3900000000001"/>
    <n v="299.25"/>
  </r>
  <r>
    <x v="85"/>
    <n v="2"/>
    <x v="21"/>
    <n v="1016.84"/>
    <n v="257.08999999999997"/>
  </r>
  <r>
    <x v="86"/>
    <n v="2"/>
    <x v="21"/>
    <n v="1065.27"/>
    <n v="323.42"/>
  </r>
  <r>
    <x v="87"/>
    <n v="2"/>
    <x v="21"/>
    <n v="855.52"/>
    <n v="248.48"/>
  </r>
  <r>
    <x v="88"/>
    <n v="2"/>
    <x v="21"/>
    <n v="776.92"/>
    <n v="191.66"/>
  </r>
  <r>
    <x v="89"/>
    <n v="2"/>
    <x v="21"/>
    <n v="874.68"/>
    <n v="223.57"/>
  </r>
  <r>
    <x v="90"/>
    <n v="2"/>
    <x v="21"/>
    <n v="720.24"/>
    <n v="144.65"/>
  </r>
  <r>
    <x v="91"/>
    <n v="2"/>
    <x v="21"/>
    <n v="655.13"/>
    <n v="143.15"/>
  </r>
  <r>
    <x v="92"/>
    <n v="2"/>
    <x v="21"/>
    <n v="723.3"/>
    <n v="180.38"/>
  </r>
  <r>
    <x v="93"/>
    <n v="2"/>
    <x v="21"/>
    <n v="877.82"/>
    <n v="241.86"/>
  </r>
  <r>
    <x v="94"/>
    <n v="2"/>
    <x v="21"/>
    <n v="798.05"/>
    <n v="164.98"/>
  </r>
  <r>
    <x v="95"/>
    <n v="2"/>
    <x v="21"/>
    <n v="880.05"/>
    <n v="208.65"/>
  </r>
  <r>
    <x v="0"/>
    <n v="2"/>
    <x v="22"/>
    <n v="5448.04"/>
    <n v="9726.19"/>
  </r>
  <r>
    <x v="1"/>
    <n v="2"/>
    <x v="22"/>
    <n v="3784.16"/>
    <n v="6291.14"/>
  </r>
  <r>
    <x v="2"/>
    <n v="2"/>
    <x v="22"/>
    <n v="3604.28"/>
    <n v="6306.41"/>
  </r>
  <r>
    <x v="3"/>
    <n v="2"/>
    <x v="22"/>
    <n v="3508.41"/>
    <n v="6480.95"/>
  </r>
  <r>
    <x v="4"/>
    <n v="2"/>
    <x v="22"/>
    <n v="3551.04"/>
    <n v="6501.47"/>
  </r>
  <r>
    <x v="5"/>
    <n v="2"/>
    <x v="22"/>
    <n v="3721.79"/>
    <n v="6591.93"/>
  </r>
  <r>
    <x v="6"/>
    <n v="2"/>
    <x v="22"/>
    <n v="3416.58"/>
    <n v="5864.24"/>
  </r>
  <r>
    <x v="7"/>
    <n v="2"/>
    <x v="22"/>
    <n v="3732.22"/>
    <n v="6947.8"/>
  </r>
  <r>
    <x v="8"/>
    <n v="2"/>
    <x v="22"/>
    <n v="3819.71"/>
    <n v="6698.51"/>
  </r>
  <r>
    <x v="9"/>
    <n v="2"/>
    <x v="22"/>
    <n v="3746.39"/>
    <n v="6506.48"/>
  </r>
  <r>
    <x v="10"/>
    <n v="2"/>
    <x v="22"/>
    <n v="3787.85"/>
    <n v="6292.65"/>
  </r>
  <r>
    <x v="11"/>
    <n v="2"/>
    <x v="22"/>
    <n v="5179.25"/>
    <n v="8659.8799999999992"/>
  </r>
  <r>
    <x v="12"/>
    <n v="2"/>
    <x v="22"/>
    <n v="16849.849999999999"/>
    <n v="9342.06"/>
  </r>
  <r>
    <x v="13"/>
    <n v="2"/>
    <x v="22"/>
    <n v="9863.61"/>
    <n v="5788.3"/>
  </r>
  <r>
    <x v="14"/>
    <n v="2"/>
    <x v="22"/>
    <n v="10282.41"/>
    <n v="6115.58"/>
  </r>
  <r>
    <x v="15"/>
    <n v="2"/>
    <x v="22"/>
    <n v="10540.61"/>
    <n v="6294.23"/>
  </r>
  <r>
    <x v="16"/>
    <n v="2"/>
    <x v="22"/>
    <n v="10309.92"/>
    <n v="6321.25"/>
  </r>
  <r>
    <x v="17"/>
    <n v="2"/>
    <x v="22"/>
    <n v="10708.59"/>
    <n v="6053.05"/>
  </r>
  <r>
    <x v="18"/>
    <n v="2"/>
    <x v="22"/>
    <n v="10040.01"/>
    <n v="5671.9"/>
  </r>
  <r>
    <x v="19"/>
    <n v="2"/>
    <x v="22"/>
    <n v="11023.45"/>
    <n v="6352.26"/>
  </r>
  <r>
    <x v="20"/>
    <n v="2"/>
    <x v="22"/>
    <n v="11326.41"/>
    <n v="6579.96"/>
  </r>
  <r>
    <x v="21"/>
    <n v="2"/>
    <x v="22"/>
    <n v="11018.63"/>
    <n v="6244.01"/>
  </r>
  <r>
    <x v="22"/>
    <n v="2"/>
    <x v="22"/>
    <n v="10652.26"/>
    <n v="5883.34"/>
  </r>
  <r>
    <x v="23"/>
    <n v="2"/>
    <x v="22"/>
    <n v="10851.24"/>
    <n v="5812.96"/>
  </r>
  <r>
    <x v="24"/>
    <n v="2"/>
    <x v="22"/>
    <n v="4738.8599999999997"/>
    <n v="10016.4"/>
  </r>
  <r>
    <x v="25"/>
    <n v="2"/>
    <x v="22"/>
    <n v="3280.94"/>
    <n v="6024.93"/>
  </r>
  <r>
    <x v="26"/>
    <n v="2"/>
    <x v="22"/>
    <n v="3100.23"/>
    <n v="5912.64"/>
  </r>
  <r>
    <x v="27"/>
    <n v="2"/>
    <x v="22"/>
    <n v="3211.62"/>
    <n v="6228.65"/>
  </r>
  <r>
    <x v="28"/>
    <n v="2"/>
    <x v="22"/>
    <n v="2955.33"/>
    <n v="6139.88"/>
  </r>
  <r>
    <x v="29"/>
    <n v="2"/>
    <x v="22"/>
    <n v="3617.14"/>
    <n v="6640.66"/>
  </r>
  <r>
    <x v="30"/>
    <n v="2"/>
    <x v="22"/>
    <n v="3146.89"/>
    <n v="6216.83"/>
  </r>
  <r>
    <x v="31"/>
    <n v="2"/>
    <x v="22"/>
    <n v="3526.68"/>
    <n v="6687.74"/>
  </r>
  <r>
    <x v="32"/>
    <n v="2"/>
    <x v="22"/>
    <n v="3332.73"/>
    <n v="6263.52"/>
  </r>
  <r>
    <x v="33"/>
    <n v="2"/>
    <x v="22"/>
    <n v="3169.63"/>
    <n v="6178.5"/>
  </r>
  <r>
    <x v="34"/>
    <n v="2"/>
    <x v="22"/>
    <n v="3523.31"/>
    <n v="6678.72"/>
  </r>
  <r>
    <x v="35"/>
    <n v="2"/>
    <x v="22"/>
    <n v="3011.79"/>
    <n v="5947.58"/>
  </r>
  <r>
    <x v="36"/>
    <n v="2"/>
    <x v="22"/>
    <n v="3224.76"/>
    <n v="10144.08"/>
  </r>
  <r>
    <x v="37"/>
    <n v="2"/>
    <x v="22"/>
    <n v="2394.73"/>
    <n v="5744.26"/>
  </r>
  <r>
    <x v="38"/>
    <n v="2"/>
    <x v="22"/>
    <n v="2388"/>
    <n v="6849.24"/>
  </r>
  <r>
    <x v="39"/>
    <n v="2"/>
    <x v="22"/>
    <n v="2137.98"/>
    <n v="5954.87"/>
  </r>
  <r>
    <x v="40"/>
    <n v="2"/>
    <x v="22"/>
    <n v="2449.3200000000002"/>
    <n v="6986"/>
  </r>
  <r>
    <x v="41"/>
    <n v="2"/>
    <x v="22"/>
    <n v="2355.98"/>
    <n v="6644.97"/>
  </r>
  <r>
    <x v="42"/>
    <n v="2"/>
    <x v="22"/>
    <n v="2336.11"/>
    <n v="6573.24"/>
  </r>
  <r>
    <x v="43"/>
    <n v="2"/>
    <x v="22"/>
    <n v="2582.16"/>
    <n v="6905.9"/>
  </r>
  <r>
    <x v="44"/>
    <n v="2"/>
    <x v="22"/>
    <n v="2544.7800000000002"/>
    <n v="7086.31"/>
  </r>
  <r>
    <x v="45"/>
    <n v="2"/>
    <x v="22"/>
    <n v="2359.73"/>
    <n v="6846.98"/>
  </r>
  <r>
    <x v="46"/>
    <n v="2"/>
    <x v="22"/>
    <n v="2224.77"/>
    <n v="6029.26"/>
  </r>
  <r>
    <x v="47"/>
    <n v="2"/>
    <x v="22"/>
    <n v="2100.27"/>
    <n v="5751.08"/>
  </r>
  <r>
    <x v="48"/>
    <n v="2"/>
    <x v="22"/>
    <n v="3973.51"/>
    <n v="11121.37"/>
  </r>
  <r>
    <x v="49"/>
    <n v="2"/>
    <x v="22"/>
    <n v="2552.44"/>
    <n v="6254.93"/>
  </r>
  <r>
    <x v="50"/>
    <n v="2"/>
    <x v="22"/>
    <n v="2643.91"/>
    <n v="6195.68"/>
  </r>
  <r>
    <x v="51"/>
    <n v="2"/>
    <x v="22"/>
    <n v="2497.0300000000002"/>
    <n v="6533.84"/>
  </r>
  <r>
    <x v="52"/>
    <n v="2"/>
    <x v="22"/>
    <n v="2461.91"/>
    <n v="6583.82"/>
  </r>
  <r>
    <x v="53"/>
    <n v="2"/>
    <x v="22"/>
    <n v="2700.74"/>
    <n v="7008.01"/>
  </r>
  <r>
    <x v="54"/>
    <n v="2"/>
    <x v="22"/>
    <n v="2026.19"/>
    <n v="5552.04"/>
  </r>
  <r>
    <x v="55"/>
    <n v="2"/>
    <x v="22"/>
    <n v="2484.98"/>
    <n v="6991.17"/>
  </r>
  <r>
    <x v="56"/>
    <n v="2"/>
    <x v="22"/>
    <n v="2532.1999999999998"/>
    <n v="6703.15"/>
  </r>
  <r>
    <x v="57"/>
    <n v="2"/>
    <x v="22"/>
    <n v="2668.34"/>
    <n v="7055.2"/>
  </r>
  <r>
    <x v="58"/>
    <n v="2"/>
    <x v="22"/>
    <n v="2892.07"/>
    <n v="7633.46"/>
  </r>
  <r>
    <x v="59"/>
    <n v="2"/>
    <x v="22"/>
    <n v="2501.98"/>
    <n v="6308.36"/>
  </r>
  <r>
    <x v="60"/>
    <n v="2"/>
    <x v="22"/>
    <n v="3062.58"/>
    <n v="9273.0499999999993"/>
  </r>
  <r>
    <x v="61"/>
    <n v="2"/>
    <x v="22"/>
    <n v="2234.88"/>
    <n v="6057.82"/>
  </r>
  <r>
    <x v="62"/>
    <n v="2"/>
    <x v="22"/>
    <n v="2291.83"/>
    <n v="6689.81"/>
  </r>
  <r>
    <x v="63"/>
    <n v="2"/>
    <x v="22"/>
    <n v="2283.44"/>
    <n v="6197.52"/>
  </r>
  <r>
    <x v="64"/>
    <n v="2"/>
    <x v="22"/>
    <n v="2435.58"/>
    <n v="7133.33"/>
  </r>
  <r>
    <x v="65"/>
    <n v="2"/>
    <x v="22"/>
    <n v="2490.7600000000002"/>
    <n v="7243.79"/>
  </r>
  <r>
    <x v="66"/>
    <n v="2"/>
    <x v="22"/>
    <n v="2168.0500000000002"/>
    <n v="6176.87"/>
  </r>
  <r>
    <x v="67"/>
    <n v="2"/>
    <x v="22"/>
    <n v="2362.48"/>
    <n v="7248.72"/>
  </r>
  <r>
    <x v="68"/>
    <n v="2"/>
    <x v="22"/>
    <n v="2164.2800000000002"/>
    <n v="6302.63"/>
  </r>
  <r>
    <x v="69"/>
    <n v="2"/>
    <x v="22"/>
    <n v="2393.39"/>
    <n v="6779.36"/>
  </r>
  <r>
    <x v="70"/>
    <n v="2"/>
    <x v="22"/>
    <n v="2744.74"/>
    <n v="7118.43"/>
  </r>
  <r>
    <x v="71"/>
    <n v="2"/>
    <x v="22"/>
    <n v="2485.25"/>
    <n v="6986.75"/>
  </r>
  <r>
    <x v="72"/>
    <n v="2"/>
    <x v="22"/>
    <n v="841.67"/>
    <n v="215.91"/>
  </r>
  <r>
    <x v="73"/>
    <n v="2"/>
    <x v="22"/>
    <n v="666.86"/>
    <n v="163.49"/>
  </r>
  <r>
    <x v="74"/>
    <n v="2"/>
    <x v="22"/>
    <n v="692.87"/>
    <n v="174.75"/>
  </r>
  <r>
    <x v="75"/>
    <n v="2"/>
    <x v="22"/>
    <n v="636.63"/>
    <n v="151.9"/>
  </r>
  <r>
    <x v="76"/>
    <n v="2"/>
    <x v="22"/>
    <n v="655.9"/>
    <n v="144.72"/>
  </r>
  <r>
    <x v="77"/>
    <n v="2"/>
    <x v="22"/>
    <n v="594.04"/>
    <n v="127.56"/>
  </r>
  <r>
    <x v="78"/>
    <n v="2"/>
    <x v="22"/>
    <n v="618.11"/>
    <n v="148.07"/>
  </r>
  <r>
    <x v="79"/>
    <n v="2"/>
    <x v="22"/>
    <n v="696.35"/>
    <n v="291.79000000000002"/>
  </r>
  <r>
    <x v="80"/>
    <n v="2"/>
    <x v="22"/>
    <n v="682.73"/>
    <n v="182.43"/>
  </r>
  <r>
    <x v="81"/>
    <n v="2"/>
    <x v="22"/>
    <n v="649.4"/>
    <n v="132.83000000000001"/>
  </r>
  <r>
    <x v="82"/>
    <n v="2"/>
    <x v="22"/>
    <n v="811.43"/>
    <n v="204.08"/>
  </r>
  <r>
    <x v="83"/>
    <n v="2"/>
    <x v="22"/>
    <n v="727.4"/>
    <n v="148.34"/>
  </r>
  <r>
    <x v="84"/>
    <n v="2"/>
    <x v="22"/>
    <n v="1132.54"/>
    <n v="299.27"/>
  </r>
  <r>
    <x v="85"/>
    <n v="2"/>
    <x v="22"/>
    <n v="1021.71"/>
    <n v="256.81"/>
  </r>
  <r>
    <x v="86"/>
    <n v="2"/>
    <x v="22"/>
    <n v="1069.68"/>
    <n v="323.52"/>
  </r>
  <r>
    <x v="87"/>
    <n v="2"/>
    <x v="22"/>
    <n v="860.64"/>
    <n v="248.8"/>
  </r>
  <r>
    <x v="88"/>
    <n v="2"/>
    <x v="22"/>
    <n v="785.11"/>
    <n v="192.26"/>
  </r>
  <r>
    <x v="89"/>
    <n v="2"/>
    <x v="22"/>
    <n v="889.77"/>
    <n v="229.79"/>
  </r>
  <r>
    <x v="90"/>
    <n v="2"/>
    <x v="22"/>
    <n v="729.49"/>
    <n v="145.36000000000001"/>
  </r>
  <r>
    <x v="91"/>
    <n v="2"/>
    <x v="22"/>
    <n v="663.62"/>
    <n v="143.72"/>
  </r>
  <r>
    <x v="92"/>
    <n v="2"/>
    <x v="22"/>
    <n v="729.58"/>
    <n v="180.8"/>
  </r>
  <r>
    <x v="93"/>
    <n v="2"/>
    <x v="22"/>
    <n v="883.68"/>
    <n v="241.89"/>
  </r>
  <r>
    <x v="94"/>
    <n v="2"/>
    <x v="22"/>
    <n v="801.59"/>
    <n v="164.52"/>
  </r>
  <r>
    <x v="95"/>
    <n v="2"/>
    <x v="22"/>
    <n v="882.98"/>
    <n v="208.62"/>
  </r>
  <r>
    <x v="0"/>
    <n v="2"/>
    <x v="23"/>
    <n v="7165.36"/>
    <n v="10063.709999999999"/>
  </r>
  <r>
    <x v="1"/>
    <n v="2"/>
    <x v="23"/>
    <n v="4970.43"/>
    <n v="6527.27"/>
  </r>
  <r>
    <x v="2"/>
    <n v="2"/>
    <x v="23"/>
    <n v="4774.43"/>
    <n v="6539.85"/>
  </r>
  <r>
    <x v="3"/>
    <n v="2"/>
    <x v="23"/>
    <n v="4629.3599999999997"/>
    <n v="6719.6"/>
  </r>
  <r>
    <x v="4"/>
    <n v="2"/>
    <x v="23"/>
    <n v="4679.18"/>
    <n v="6742.56"/>
  </r>
  <r>
    <x v="5"/>
    <n v="2"/>
    <x v="23"/>
    <n v="4909.99"/>
    <n v="6826.31"/>
  </r>
  <r>
    <x v="6"/>
    <n v="2"/>
    <x v="23"/>
    <n v="4485.08"/>
    <n v="6077.6"/>
  </r>
  <r>
    <x v="7"/>
    <n v="2"/>
    <x v="23"/>
    <n v="4915.4799999999996"/>
    <n v="7187.62"/>
  </r>
  <r>
    <x v="8"/>
    <n v="2"/>
    <x v="23"/>
    <n v="4984.1499999999996"/>
    <n v="6924.61"/>
  </r>
  <r>
    <x v="9"/>
    <n v="2"/>
    <x v="23"/>
    <n v="4882.68"/>
    <n v="6732.83"/>
  </r>
  <r>
    <x v="10"/>
    <n v="2"/>
    <x v="23"/>
    <n v="4946.8599999999997"/>
    <n v="6516.21"/>
  </r>
  <r>
    <x v="11"/>
    <n v="2"/>
    <x v="23"/>
    <n v="5957.6"/>
    <n v="9008.34"/>
  </r>
  <r>
    <x v="12"/>
    <n v="2"/>
    <x v="23"/>
    <n v="17397.21"/>
    <n v="9352.7199999999993"/>
  </r>
  <r>
    <x v="13"/>
    <n v="2"/>
    <x v="23"/>
    <n v="10225.200000000001"/>
    <n v="5797.23"/>
  </r>
  <r>
    <x v="14"/>
    <n v="2"/>
    <x v="23"/>
    <n v="10848.05"/>
    <n v="6125.78"/>
  </r>
  <r>
    <x v="15"/>
    <n v="2"/>
    <x v="23"/>
    <n v="11093.79"/>
    <n v="6306.03"/>
  </r>
  <r>
    <x v="16"/>
    <n v="2"/>
    <x v="23"/>
    <n v="10828.69"/>
    <n v="6328.55"/>
  </r>
  <r>
    <x v="17"/>
    <n v="2"/>
    <x v="23"/>
    <n v="11246.57"/>
    <n v="6058.83"/>
  </r>
  <r>
    <x v="18"/>
    <n v="2"/>
    <x v="23"/>
    <n v="10532.42"/>
    <n v="5680.41"/>
  </r>
  <r>
    <x v="19"/>
    <n v="2"/>
    <x v="23"/>
    <n v="11564.66"/>
    <n v="6359.45"/>
  </r>
  <r>
    <x v="20"/>
    <n v="2"/>
    <x v="23"/>
    <n v="11857.34"/>
    <n v="6586.33"/>
  </r>
  <r>
    <x v="21"/>
    <n v="2"/>
    <x v="23"/>
    <n v="11398.99"/>
    <n v="6249.26"/>
  </r>
  <r>
    <x v="22"/>
    <n v="2"/>
    <x v="23"/>
    <n v="11119.73"/>
    <n v="5891.02"/>
  </r>
  <r>
    <x v="23"/>
    <n v="2"/>
    <x v="23"/>
    <n v="11314.24"/>
    <n v="5809.57"/>
  </r>
  <r>
    <x v="24"/>
    <n v="2"/>
    <x v="23"/>
    <n v="6574.94"/>
    <n v="10379.1"/>
  </r>
  <r>
    <x v="25"/>
    <n v="2"/>
    <x v="23"/>
    <n v="4443.66"/>
    <n v="6241.93"/>
  </r>
  <r>
    <x v="26"/>
    <n v="2"/>
    <x v="23"/>
    <n v="4176.68"/>
    <n v="6126.39"/>
  </r>
  <r>
    <x v="27"/>
    <n v="2"/>
    <x v="23"/>
    <n v="4309.1899999999996"/>
    <n v="6459.86"/>
  </r>
  <r>
    <x v="28"/>
    <n v="2"/>
    <x v="23"/>
    <n v="4017.13"/>
    <n v="6360.7"/>
  </r>
  <r>
    <x v="29"/>
    <n v="2"/>
    <x v="23"/>
    <n v="4829.9799999999996"/>
    <n v="6877.93"/>
  </r>
  <r>
    <x v="30"/>
    <n v="2"/>
    <x v="23"/>
    <n v="4270.5"/>
    <n v="6434.59"/>
  </r>
  <r>
    <x v="31"/>
    <n v="2"/>
    <x v="23"/>
    <n v="4702.07"/>
    <n v="6923.06"/>
  </r>
  <r>
    <x v="32"/>
    <n v="2"/>
    <x v="23"/>
    <n v="4379.72"/>
    <n v="6487.83"/>
  </r>
  <r>
    <x v="33"/>
    <n v="2"/>
    <x v="23"/>
    <n v="4351.97"/>
    <n v="6397.9"/>
  </r>
  <r>
    <x v="34"/>
    <n v="2"/>
    <x v="23"/>
    <n v="4774.1499999999996"/>
    <n v="6929.2"/>
  </r>
  <r>
    <x v="35"/>
    <n v="2"/>
    <x v="23"/>
    <n v="4093.13"/>
    <n v="6176.95"/>
  </r>
  <r>
    <x v="36"/>
    <n v="2"/>
    <x v="23"/>
    <n v="4148.08"/>
    <n v="10307.23"/>
  </r>
  <r>
    <x v="37"/>
    <n v="2"/>
    <x v="23"/>
    <n v="2956.56"/>
    <n v="5855.64"/>
  </r>
  <r>
    <x v="38"/>
    <n v="2"/>
    <x v="23"/>
    <n v="3032.25"/>
    <n v="6980.91"/>
  </r>
  <r>
    <x v="39"/>
    <n v="2"/>
    <x v="23"/>
    <n v="2694.77"/>
    <n v="6071.94"/>
  </r>
  <r>
    <x v="40"/>
    <n v="2"/>
    <x v="23"/>
    <n v="3094.66"/>
    <n v="7118.31"/>
  </r>
  <r>
    <x v="41"/>
    <n v="2"/>
    <x v="23"/>
    <n v="3012.61"/>
    <n v="6770.02"/>
  </r>
  <r>
    <x v="42"/>
    <n v="2"/>
    <x v="23"/>
    <n v="2979.09"/>
    <n v="6700.16"/>
  </r>
  <r>
    <x v="43"/>
    <n v="2"/>
    <x v="23"/>
    <n v="3212.58"/>
    <n v="7030.86"/>
  </r>
  <r>
    <x v="44"/>
    <n v="2"/>
    <x v="23"/>
    <n v="3167.94"/>
    <n v="7214.99"/>
  </r>
  <r>
    <x v="45"/>
    <n v="2"/>
    <x v="23"/>
    <n v="2969.02"/>
    <n v="6966.7"/>
  </r>
  <r>
    <x v="46"/>
    <n v="2"/>
    <x v="23"/>
    <n v="2750.41"/>
    <n v="6131.73"/>
  </r>
  <r>
    <x v="47"/>
    <n v="2"/>
    <x v="23"/>
    <n v="2656.16"/>
    <n v="5855.37"/>
  </r>
  <r>
    <x v="48"/>
    <n v="2"/>
    <x v="23"/>
    <n v="4993.96"/>
    <n v="11318.96"/>
  </r>
  <r>
    <x v="49"/>
    <n v="2"/>
    <x v="23"/>
    <n v="3187.72"/>
    <n v="6370.11"/>
  </r>
  <r>
    <x v="50"/>
    <n v="2"/>
    <x v="23"/>
    <n v="3221.05"/>
    <n v="6316.44"/>
  </r>
  <r>
    <x v="51"/>
    <n v="2"/>
    <x v="23"/>
    <n v="3086.95"/>
    <n v="6656.35"/>
  </r>
  <r>
    <x v="52"/>
    <n v="2"/>
    <x v="23"/>
    <n v="3047.85"/>
    <n v="6708.55"/>
  </r>
  <r>
    <x v="53"/>
    <n v="2"/>
    <x v="23"/>
    <n v="3345.22"/>
    <n v="7144.28"/>
  </r>
  <r>
    <x v="54"/>
    <n v="2"/>
    <x v="23"/>
    <n v="2516.91"/>
    <n v="5653.41"/>
  </r>
  <r>
    <x v="55"/>
    <n v="2"/>
    <x v="23"/>
    <n v="3095.27"/>
    <n v="7124.78"/>
  </r>
  <r>
    <x v="56"/>
    <n v="2"/>
    <x v="23"/>
    <n v="3145.36"/>
    <n v="6827.76"/>
  </r>
  <r>
    <x v="57"/>
    <n v="2"/>
    <x v="23"/>
    <n v="3329.71"/>
    <n v="7198.48"/>
  </r>
  <r>
    <x v="58"/>
    <n v="2"/>
    <x v="23"/>
    <n v="3534.04"/>
    <n v="7776.84"/>
  </r>
  <r>
    <x v="59"/>
    <n v="2"/>
    <x v="23"/>
    <n v="3142.39"/>
    <n v="6443.73"/>
  </r>
  <r>
    <x v="60"/>
    <n v="2"/>
    <x v="23"/>
    <n v="3909.66"/>
    <n v="9448.9500000000007"/>
  </r>
  <r>
    <x v="61"/>
    <n v="2"/>
    <x v="23"/>
    <n v="2813.91"/>
    <n v="6170.78"/>
  </r>
  <r>
    <x v="62"/>
    <n v="2"/>
    <x v="23"/>
    <n v="2923.53"/>
    <n v="6813.25"/>
  </r>
  <r>
    <x v="63"/>
    <n v="2"/>
    <x v="23"/>
    <n v="2857.46"/>
    <n v="6317.75"/>
  </r>
  <r>
    <x v="64"/>
    <n v="2"/>
    <x v="23"/>
    <n v="3074.02"/>
    <n v="7267.29"/>
  </r>
  <r>
    <x v="65"/>
    <n v="2"/>
    <x v="23"/>
    <n v="3155.38"/>
    <n v="7377.97"/>
  </r>
  <r>
    <x v="66"/>
    <n v="2"/>
    <x v="23"/>
    <n v="2763.18"/>
    <n v="6287.9"/>
  </r>
  <r>
    <x v="67"/>
    <n v="2"/>
    <x v="23"/>
    <n v="3030.67"/>
    <n v="7381.86"/>
  </r>
  <r>
    <x v="68"/>
    <n v="2"/>
    <x v="23"/>
    <n v="2703.47"/>
    <n v="6418.58"/>
  </r>
  <r>
    <x v="69"/>
    <n v="2"/>
    <x v="23"/>
    <n v="3063.64"/>
    <n v="6907.83"/>
  </r>
  <r>
    <x v="70"/>
    <n v="2"/>
    <x v="23"/>
    <n v="3396.89"/>
    <n v="7241.78"/>
  </r>
  <r>
    <x v="71"/>
    <n v="2"/>
    <x v="23"/>
    <n v="3151.16"/>
    <n v="7112.86"/>
  </r>
  <r>
    <x v="72"/>
    <n v="2"/>
    <x v="23"/>
    <n v="848.56"/>
    <n v="214.48"/>
  </r>
  <r>
    <x v="73"/>
    <n v="2"/>
    <x v="23"/>
    <n v="675.64"/>
    <n v="165.23"/>
  </r>
  <r>
    <x v="74"/>
    <n v="2"/>
    <x v="23"/>
    <n v="702.8"/>
    <n v="174.57"/>
  </r>
  <r>
    <x v="75"/>
    <n v="2"/>
    <x v="23"/>
    <n v="646.69000000000005"/>
    <n v="152.72"/>
  </r>
  <r>
    <x v="76"/>
    <n v="2"/>
    <x v="23"/>
    <n v="664.48"/>
    <n v="145.28"/>
  </r>
  <r>
    <x v="77"/>
    <n v="2"/>
    <x v="23"/>
    <n v="602.38"/>
    <n v="127.84"/>
  </r>
  <r>
    <x v="78"/>
    <n v="2"/>
    <x v="23"/>
    <n v="628.27"/>
    <n v="149.19999999999999"/>
  </r>
  <r>
    <x v="79"/>
    <n v="2"/>
    <x v="23"/>
    <n v="707.66"/>
    <n v="296.06"/>
  </r>
  <r>
    <x v="80"/>
    <n v="2"/>
    <x v="23"/>
    <n v="691.39"/>
    <n v="183.64"/>
  </r>
  <r>
    <x v="81"/>
    <n v="2"/>
    <x v="23"/>
    <n v="657.41"/>
    <n v="133.13999999999999"/>
  </r>
  <r>
    <x v="82"/>
    <n v="2"/>
    <x v="23"/>
    <n v="818.38"/>
    <n v="203.73"/>
  </r>
  <r>
    <x v="83"/>
    <n v="2"/>
    <x v="23"/>
    <n v="733.07"/>
    <n v="148"/>
  </r>
  <r>
    <x v="84"/>
    <n v="2"/>
    <x v="23"/>
    <n v="1134.6300000000001"/>
    <n v="298.73"/>
  </r>
  <r>
    <x v="85"/>
    <n v="2"/>
    <x v="23"/>
    <n v="1026.57"/>
    <n v="256.81"/>
  </r>
  <r>
    <x v="86"/>
    <n v="2"/>
    <x v="23"/>
    <n v="1074.8599999999999"/>
    <n v="322.23"/>
  </r>
  <r>
    <x v="87"/>
    <n v="2"/>
    <x v="23"/>
    <n v="867.16"/>
    <n v="248.26"/>
  </r>
  <r>
    <x v="88"/>
    <n v="2"/>
    <x v="23"/>
    <n v="793.69"/>
    <n v="192.36"/>
  </r>
  <r>
    <x v="89"/>
    <n v="2"/>
    <x v="23"/>
    <n v="903.36"/>
    <n v="234.5"/>
  </r>
  <r>
    <x v="90"/>
    <n v="2"/>
    <x v="23"/>
    <n v="735.18"/>
    <n v="145.58000000000001"/>
  </r>
  <r>
    <x v="91"/>
    <n v="2"/>
    <x v="23"/>
    <n v="671.52"/>
    <n v="143.94999999999999"/>
  </r>
  <r>
    <x v="92"/>
    <n v="2"/>
    <x v="23"/>
    <n v="736.54"/>
    <n v="180.45"/>
  </r>
  <r>
    <x v="93"/>
    <n v="2"/>
    <x v="23"/>
    <n v="890.46"/>
    <n v="241.55"/>
  </r>
  <r>
    <x v="94"/>
    <n v="2"/>
    <x v="23"/>
    <n v="806.04"/>
    <n v="163.12"/>
  </r>
  <r>
    <x v="95"/>
    <n v="2"/>
    <x v="23"/>
    <n v="888.23"/>
    <n v="207.6"/>
  </r>
  <r>
    <x v="0"/>
    <n v="2"/>
    <x v="24"/>
    <n v="9421.4599999999991"/>
    <n v="10621.05"/>
  </r>
  <r>
    <x v="1"/>
    <n v="2"/>
    <x v="24"/>
    <n v="6557.32"/>
    <n v="6910.93"/>
  </r>
  <r>
    <x v="2"/>
    <n v="2"/>
    <x v="24"/>
    <n v="6340.98"/>
    <n v="6917.38"/>
  </r>
  <r>
    <x v="3"/>
    <n v="2"/>
    <x v="24"/>
    <n v="6138.21"/>
    <n v="7097.27"/>
  </r>
  <r>
    <x v="4"/>
    <n v="2"/>
    <x v="24"/>
    <n v="6186.37"/>
    <n v="7120.3"/>
  </r>
  <r>
    <x v="5"/>
    <n v="2"/>
    <x v="24"/>
    <n v="6491.83"/>
    <n v="7219.93"/>
  </r>
  <r>
    <x v="6"/>
    <n v="2"/>
    <x v="24"/>
    <n v="5880.8"/>
    <n v="6421.61"/>
  </r>
  <r>
    <x v="7"/>
    <n v="2"/>
    <x v="24"/>
    <n v="6493.65"/>
    <n v="7592.88"/>
  </r>
  <r>
    <x v="8"/>
    <n v="2"/>
    <x v="24"/>
    <n v="6496.15"/>
    <n v="7295.78"/>
  </r>
  <r>
    <x v="9"/>
    <n v="2"/>
    <x v="24"/>
    <n v="6353.59"/>
    <n v="7099.99"/>
  </r>
  <r>
    <x v="10"/>
    <n v="2"/>
    <x v="24"/>
    <n v="6399.72"/>
    <n v="6878.89"/>
  </r>
  <r>
    <x v="11"/>
    <n v="2"/>
    <x v="24"/>
    <n v="6895.13"/>
    <n v="9421.19"/>
  </r>
  <r>
    <x v="12"/>
    <n v="2"/>
    <x v="24"/>
    <n v="17998.18"/>
    <n v="9366.27"/>
  </r>
  <r>
    <x v="13"/>
    <n v="2"/>
    <x v="24"/>
    <n v="10614.53"/>
    <n v="5807.09"/>
  </r>
  <r>
    <x v="14"/>
    <n v="2"/>
    <x v="24"/>
    <n v="11302.07"/>
    <n v="6137.75"/>
  </r>
  <r>
    <x v="15"/>
    <n v="2"/>
    <x v="24"/>
    <n v="11546.31"/>
    <n v="6316.83"/>
  </r>
  <r>
    <x v="16"/>
    <n v="2"/>
    <x v="24"/>
    <n v="11132.51"/>
    <n v="6336.71"/>
  </r>
  <r>
    <x v="17"/>
    <n v="2"/>
    <x v="24"/>
    <n v="11560.88"/>
    <n v="6062.62"/>
  </r>
  <r>
    <x v="18"/>
    <n v="2"/>
    <x v="24"/>
    <n v="10934.37"/>
    <n v="5683.58"/>
  </r>
  <r>
    <x v="19"/>
    <n v="2"/>
    <x v="24"/>
    <n v="11880.21"/>
    <n v="6366.97"/>
  </r>
  <r>
    <x v="20"/>
    <n v="2"/>
    <x v="24"/>
    <n v="12167.15"/>
    <n v="6591.64"/>
  </r>
  <r>
    <x v="21"/>
    <n v="2"/>
    <x v="24"/>
    <n v="11818.95"/>
    <n v="6254.3"/>
  </r>
  <r>
    <x v="22"/>
    <n v="2"/>
    <x v="24"/>
    <n v="11392.08"/>
    <n v="5893"/>
  </r>
  <r>
    <x v="23"/>
    <n v="2"/>
    <x v="24"/>
    <n v="11575.01"/>
    <n v="5805.54"/>
  </r>
  <r>
    <x v="24"/>
    <n v="2"/>
    <x v="24"/>
    <n v="9170.44"/>
    <n v="11006.23"/>
  </r>
  <r>
    <x v="25"/>
    <n v="2"/>
    <x v="24"/>
    <n v="6035.84"/>
    <n v="6617.81"/>
  </r>
  <r>
    <x v="26"/>
    <n v="2"/>
    <x v="24"/>
    <n v="5696.44"/>
    <n v="6493.63"/>
  </r>
  <r>
    <x v="27"/>
    <n v="2"/>
    <x v="24"/>
    <n v="5851.78"/>
    <n v="6843.68"/>
  </r>
  <r>
    <x v="28"/>
    <n v="2"/>
    <x v="24"/>
    <n v="5511.06"/>
    <n v="6740.74"/>
  </r>
  <r>
    <x v="29"/>
    <n v="2"/>
    <x v="24"/>
    <n v="6511.25"/>
    <n v="7287.54"/>
  </r>
  <r>
    <x v="30"/>
    <n v="2"/>
    <x v="24"/>
    <n v="5842.26"/>
    <n v="6809.59"/>
  </r>
  <r>
    <x v="31"/>
    <n v="2"/>
    <x v="24"/>
    <n v="6359.25"/>
    <n v="7329.32"/>
  </r>
  <r>
    <x v="32"/>
    <n v="2"/>
    <x v="24"/>
    <n v="5844.24"/>
    <n v="6874.43"/>
  </r>
  <r>
    <x v="33"/>
    <n v="2"/>
    <x v="24"/>
    <n v="5941.16"/>
    <n v="6779.95"/>
  </r>
  <r>
    <x v="34"/>
    <n v="2"/>
    <x v="24"/>
    <n v="6529.28"/>
    <n v="7362.13"/>
  </r>
  <r>
    <x v="35"/>
    <n v="2"/>
    <x v="24"/>
    <n v="5599.29"/>
    <n v="6559.33"/>
  </r>
  <r>
    <x v="36"/>
    <n v="2"/>
    <x v="24"/>
    <n v="5645.89"/>
    <n v="10610.68"/>
  </r>
  <r>
    <x v="37"/>
    <n v="2"/>
    <x v="24"/>
    <n v="3871.77"/>
    <n v="6053.11"/>
  </r>
  <r>
    <x v="38"/>
    <n v="2"/>
    <x v="24"/>
    <n v="4109.6499999999996"/>
    <n v="7222.51"/>
  </r>
  <r>
    <x v="39"/>
    <n v="2"/>
    <x v="24"/>
    <n v="3596.1"/>
    <n v="6281.11"/>
  </r>
  <r>
    <x v="40"/>
    <n v="2"/>
    <x v="24"/>
    <n v="4145.54"/>
    <n v="7370.73"/>
  </r>
  <r>
    <x v="41"/>
    <n v="2"/>
    <x v="24"/>
    <n v="4118.78"/>
    <n v="6999.47"/>
  </r>
  <r>
    <x v="42"/>
    <n v="2"/>
    <x v="24"/>
    <n v="4063.39"/>
    <n v="6934.37"/>
  </r>
  <r>
    <x v="43"/>
    <n v="2"/>
    <x v="24"/>
    <n v="4249.51"/>
    <n v="7269.78"/>
  </r>
  <r>
    <x v="44"/>
    <n v="2"/>
    <x v="24"/>
    <n v="4219.88"/>
    <n v="7452.09"/>
  </r>
  <r>
    <x v="45"/>
    <n v="2"/>
    <x v="24"/>
    <n v="3974.99"/>
    <n v="7191.39"/>
  </r>
  <r>
    <x v="46"/>
    <n v="2"/>
    <x v="24"/>
    <n v="3620.45"/>
    <n v="6325.51"/>
  </r>
  <r>
    <x v="47"/>
    <n v="2"/>
    <x v="24"/>
    <n v="3561.47"/>
    <n v="6051.16"/>
  </r>
  <r>
    <x v="48"/>
    <n v="2"/>
    <x v="24"/>
    <n v="6673.48"/>
    <n v="11681.56"/>
  </r>
  <r>
    <x v="49"/>
    <n v="2"/>
    <x v="24"/>
    <n v="4203.82"/>
    <n v="6584.98"/>
  </r>
  <r>
    <x v="50"/>
    <n v="2"/>
    <x v="24"/>
    <n v="4169.9799999999996"/>
    <n v="6530.48"/>
  </r>
  <r>
    <x v="51"/>
    <n v="2"/>
    <x v="24"/>
    <n v="4052.37"/>
    <n v="6879.3"/>
  </r>
  <r>
    <x v="52"/>
    <n v="2"/>
    <x v="24"/>
    <n v="3998.34"/>
    <n v="6936.6"/>
  </r>
  <r>
    <x v="53"/>
    <n v="2"/>
    <x v="24"/>
    <n v="4424.49"/>
    <n v="7405.62"/>
  </r>
  <r>
    <x v="54"/>
    <n v="2"/>
    <x v="24"/>
    <n v="3327.12"/>
    <n v="5842.15"/>
  </r>
  <r>
    <x v="55"/>
    <n v="2"/>
    <x v="24"/>
    <n v="4126.46"/>
    <n v="7364.58"/>
  </r>
  <r>
    <x v="56"/>
    <n v="2"/>
    <x v="24"/>
    <n v="4152.6499999999996"/>
    <n v="7058.12"/>
  </r>
  <r>
    <x v="57"/>
    <n v="2"/>
    <x v="24"/>
    <n v="4410.0600000000004"/>
    <n v="7450.25"/>
  </r>
  <r>
    <x v="58"/>
    <n v="2"/>
    <x v="24"/>
    <n v="4610.9799999999996"/>
    <n v="8042.86"/>
  </r>
  <r>
    <x v="59"/>
    <n v="2"/>
    <x v="24"/>
    <n v="4179.33"/>
    <n v="6686.21"/>
  </r>
  <r>
    <x v="60"/>
    <n v="2"/>
    <x v="24"/>
    <n v="5309.52"/>
    <n v="9758.89"/>
  </r>
  <r>
    <x v="61"/>
    <n v="2"/>
    <x v="24"/>
    <n v="3797.53"/>
    <n v="6377.91"/>
  </r>
  <r>
    <x v="62"/>
    <n v="2"/>
    <x v="24"/>
    <n v="3934.43"/>
    <n v="7041.09"/>
  </r>
  <r>
    <x v="63"/>
    <n v="2"/>
    <x v="24"/>
    <n v="3798.04"/>
    <n v="6538.98"/>
  </r>
  <r>
    <x v="64"/>
    <n v="2"/>
    <x v="24"/>
    <n v="4118.05"/>
    <n v="7514.93"/>
  </r>
  <r>
    <x v="65"/>
    <n v="2"/>
    <x v="24"/>
    <n v="4251.76"/>
    <n v="7628.14"/>
  </r>
  <r>
    <x v="66"/>
    <n v="2"/>
    <x v="24"/>
    <n v="3748.97"/>
    <n v="6495.53"/>
  </r>
  <r>
    <x v="67"/>
    <n v="2"/>
    <x v="24"/>
    <n v="4133.05"/>
    <n v="7625.57"/>
  </r>
  <r>
    <x v="68"/>
    <n v="2"/>
    <x v="24"/>
    <n v="3621.3"/>
    <n v="6639.73"/>
  </r>
  <r>
    <x v="69"/>
    <n v="2"/>
    <x v="24"/>
    <n v="4132.05"/>
    <n v="7144.93"/>
  </r>
  <r>
    <x v="70"/>
    <n v="2"/>
    <x v="24"/>
    <n v="4474.8500000000004"/>
    <n v="7471.65"/>
  </r>
  <r>
    <x v="71"/>
    <n v="2"/>
    <x v="24"/>
    <n v="4270.84"/>
    <n v="7355.56"/>
  </r>
  <r>
    <x v="72"/>
    <n v="2"/>
    <x v="24"/>
    <n v="858.93"/>
    <n v="213.82"/>
  </r>
  <r>
    <x v="73"/>
    <n v="2"/>
    <x v="24"/>
    <n v="687.9"/>
    <n v="165.67"/>
  </r>
  <r>
    <x v="74"/>
    <n v="2"/>
    <x v="24"/>
    <n v="716.33"/>
    <n v="173.61"/>
  </r>
  <r>
    <x v="75"/>
    <n v="2"/>
    <x v="24"/>
    <n v="659.05"/>
    <n v="152.97"/>
  </r>
  <r>
    <x v="76"/>
    <n v="2"/>
    <x v="24"/>
    <n v="674.74"/>
    <n v="145.75"/>
  </r>
  <r>
    <x v="77"/>
    <n v="2"/>
    <x v="24"/>
    <n v="614.08000000000004"/>
    <n v="128.09"/>
  </r>
  <r>
    <x v="78"/>
    <n v="2"/>
    <x v="24"/>
    <n v="640.64"/>
    <n v="149.52000000000001"/>
  </r>
  <r>
    <x v="79"/>
    <n v="2"/>
    <x v="24"/>
    <n v="720.9"/>
    <n v="301.04000000000002"/>
  </r>
  <r>
    <x v="80"/>
    <n v="2"/>
    <x v="24"/>
    <n v="703.91"/>
    <n v="183.54"/>
  </r>
  <r>
    <x v="81"/>
    <n v="2"/>
    <x v="24"/>
    <n v="668.38"/>
    <n v="132.94"/>
  </r>
  <r>
    <x v="82"/>
    <n v="2"/>
    <x v="24"/>
    <n v="827.76"/>
    <n v="203.06"/>
  </r>
  <r>
    <x v="83"/>
    <n v="2"/>
    <x v="24"/>
    <n v="741.14"/>
    <n v="147.22"/>
  </r>
  <r>
    <x v="84"/>
    <n v="2"/>
    <x v="24"/>
    <n v="1141.3399999999999"/>
    <n v="296.83999999999997"/>
  </r>
  <r>
    <x v="85"/>
    <n v="2"/>
    <x v="24"/>
    <n v="1033.8"/>
    <n v="256.20999999999998"/>
  </r>
  <r>
    <x v="86"/>
    <n v="2"/>
    <x v="24"/>
    <n v="1081.75"/>
    <n v="320.76"/>
  </r>
  <r>
    <x v="87"/>
    <n v="2"/>
    <x v="24"/>
    <n v="874.74"/>
    <n v="247.51"/>
  </r>
  <r>
    <x v="88"/>
    <n v="2"/>
    <x v="24"/>
    <n v="803.67"/>
    <n v="192.19"/>
  </r>
  <r>
    <x v="89"/>
    <n v="2"/>
    <x v="24"/>
    <n v="916.9"/>
    <n v="236.78"/>
  </r>
  <r>
    <x v="90"/>
    <n v="2"/>
    <x v="24"/>
    <n v="743.89"/>
    <n v="144.76"/>
  </r>
  <r>
    <x v="91"/>
    <n v="2"/>
    <x v="24"/>
    <n v="680.83"/>
    <n v="143.84"/>
  </r>
  <r>
    <x v="92"/>
    <n v="2"/>
    <x v="24"/>
    <n v="744.16"/>
    <n v="179.71"/>
  </r>
  <r>
    <x v="93"/>
    <n v="2"/>
    <x v="24"/>
    <n v="897.4"/>
    <n v="241.23"/>
  </r>
  <r>
    <x v="94"/>
    <n v="2"/>
    <x v="24"/>
    <n v="811.09"/>
    <n v="161.85"/>
  </r>
  <r>
    <x v="95"/>
    <n v="2"/>
    <x v="24"/>
    <n v="894.07"/>
    <n v="206.14"/>
  </r>
  <r>
    <x v="0"/>
    <n v="2"/>
    <x v="25"/>
    <n v="12030.87"/>
    <n v="11408.24"/>
  </r>
  <r>
    <x v="1"/>
    <n v="2"/>
    <x v="25"/>
    <n v="8389.2000000000007"/>
    <n v="7469.64"/>
  </r>
  <r>
    <x v="2"/>
    <n v="2"/>
    <x v="25"/>
    <n v="8133.32"/>
    <n v="7467.43"/>
  </r>
  <r>
    <x v="3"/>
    <n v="2"/>
    <x v="25"/>
    <n v="7933.44"/>
    <n v="7647.25"/>
  </r>
  <r>
    <x v="4"/>
    <n v="2"/>
    <x v="25"/>
    <n v="7932.11"/>
    <n v="7663.71"/>
  </r>
  <r>
    <x v="5"/>
    <n v="2"/>
    <x v="25"/>
    <n v="8342.61"/>
    <n v="7780.31"/>
  </r>
  <r>
    <x v="6"/>
    <n v="2"/>
    <x v="25"/>
    <n v="7537.03"/>
    <n v="6919.16"/>
  </r>
  <r>
    <x v="7"/>
    <n v="2"/>
    <x v="25"/>
    <n v="8318.4500000000007"/>
    <n v="8170.33"/>
  </r>
  <r>
    <x v="8"/>
    <n v="2"/>
    <x v="25"/>
    <n v="8276.89"/>
    <n v="7841.01"/>
  </r>
  <r>
    <x v="9"/>
    <n v="2"/>
    <x v="25"/>
    <n v="8039.44"/>
    <n v="7631.18"/>
  </r>
  <r>
    <x v="10"/>
    <n v="2"/>
    <x v="25"/>
    <n v="8158.88"/>
    <n v="7398.76"/>
  </r>
  <r>
    <x v="11"/>
    <n v="2"/>
    <x v="25"/>
    <n v="8006.44"/>
    <n v="9919.0499999999993"/>
  </r>
  <r>
    <x v="12"/>
    <n v="2"/>
    <x v="25"/>
    <n v="18489.2"/>
    <n v="9383.49"/>
  </r>
  <r>
    <x v="13"/>
    <n v="2"/>
    <x v="25"/>
    <n v="10843.18"/>
    <n v="5817.53"/>
  </r>
  <r>
    <x v="14"/>
    <n v="2"/>
    <x v="25"/>
    <n v="11655.28"/>
    <n v="6152.18"/>
  </r>
  <r>
    <x v="15"/>
    <n v="2"/>
    <x v="25"/>
    <n v="11802.96"/>
    <n v="6327.5"/>
  </r>
  <r>
    <x v="16"/>
    <n v="2"/>
    <x v="25"/>
    <n v="11464.84"/>
    <n v="6345.45"/>
  </r>
  <r>
    <x v="17"/>
    <n v="2"/>
    <x v="25"/>
    <n v="11908.63"/>
    <n v="6069.39"/>
  </r>
  <r>
    <x v="18"/>
    <n v="2"/>
    <x v="25"/>
    <n v="11161.46"/>
    <n v="5689.2"/>
  </r>
  <r>
    <x v="19"/>
    <n v="2"/>
    <x v="25"/>
    <n v="12229.9"/>
    <n v="6375.76"/>
  </r>
  <r>
    <x v="20"/>
    <n v="2"/>
    <x v="25"/>
    <n v="12503.41"/>
    <n v="6598.61"/>
  </r>
  <r>
    <x v="21"/>
    <n v="2"/>
    <x v="25"/>
    <n v="12065.7"/>
    <n v="6261.17"/>
  </r>
  <r>
    <x v="22"/>
    <n v="2"/>
    <x v="25"/>
    <n v="11691.01"/>
    <n v="5897.25"/>
  </r>
  <r>
    <x v="23"/>
    <n v="2"/>
    <x v="25"/>
    <n v="11851.39"/>
    <n v="5802.73"/>
  </r>
  <r>
    <x v="24"/>
    <n v="2"/>
    <x v="25"/>
    <n v="12592.72"/>
    <n v="11991.72"/>
  </r>
  <r>
    <x v="25"/>
    <n v="2"/>
    <x v="25"/>
    <n v="8097.15"/>
    <n v="7208.05"/>
  </r>
  <r>
    <x v="26"/>
    <n v="2"/>
    <x v="25"/>
    <n v="7687.42"/>
    <n v="7081.67"/>
  </r>
  <r>
    <x v="27"/>
    <n v="2"/>
    <x v="25"/>
    <n v="7869.52"/>
    <n v="7458.28"/>
  </r>
  <r>
    <x v="28"/>
    <n v="2"/>
    <x v="25"/>
    <n v="7417.04"/>
    <n v="7332.64"/>
  </r>
  <r>
    <x v="29"/>
    <n v="2"/>
    <x v="25"/>
    <n v="8637.83"/>
    <n v="7925.07"/>
  </r>
  <r>
    <x v="30"/>
    <n v="2"/>
    <x v="25"/>
    <n v="7855.14"/>
    <n v="7419.57"/>
  </r>
  <r>
    <x v="31"/>
    <n v="2"/>
    <x v="25"/>
    <n v="8529.08"/>
    <n v="7966.23"/>
  </r>
  <r>
    <x v="32"/>
    <n v="2"/>
    <x v="25"/>
    <n v="7746.09"/>
    <n v="7459.26"/>
  </r>
  <r>
    <x v="33"/>
    <n v="2"/>
    <x v="25"/>
    <n v="7934.2"/>
    <n v="7396.16"/>
  </r>
  <r>
    <x v="34"/>
    <n v="2"/>
    <x v="25"/>
    <n v="8769.6299999999992"/>
    <n v="8021.5"/>
  </r>
  <r>
    <x v="35"/>
    <n v="2"/>
    <x v="25"/>
    <n v="7503.71"/>
    <n v="7148.4"/>
  </r>
  <r>
    <x v="36"/>
    <n v="2"/>
    <x v="25"/>
    <n v="8002.99"/>
    <n v="11148.44"/>
  </r>
  <r>
    <x v="37"/>
    <n v="2"/>
    <x v="25"/>
    <n v="5270.2"/>
    <n v="6396.82"/>
  </r>
  <r>
    <x v="38"/>
    <n v="2"/>
    <x v="25"/>
    <n v="5689.19"/>
    <n v="7640.51"/>
  </r>
  <r>
    <x v="39"/>
    <n v="2"/>
    <x v="25"/>
    <n v="5019.3500000000004"/>
    <n v="6645.98"/>
  </r>
  <r>
    <x v="40"/>
    <n v="2"/>
    <x v="25"/>
    <n v="5725.25"/>
    <n v="7795.94"/>
  </r>
  <r>
    <x v="41"/>
    <n v="2"/>
    <x v="25"/>
    <n v="5743.64"/>
    <n v="7403.78"/>
  </r>
  <r>
    <x v="42"/>
    <n v="2"/>
    <x v="25"/>
    <n v="5648.51"/>
    <n v="7337.06"/>
  </r>
  <r>
    <x v="43"/>
    <n v="2"/>
    <x v="25"/>
    <n v="5763.34"/>
    <n v="7688.74"/>
  </r>
  <r>
    <x v="44"/>
    <n v="2"/>
    <x v="25"/>
    <n v="5844.15"/>
    <n v="7864.98"/>
  </r>
  <r>
    <x v="45"/>
    <n v="2"/>
    <x v="25"/>
    <n v="5500.44"/>
    <n v="7587.48"/>
  </r>
  <r>
    <x v="46"/>
    <n v="2"/>
    <x v="25"/>
    <n v="4944.43"/>
    <n v="6667.61"/>
  </r>
  <r>
    <x v="47"/>
    <n v="2"/>
    <x v="25"/>
    <n v="4922.83"/>
    <n v="6395.63"/>
  </r>
  <r>
    <x v="48"/>
    <n v="2"/>
    <x v="25"/>
    <n v="9238.17"/>
    <n v="12321.38"/>
  </r>
  <r>
    <x v="49"/>
    <n v="2"/>
    <x v="25"/>
    <n v="5805.98"/>
    <n v="6961.11"/>
  </r>
  <r>
    <x v="50"/>
    <n v="2"/>
    <x v="25"/>
    <n v="5602.03"/>
    <n v="6900.3"/>
  </r>
  <r>
    <x v="51"/>
    <n v="2"/>
    <x v="25"/>
    <n v="5505.01"/>
    <n v="7267.16"/>
  </r>
  <r>
    <x v="52"/>
    <n v="2"/>
    <x v="25"/>
    <n v="5504.06"/>
    <n v="7333.77"/>
  </r>
  <r>
    <x v="53"/>
    <n v="2"/>
    <x v="25"/>
    <n v="6004.46"/>
    <n v="7845.46"/>
  </r>
  <r>
    <x v="54"/>
    <n v="2"/>
    <x v="25"/>
    <n v="4551.5200000000004"/>
    <n v="6182.82"/>
  </r>
  <r>
    <x v="55"/>
    <n v="2"/>
    <x v="25"/>
    <n v="5641.58"/>
    <n v="7777.95"/>
  </r>
  <r>
    <x v="56"/>
    <n v="2"/>
    <x v="25"/>
    <n v="5669.52"/>
    <n v="7464.03"/>
  </r>
  <r>
    <x v="57"/>
    <n v="2"/>
    <x v="25"/>
    <n v="6031.77"/>
    <n v="7883.76"/>
  </r>
  <r>
    <x v="58"/>
    <n v="2"/>
    <x v="25"/>
    <n v="6175.96"/>
    <n v="8504.4500000000007"/>
  </r>
  <r>
    <x v="59"/>
    <n v="2"/>
    <x v="25"/>
    <n v="5712.49"/>
    <n v="7100.41"/>
  </r>
  <r>
    <x v="60"/>
    <n v="2"/>
    <x v="25"/>
    <n v="7461.74"/>
    <n v="10308.299999999999"/>
  </r>
  <r>
    <x v="61"/>
    <n v="2"/>
    <x v="25"/>
    <n v="5254.21"/>
    <n v="6750.63"/>
  </r>
  <r>
    <x v="62"/>
    <n v="2"/>
    <x v="25"/>
    <n v="5532.97"/>
    <n v="7438.9"/>
  </r>
  <r>
    <x v="63"/>
    <n v="2"/>
    <x v="25"/>
    <n v="5216.54"/>
    <n v="6922.07"/>
  </r>
  <r>
    <x v="64"/>
    <n v="2"/>
    <x v="25"/>
    <n v="5707.49"/>
    <n v="7946.03"/>
  </r>
  <r>
    <x v="65"/>
    <n v="2"/>
    <x v="25"/>
    <n v="6001.2"/>
    <n v="8066.2"/>
  </r>
  <r>
    <x v="66"/>
    <n v="2"/>
    <x v="25"/>
    <n v="5197.91"/>
    <n v="6860.69"/>
  </r>
  <r>
    <x v="67"/>
    <n v="2"/>
    <x v="25"/>
    <n v="5756.32"/>
    <n v="8051.7"/>
  </r>
  <r>
    <x v="68"/>
    <n v="2"/>
    <x v="25"/>
    <n v="5047.1899999999996"/>
    <n v="7012.87"/>
  </r>
  <r>
    <x v="69"/>
    <n v="2"/>
    <x v="25"/>
    <n v="5735.73"/>
    <n v="7554.69"/>
  </r>
  <r>
    <x v="70"/>
    <n v="2"/>
    <x v="25"/>
    <n v="6121.34"/>
    <n v="7879.34"/>
  </r>
  <r>
    <x v="71"/>
    <n v="2"/>
    <x v="25"/>
    <n v="5915.8"/>
    <n v="7796.32"/>
  </r>
  <r>
    <x v="72"/>
    <n v="2"/>
    <x v="25"/>
    <n v="872.61"/>
    <n v="212.36"/>
  </r>
  <r>
    <x v="73"/>
    <n v="2"/>
    <x v="25"/>
    <n v="702.85"/>
    <n v="168.69"/>
  </r>
  <r>
    <x v="74"/>
    <n v="2"/>
    <x v="25"/>
    <n v="733.05"/>
    <n v="174.34"/>
  </r>
  <r>
    <x v="75"/>
    <n v="2"/>
    <x v="25"/>
    <n v="672.73"/>
    <n v="155.05000000000001"/>
  </r>
  <r>
    <x v="76"/>
    <n v="2"/>
    <x v="25"/>
    <n v="686.7"/>
    <n v="147.09"/>
  </r>
  <r>
    <x v="77"/>
    <n v="2"/>
    <x v="25"/>
    <n v="626.74"/>
    <n v="128.57"/>
  </r>
  <r>
    <x v="78"/>
    <n v="2"/>
    <x v="25"/>
    <n v="654.37"/>
    <n v="151.61000000000001"/>
  </r>
  <r>
    <x v="79"/>
    <n v="2"/>
    <x v="25"/>
    <n v="736.91"/>
    <n v="307.45"/>
  </r>
  <r>
    <x v="80"/>
    <n v="2"/>
    <x v="25"/>
    <n v="719.15"/>
    <n v="185.67"/>
  </r>
  <r>
    <x v="81"/>
    <n v="2"/>
    <x v="25"/>
    <n v="681.98"/>
    <n v="133.76"/>
  </r>
  <r>
    <x v="82"/>
    <n v="2"/>
    <x v="25"/>
    <n v="839.16"/>
    <n v="203.11"/>
  </r>
  <r>
    <x v="83"/>
    <n v="2"/>
    <x v="25"/>
    <n v="751.65"/>
    <n v="147.12"/>
  </r>
  <r>
    <x v="84"/>
    <n v="2"/>
    <x v="25"/>
    <n v="1149.74"/>
    <n v="296.14"/>
  </r>
  <r>
    <x v="85"/>
    <n v="2"/>
    <x v="25"/>
    <n v="1042.67"/>
    <n v="255.8"/>
  </r>
  <r>
    <x v="86"/>
    <n v="2"/>
    <x v="25"/>
    <n v="1086.77"/>
    <n v="319.83"/>
  </r>
  <r>
    <x v="87"/>
    <n v="2"/>
    <x v="25"/>
    <n v="883.57"/>
    <n v="246.59"/>
  </r>
  <r>
    <x v="88"/>
    <n v="2"/>
    <x v="25"/>
    <n v="815.06"/>
    <n v="192.42"/>
  </r>
  <r>
    <x v="89"/>
    <n v="2"/>
    <x v="25"/>
    <n v="930.99"/>
    <n v="238.85"/>
  </r>
  <r>
    <x v="90"/>
    <n v="2"/>
    <x v="25"/>
    <n v="754.51"/>
    <n v="144.13999999999999"/>
  </r>
  <r>
    <x v="91"/>
    <n v="2"/>
    <x v="25"/>
    <n v="690.77"/>
    <n v="144.01"/>
  </r>
  <r>
    <x v="92"/>
    <n v="2"/>
    <x v="25"/>
    <n v="754.26"/>
    <n v="179.95"/>
  </r>
  <r>
    <x v="93"/>
    <n v="2"/>
    <x v="25"/>
    <n v="905.49"/>
    <n v="241.16"/>
  </r>
  <r>
    <x v="94"/>
    <n v="2"/>
    <x v="25"/>
    <n v="817.6"/>
    <n v="160.88"/>
  </r>
  <r>
    <x v="95"/>
    <n v="2"/>
    <x v="25"/>
    <n v="898.02"/>
    <n v="205.07"/>
  </r>
  <r>
    <x v="0"/>
    <n v="2"/>
    <x v="26"/>
    <n v="14920.38"/>
    <n v="12380.5"/>
  </r>
  <r>
    <x v="1"/>
    <n v="2"/>
    <x v="26"/>
    <n v="10394.790000000001"/>
    <n v="8160.08"/>
  </r>
  <r>
    <x v="2"/>
    <n v="2"/>
    <x v="26"/>
    <n v="10102.5"/>
    <n v="8167.4"/>
  </r>
  <r>
    <x v="3"/>
    <n v="2"/>
    <x v="26"/>
    <n v="9915.93"/>
    <n v="8370.9"/>
  </r>
  <r>
    <x v="4"/>
    <n v="2"/>
    <x v="26"/>
    <n v="9850.85"/>
    <n v="8349.7099999999991"/>
  </r>
  <r>
    <x v="5"/>
    <n v="2"/>
    <x v="26"/>
    <n v="10375.93"/>
    <n v="8470.49"/>
  </r>
  <r>
    <x v="6"/>
    <n v="2"/>
    <x v="26"/>
    <n v="9339.76"/>
    <n v="7534.35"/>
  </r>
  <r>
    <x v="7"/>
    <n v="2"/>
    <x v="26"/>
    <n v="10318.700000000001"/>
    <n v="8882.74"/>
  </r>
  <r>
    <x v="8"/>
    <n v="2"/>
    <x v="26"/>
    <n v="10225.34"/>
    <n v="8533.24"/>
  </r>
  <r>
    <x v="9"/>
    <n v="2"/>
    <x v="26"/>
    <n v="9875.57"/>
    <n v="8284.33"/>
  </r>
  <r>
    <x v="10"/>
    <n v="2"/>
    <x v="26"/>
    <n v="10067.44"/>
    <n v="8032.41"/>
  </r>
  <r>
    <x v="11"/>
    <n v="2"/>
    <x v="26"/>
    <n v="9202.77"/>
    <n v="10499.09"/>
  </r>
  <r>
    <x v="12"/>
    <n v="2"/>
    <x v="26"/>
    <n v="18767.5"/>
    <n v="9403.18"/>
  </r>
  <r>
    <x v="13"/>
    <n v="2"/>
    <x v="26"/>
    <n v="11095.78"/>
    <n v="5831.12"/>
  </r>
  <r>
    <x v="14"/>
    <n v="2"/>
    <x v="26"/>
    <n v="11853.63"/>
    <n v="6166.31"/>
  </r>
  <r>
    <x v="15"/>
    <n v="2"/>
    <x v="26"/>
    <n v="12082.49"/>
    <n v="6338.62"/>
  </r>
  <r>
    <x v="16"/>
    <n v="2"/>
    <x v="26"/>
    <n v="11660.49"/>
    <n v="6355.69"/>
  </r>
  <r>
    <x v="17"/>
    <n v="2"/>
    <x v="26"/>
    <n v="12113.6"/>
    <n v="6078.28"/>
  </r>
  <r>
    <x v="18"/>
    <n v="2"/>
    <x v="26"/>
    <n v="11404.66"/>
    <n v="5696.19"/>
  </r>
  <r>
    <x v="19"/>
    <n v="2"/>
    <x v="26"/>
    <n v="12434.53"/>
    <n v="6386.21"/>
  </r>
  <r>
    <x v="20"/>
    <n v="2"/>
    <x v="26"/>
    <n v="12702.36"/>
    <n v="6606.56"/>
  </r>
  <r>
    <x v="21"/>
    <n v="2"/>
    <x v="26"/>
    <n v="12338.31"/>
    <n v="6270.04"/>
  </r>
  <r>
    <x v="22"/>
    <n v="2"/>
    <x v="26"/>
    <n v="11866.69"/>
    <n v="5902.45"/>
  </r>
  <r>
    <x v="23"/>
    <n v="2"/>
    <x v="26"/>
    <n v="12011.87"/>
    <n v="5804.41"/>
  </r>
  <r>
    <x v="24"/>
    <n v="2"/>
    <x v="26"/>
    <n v="16433.3"/>
    <n v="13359.93"/>
  </r>
  <r>
    <x v="25"/>
    <n v="2"/>
    <x v="26"/>
    <n v="10427.02"/>
    <n v="8020.8"/>
  </r>
  <r>
    <x v="26"/>
    <n v="2"/>
    <x v="26"/>
    <n v="9933.0499999999993"/>
    <n v="7884.47"/>
  </r>
  <r>
    <x v="27"/>
    <n v="2"/>
    <x v="26"/>
    <n v="10161.39"/>
    <n v="8281.58"/>
  </r>
  <r>
    <x v="28"/>
    <n v="2"/>
    <x v="26"/>
    <n v="9591.99"/>
    <n v="8146.47"/>
  </r>
  <r>
    <x v="29"/>
    <n v="2"/>
    <x v="26"/>
    <n v="11079.71"/>
    <n v="8796"/>
  </r>
  <r>
    <x v="30"/>
    <n v="2"/>
    <x v="26"/>
    <n v="10163.23"/>
    <n v="8259.1200000000008"/>
  </r>
  <r>
    <x v="31"/>
    <n v="2"/>
    <x v="26"/>
    <n v="10931.76"/>
    <n v="8845.0300000000007"/>
  </r>
  <r>
    <x v="32"/>
    <n v="2"/>
    <x v="26"/>
    <n v="9892.69"/>
    <n v="8263.64"/>
  </r>
  <r>
    <x v="33"/>
    <n v="2"/>
    <x v="26"/>
    <n v="10215.14"/>
    <n v="8224.7900000000009"/>
  </r>
  <r>
    <x v="34"/>
    <n v="2"/>
    <x v="26"/>
    <n v="11373.8"/>
    <n v="8918"/>
  </r>
  <r>
    <x v="35"/>
    <n v="2"/>
    <x v="26"/>
    <n v="9652.44"/>
    <n v="7950.97"/>
  </r>
  <r>
    <x v="36"/>
    <n v="2"/>
    <x v="26"/>
    <n v="11224.7"/>
    <n v="12024.66"/>
  </r>
  <r>
    <x v="37"/>
    <n v="2"/>
    <x v="26"/>
    <n v="7143.4"/>
    <n v="6942.78"/>
  </r>
  <r>
    <x v="38"/>
    <n v="2"/>
    <x v="26"/>
    <n v="7846.97"/>
    <n v="8318.52"/>
  </r>
  <r>
    <x v="39"/>
    <n v="2"/>
    <x v="26"/>
    <n v="6891.12"/>
    <n v="7221.86"/>
  </r>
  <r>
    <x v="40"/>
    <n v="2"/>
    <x v="26"/>
    <n v="7901.37"/>
    <n v="8466.85"/>
  </r>
  <r>
    <x v="41"/>
    <n v="2"/>
    <x v="26"/>
    <n v="7960.41"/>
    <n v="8047.92"/>
  </r>
  <r>
    <x v="42"/>
    <n v="2"/>
    <x v="26"/>
    <n v="7801.24"/>
    <n v="7992.06"/>
  </r>
  <r>
    <x v="43"/>
    <n v="2"/>
    <x v="26"/>
    <n v="7823.62"/>
    <n v="8332.81"/>
  </r>
  <r>
    <x v="44"/>
    <n v="2"/>
    <x v="26"/>
    <n v="8033.66"/>
    <n v="8545.32"/>
  </r>
  <r>
    <x v="45"/>
    <n v="2"/>
    <x v="26"/>
    <n v="7603.33"/>
    <n v="8243.2199999999993"/>
  </r>
  <r>
    <x v="46"/>
    <n v="2"/>
    <x v="26"/>
    <n v="6780.85"/>
    <n v="7218.64"/>
  </r>
  <r>
    <x v="47"/>
    <n v="2"/>
    <x v="26"/>
    <n v="6779.37"/>
    <n v="6959.17"/>
  </r>
  <r>
    <x v="48"/>
    <n v="2"/>
    <x v="26"/>
    <n v="12802.76"/>
    <n v="13350.85"/>
  </r>
  <r>
    <x v="49"/>
    <n v="2"/>
    <x v="26"/>
    <n v="7979.17"/>
    <n v="7559.84"/>
  </r>
  <r>
    <x v="50"/>
    <n v="2"/>
    <x v="26"/>
    <n v="7566.17"/>
    <n v="7486.33"/>
  </r>
  <r>
    <x v="51"/>
    <n v="2"/>
    <x v="26"/>
    <n v="7504.91"/>
    <n v="7898.6"/>
  </r>
  <r>
    <x v="52"/>
    <n v="2"/>
    <x v="26"/>
    <n v="7547.94"/>
    <n v="7978.95"/>
  </r>
  <r>
    <x v="53"/>
    <n v="2"/>
    <x v="26"/>
    <n v="8154.62"/>
    <n v="8532.4500000000007"/>
  </r>
  <r>
    <x v="54"/>
    <n v="2"/>
    <x v="26"/>
    <n v="6239.86"/>
    <n v="6711.83"/>
  </r>
  <r>
    <x v="55"/>
    <n v="2"/>
    <x v="26"/>
    <n v="7703.8"/>
    <n v="8436.68"/>
  </r>
  <r>
    <x v="56"/>
    <n v="2"/>
    <x v="26"/>
    <n v="7755.83"/>
    <n v="8111.21"/>
  </r>
  <r>
    <x v="57"/>
    <n v="2"/>
    <x v="26"/>
    <n v="8255.26"/>
    <n v="8573"/>
  </r>
  <r>
    <x v="58"/>
    <n v="2"/>
    <x v="26"/>
    <n v="8281.08"/>
    <n v="9234.0300000000007"/>
  </r>
  <r>
    <x v="59"/>
    <n v="2"/>
    <x v="26"/>
    <n v="7782.71"/>
    <n v="7742.76"/>
  </r>
  <r>
    <x v="60"/>
    <n v="2"/>
    <x v="26"/>
    <n v="10485.52"/>
    <n v="11164.6"/>
  </r>
  <r>
    <x v="61"/>
    <n v="2"/>
    <x v="26"/>
    <n v="7256.55"/>
    <n v="7330.3"/>
  </r>
  <r>
    <x v="62"/>
    <n v="2"/>
    <x v="26"/>
    <n v="7663.83"/>
    <n v="8069.77"/>
  </r>
  <r>
    <x v="63"/>
    <n v="2"/>
    <x v="26"/>
    <n v="7167.94"/>
    <n v="7523.26"/>
  </r>
  <r>
    <x v="64"/>
    <n v="2"/>
    <x v="26"/>
    <n v="7912.96"/>
    <n v="8647.44"/>
  </r>
  <r>
    <x v="65"/>
    <n v="2"/>
    <x v="26"/>
    <n v="8386.7099999999991"/>
    <n v="8761.9500000000007"/>
  </r>
  <r>
    <x v="66"/>
    <n v="2"/>
    <x v="26"/>
    <n v="7187.33"/>
    <n v="7441.64"/>
  </r>
  <r>
    <x v="67"/>
    <n v="2"/>
    <x v="26"/>
    <n v="8004.22"/>
    <n v="8732.5300000000007"/>
  </r>
  <r>
    <x v="68"/>
    <n v="2"/>
    <x v="26"/>
    <n v="6979.11"/>
    <n v="7621.85"/>
  </r>
  <r>
    <x v="69"/>
    <n v="2"/>
    <x v="26"/>
    <n v="7939.68"/>
    <n v="8228.4599999999991"/>
  </r>
  <r>
    <x v="70"/>
    <n v="2"/>
    <x v="26"/>
    <n v="8418"/>
    <n v="8548.66"/>
  </r>
  <r>
    <x v="71"/>
    <n v="2"/>
    <x v="26"/>
    <n v="8147.36"/>
    <n v="8470.9"/>
  </r>
  <r>
    <x v="72"/>
    <n v="2"/>
    <x v="26"/>
    <n v="881.99"/>
    <n v="213.44"/>
  </r>
  <r>
    <x v="73"/>
    <n v="2"/>
    <x v="26"/>
    <n v="718.11"/>
    <n v="173.58"/>
  </r>
  <r>
    <x v="74"/>
    <n v="2"/>
    <x v="26"/>
    <n v="744.78"/>
    <n v="176.74"/>
  </r>
  <r>
    <x v="75"/>
    <n v="2"/>
    <x v="26"/>
    <n v="686.24"/>
    <n v="157.12"/>
  </r>
  <r>
    <x v="76"/>
    <n v="2"/>
    <x v="26"/>
    <n v="699.75"/>
    <n v="149.44"/>
  </r>
  <r>
    <x v="77"/>
    <n v="2"/>
    <x v="26"/>
    <n v="638.48"/>
    <n v="131.49"/>
  </r>
  <r>
    <x v="78"/>
    <n v="2"/>
    <x v="26"/>
    <n v="666.84"/>
    <n v="155.02000000000001"/>
  </r>
  <r>
    <x v="79"/>
    <n v="2"/>
    <x v="26"/>
    <n v="753.43"/>
    <n v="315.14"/>
  </r>
  <r>
    <x v="80"/>
    <n v="2"/>
    <x v="26"/>
    <n v="734.6"/>
    <n v="190.26"/>
  </r>
  <r>
    <x v="81"/>
    <n v="2"/>
    <x v="26"/>
    <n v="690.97"/>
    <n v="135.02000000000001"/>
  </r>
  <r>
    <x v="82"/>
    <n v="2"/>
    <x v="26"/>
    <n v="846.34"/>
    <n v="204.32"/>
  </r>
  <r>
    <x v="83"/>
    <n v="2"/>
    <x v="26"/>
    <n v="760.19"/>
    <n v="147.33000000000001"/>
  </r>
  <r>
    <x v="84"/>
    <n v="2"/>
    <x v="26"/>
    <n v="1156.5999999999999"/>
    <n v="295.70999999999998"/>
  </r>
  <r>
    <x v="85"/>
    <n v="2"/>
    <x v="26"/>
    <n v="1047.9000000000001"/>
    <n v="256.18"/>
  </r>
  <r>
    <x v="86"/>
    <n v="2"/>
    <x v="26"/>
    <n v="1090.2"/>
    <n v="318.61"/>
  </r>
  <r>
    <x v="87"/>
    <n v="2"/>
    <x v="26"/>
    <n v="889.2"/>
    <n v="246.81"/>
  </r>
  <r>
    <x v="88"/>
    <n v="2"/>
    <x v="26"/>
    <n v="825.42"/>
    <n v="193.46"/>
  </r>
  <r>
    <x v="89"/>
    <n v="2"/>
    <x v="26"/>
    <n v="940.51"/>
    <n v="241.98"/>
  </r>
  <r>
    <x v="90"/>
    <n v="2"/>
    <x v="26"/>
    <n v="763.06"/>
    <n v="143.58000000000001"/>
  </r>
  <r>
    <x v="91"/>
    <n v="2"/>
    <x v="26"/>
    <n v="696.26"/>
    <n v="143.94"/>
  </r>
  <r>
    <x v="92"/>
    <n v="2"/>
    <x v="26"/>
    <n v="761.11"/>
    <n v="180.23"/>
  </r>
  <r>
    <x v="93"/>
    <n v="2"/>
    <x v="26"/>
    <n v="910.6"/>
    <n v="241.43"/>
  </r>
  <r>
    <x v="94"/>
    <n v="2"/>
    <x v="26"/>
    <n v="823.86"/>
    <n v="160.75"/>
  </r>
  <r>
    <x v="95"/>
    <n v="2"/>
    <x v="26"/>
    <n v="902.63"/>
    <n v="204.45"/>
  </r>
  <r>
    <x v="0"/>
    <n v="2"/>
    <x v="27"/>
    <n v="17831.57"/>
    <n v="13497.63"/>
  </r>
  <r>
    <x v="1"/>
    <n v="2"/>
    <x v="27"/>
    <n v="12392.73"/>
    <n v="8938.9500000000007"/>
  </r>
  <r>
    <x v="2"/>
    <n v="2"/>
    <x v="27"/>
    <n v="12109.35"/>
    <n v="8940.07"/>
  </r>
  <r>
    <x v="3"/>
    <n v="2"/>
    <x v="27"/>
    <n v="11859.15"/>
    <n v="9157.2900000000009"/>
  </r>
  <r>
    <x v="4"/>
    <n v="2"/>
    <x v="27"/>
    <n v="11770.86"/>
    <n v="9117.0400000000009"/>
  </r>
  <r>
    <x v="5"/>
    <n v="2"/>
    <x v="27"/>
    <n v="12366.94"/>
    <n v="9253.59"/>
  </r>
  <r>
    <x v="6"/>
    <n v="2"/>
    <x v="27"/>
    <n v="11135.9"/>
    <n v="8228.2900000000009"/>
  </r>
  <r>
    <x v="7"/>
    <n v="2"/>
    <x v="27"/>
    <n v="12358.51"/>
    <n v="9696.51"/>
  </r>
  <r>
    <x v="8"/>
    <n v="2"/>
    <x v="27"/>
    <n v="12118.6"/>
    <n v="9300.8799999999992"/>
  </r>
  <r>
    <x v="9"/>
    <n v="2"/>
    <x v="27"/>
    <n v="11697.22"/>
    <n v="9025.56"/>
  </r>
  <r>
    <x v="10"/>
    <n v="2"/>
    <x v="27"/>
    <n v="11904.54"/>
    <n v="8743.01"/>
  </r>
  <r>
    <x v="11"/>
    <n v="2"/>
    <x v="27"/>
    <n v="10433.14"/>
    <n v="11144.77"/>
  </r>
  <r>
    <x v="12"/>
    <n v="2"/>
    <x v="27"/>
    <n v="19069.669999999998"/>
    <n v="9425.68"/>
  </r>
  <r>
    <x v="13"/>
    <n v="2"/>
    <x v="27"/>
    <n v="11241.86"/>
    <n v="5846.34"/>
  </r>
  <r>
    <x v="14"/>
    <n v="2"/>
    <x v="27"/>
    <n v="12063.77"/>
    <n v="6181.26"/>
  </r>
  <r>
    <x v="15"/>
    <n v="2"/>
    <x v="27"/>
    <n v="12245.19"/>
    <n v="6350.26"/>
  </r>
  <r>
    <x v="16"/>
    <n v="2"/>
    <x v="27"/>
    <n v="11878.84"/>
    <n v="6367.31"/>
  </r>
  <r>
    <x v="17"/>
    <n v="2"/>
    <x v="27"/>
    <n v="12336.19"/>
    <n v="6089.06"/>
  </r>
  <r>
    <x v="18"/>
    <n v="2"/>
    <x v="27"/>
    <n v="11596.47"/>
    <n v="5705.54"/>
  </r>
  <r>
    <x v="19"/>
    <n v="2"/>
    <x v="27"/>
    <n v="12654.41"/>
    <n v="6397.12"/>
  </r>
  <r>
    <x v="20"/>
    <n v="2"/>
    <x v="27"/>
    <n v="12916.8"/>
    <n v="6616.91"/>
  </r>
  <r>
    <x v="21"/>
    <n v="2"/>
    <x v="27"/>
    <n v="12496.57"/>
    <n v="6279.27"/>
  </r>
  <r>
    <x v="22"/>
    <n v="2"/>
    <x v="27"/>
    <n v="12051.41"/>
    <n v="5908.33"/>
  </r>
  <r>
    <x v="23"/>
    <n v="2"/>
    <x v="27"/>
    <n v="12175.46"/>
    <n v="5807.68"/>
  </r>
  <r>
    <x v="24"/>
    <n v="2"/>
    <x v="27"/>
    <n v="20453.419999999998"/>
    <n v="15009.8"/>
  </r>
  <r>
    <x v="25"/>
    <n v="2"/>
    <x v="27"/>
    <n v="12798.94"/>
    <n v="8988.19"/>
  </r>
  <r>
    <x v="26"/>
    <n v="2"/>
    <x v="27"/>
    <n v="12216.5"/>
    <n v="8806.57"/>
  </r>
  <r>
    <x v="27"/>
    <n v="2"/>
    <x v="27"/>
    <n v="12499.66"/>
    <n v="9254.92"/>
  </r>
  <r>
    <x v="28"/>
    <n v="2"/>
    <x v="27"/>
    <n v="11845.53"/>
    <n v="9096.44"/>
  </r>
  <r>
    <x v="29"/>
    <n v="2"/>
    <x v="27"/>
    <n v="13623.26"/>
    <n v="9829.86"/>
  </r>
  <r>
    <x v="30"/>
    <n v="2"/>
    <x v="27"/>
    <n v="12557.55"/>
    <n v="9243"/>
  </r>
  <r>
    <x v="31"/>
    <n v="2"/>
    <x v="27"/>
    <n v="13422.04"/>
    <n v="9871.7099999999991"/>
  </r>
  <r>
    <x v="32"/>
    <n v="2"/>
    <x v="27"/>
    <n v="12108.7"/>
    <n v="9207.4699999999993"/>
  </r>
  <r>
    <x v="33"/>
    <n v="2"/>
    <x v="27"/>
    <n v="12578.14"/>
    <n v="9185.2900000000009"/>
  </r>
  <r>
    <x v="34"/>
    <n v="2"/>
    <x v="27"/>
    <n v="14007.16"/>
    <n v="9960.14"/>
  </r>
  <r>
    <x v="35"/>
    <n v="2"/>
    <x v="27"/>
    <n v="11847.98"/>
    <n v="8878.0499999999993"/>
  </r>
  <r>
    <x v="36"/>
    <n v="2"/>
    <x v="27"/>
    <n v="15331.45"/>
    <n v="13303"/>
  </r>
  <r>
    <x v="37"/>
    <n v="2"/>
    <x v="27"/>
    <n v="9325.61"/>
    <n v="7711.28"/>
  </r>
  <r>
    <x v="38"/>
    <n v="2"/>
    <x v="27"/>
    <n v="10510.96"/>
    <n v="9251.43"/>
  </r>
  <r>
    <x v="39"/>
    <n v="2"/>
    <x v="27"/>
    <n v="9129.93"/>
    <n v="8028.26"/>
  </r>
  <r>
    <x v="40"/>
    <n v="2"/>
    <x v="27"/>
    <n v="10515.02"/>
    <n v="9410.2000000000007"/>
  </r>
  <r>
    <x v="41"/>
    <n v="2"/>
    <x v="27"/>
    <n v="10689.65"/>
    <n v="8958.85"/>
  </r>
  <r>
    <x v="42"/>
    <n v="2"/>
    <x v="27"/>
    <n v="10388.17"/>
    <n v="8893.49"/>
  </r>
  <r>
    <x v="43"/>
    <n v="2"/>
    <x v="27"/>
    <n v="10354.969999999999"/>
    <n v="9239.23"/>
  </r>
  <r>
    <x v="44"/>
    <n v="2"/>
    <x v="27"/>
    <n v="10597.42"/>
    <n v="9484.75"/>
  </r>
  <r>
    <x v="45"/>
    <n v="2"/>
    <x v="27"/>
    <n v="10206.5"/>
    <n v="9159.17"/>
  </r>
  <r>
    <x v="46"/>
    <n v="2"/>
    <x v="27"/>
    <n v="9056.9"/>
    <n v="8005.98"/>
  </r>
  <r>
    <x v="47"/>
    <n v="2"/>
    <x v="27"/>
    <n v="8997.64"/>
    <n v="7729.53"/>
  </r>
  <r>
    <x v="48"/>
    <n v="2"/>
    <x v="27"/>
    <n v="17222.349999999999"/>
    <n v="14817.86"/>
  </r>
  <r>
    <x v="49"/>
    <n v="2"/>
    <x v="27"/>
    <n v="10581.89"/>
    <n v="8407.2000000000007"/>
  </r>
  <r>
    <x v="50"/>
    <n v="2"/>
    <x v="27"/>
    <n v="10036.51"/>
    <n v="8316.67"/>
  </r>
  <r>
    <x v="51"/>
    <n v="2"/>
    <x v="27"/>
    <n v="9912.25"/>
    <n v="8766.4599999999991"/>
  </r>
  <r>
    <x v="52"/>
    <n v="2"/>
    <x v="27"/>
    <n v="9935.7800000000007"/>
    <n v="8867.92"/>
  </r>
  <r>
    <x v="53"/>
    <n v="2"/>
    <x v="27"/>
    <n v="10739.13"/>
    <n v="9497.0400000000009"/>
  </r>
  <r>
    <x v="54"/>
    <n v="2"/>
    <x v="27"/>
    <n v="8286.42"/>
    <n v="7459.01"/>
  </r>
  <r>
    <x v="55"/>
    <n v="2"/>
    <x v="27"/>
    <n v="10236.27"/>
    <n v="9372.86"/>
  </r>
  <r>
    <x v="56"/>
    <n v="2"/>
    <x v="27"/>
    <n v="10326.5"/>
    <n v="9022.94"/>
  </r>
  <r>
    <x v="57"/>
    <n v="2"/>
    <x v="27"/>
    <n v="10926.43"/>
    <n v="9547.43"/>
  </r>
  <r>
    <x v="58"/>
    <n v="2"/>
    <x v="27"/>
    <n v="10837.63"/>
    <n v="10256.15"/>
  </r>
  <r>
    <x v="59"/>
    <n v="2"/>
    <x v="27"/>
    <n v="10230.799999999999"/>
    <n v="8628.4500000000007"/>
  </r>
  <r>
    <x v="60"/>
    <n v="2"/>
    <x v="27"/>
    <n v="14278.9"/>
    <n v="12381.51"/>
  </r>
  <r>
    <x v="61"/>
    <n v="2"/>
    <x v="27"/>
    <n v="9741.64"/>
    <n v="8146.5"/>
  </r>
  <r>
    <x v="62"/>
    <n v="2"/>
    <x v="27"/>
    <n v="10310.73"/>
    <n v="8966.7099999999991"/>
  </r>
  <r>
    <x v="63"/>
    <n v="2"/>
    <x v="27"/>
    <n v="9568.6"/>
    <n v="8365.41"/>
  </r>
  <r>
    <x v="64"/>
    <n v="2"/>
    <x v="27"/>
    <n v="10587.56"/>
    <n v="9614.27"/>
  </r>
  <r>
    <x v="65"/>
    <n v="2"/>
    <x v="27"/>
    <n v="11189.44"/>
    <n v="9745.5499999999993"/>
  </r>
  <r>
    <x v="66"/>
    <n v="2"/>
    <x v="27"/>
    <n v="9711.07"/>
    <n v="8270.89"/>
  </r>
  <r>
    <x v="67"/>
    <n v="2"/>
    <x v="27"/>
    <n v="10817.17"/>
    <n v="9703.99"/>
  </r>
  <r>
    <x v="68"/>
    <n v="2"/>
    <x v="27"/>
    <n v="9251.86"/>
    <n v="8468.2999999999993"/>
  </r>
  <r>
    <x v="69"/>
    <n v="2"/>
    <x v="27"/>
    <n v="10647.99"/>
    <n v="9158.58"/>
  </r>
  <r>
    <x v="70"/>
    <n v="2"/>
    <x v="27"/>
    <n v="11214.36"/>
    <n v="9479.3799999999992"/>
  </r>
  <r>
    <x v="71"/>
    <n v="2"/>
    <x v="27"/>
    <n v="10886.12"/>
    <n v="9406.16"/>
  </r>
  <r>
    <x v="72"/>
    <n v="2"/>
    <x v="27"/>
    <n v="892.35"/>
    <n v="215.81"/>
  </r>
  <r>
    <x v="73"/>
    <n v="2"/>
    <x v="27"/>
    <n v="732.07"/>
    <n v="179.44"/>
  </r>
  <r>
    <x v="74"/>
    <n v="2"/>
    <x v="27"/>
    <n v="753.57"/>
    <n v="179.87"/>
  </r>
  <r>
    <x v="75"/>
    <n v="2"/>
    <x v="27"/>
    <n v="699.33"/>
    <n v="160.93"/>
  </r>
  <r>
    <x v="76"/>
    <n v="2"/>
    <x v="27"/>
    <n v="713.17"/>
    <n v="153.65"/>
  </r>
  <r>
    <x v="77"/>
    <n v="2"/>
    <x v="27"/>
    <n v="650.88"/>
    <n v="135.87"/>
  </r>
  <r>
    <x v="78"/>
    <n v="2"/>
    <x v="27"/>
    <n v="679.42"/>
    <n v="159.97"/>
  </r>
  <r>
    <x v="79"/>
    <n v="2"/>
    <x v="27"/>
    <n v="770.63"/>
    <n v="325.17"/>
  </r>
  <r>
    <x v="80"/>
    <n v="2"/>
    <x v="27"/>
    <n v="749.06"/>
    <n v="196.14"/>
  </r>
  <r>
    <x v="81"/>
    <n v="2"/>
    <x v="27"/>
    <n v="702.85"/>
    <n v="138.13999999999999"/>
  </r>
  <r>
    <x v="82"/>
    <n v="2"/>
    <x v="27"/>
    <n v="855.71"/>
    <n v="206.87"/>
  </r>
  <r>
    <x v="83"/>
    <n v="2"/>
    <x v="27"/>
    <n v="767.02"/>
    <n v="148.29"/>
  </r>
  <r>
    <x v="84"/>
    <n v="2"/>
    <x v="27"/>
    <n v="1159.9100000000001"/>
    <n v="295.55"/>
  </r>
  <r>
    <x v="85"/>
    <n v="2"/>
    <x v="27"/>
    <n v="1055.3499999999999"/>
    <n v="258.13"/>
  </r>
  <r>
    <x v="86"/>
    <n v="2"/>
    <x v="27"/>
    <n v="1091.42"/>
    <n v="318.69"/>
  </r>
  <r>
    <x v="87"/>
    <n v="2"/>
    <x v="27"/>
    <n v="896.79"/>
    <n v="248.74"/>
  </r>
  <r>
    <x v="88"/>
    <n v="2"/>
    <x v="27"/>
    <n v="836.21"/>
    <n v="196.33"/>
  </r>
  <r>
    <x v="89"/>
    <n v="2"/>
    <x v="27"/>
    <n v="949.84"/>
    <n v="245.53"/>
  </r>
  <r>
    <x v="90"/>
    <n v="2"/>
    <x v="27"/>
    <n v="768.37"/>
    <n v="143.81"/>
  </r>
  <r>
    <x v="91"/>
    <n v="2"/>
    <x v="27"/>
    <n v="704.89"/>
    <n v="146.18"/>
  </r>
  <r>
    <x v="92"/>
    <n v="2"/>
    <x v="27"/>
    <n v="769.69"/>
    <n v="182.45"/>
  </r>
  <r>
    <x v="93"/>
    <n v="2"/>
    <x v="27"/>
    <n v="915.88"/>
    <n v="243.52"/>
  </r>
  <r>
    <x v="94"/>
    <n v="2"/>
    <x v="27"/>
    <n v="826.33"/>
    <n v="160.59"/>
  </r>
  <r>
    <x v="95"/>
    <n v="2"/>
    <x v="27"/>
    <n v="905.89"/>
    <n v="204.22"/>
  </r>
  <r>
    <x v="0"/>
    <n v="2"/>
    <x v="28"/>
    <n v="20558.22"/>
    <n v="14648.77"/>
  </r>
  <r>
    <x v="1"/>
    <n v="2"/>
    <x v="28"/>
    <n v="14227.18"/>
    <n v="9724.48"/>
  </r>
  <r>
    <x v="2"/>
    <n v="2"/>
    <x v="28"/>
    <n v="13928.18"/>
    <n v="9721.42"/>
  </r>
  <r>
    <x v="3"/>
    <n v="2"/>
    <x v="28"/>
    <n v="13636.62"/>
    <n v="9945.35"/>
  </r>
  <r>
    <x v="4"/>
    <n v="2"/>
    <x v="28"/>
    <n v="13533.23"/>
    <n v="9891.69"/>
  </r>
  <r>
    <x v="5"/>
    <n v="2"/>
    <x v="28"/>
    <n v="14185.25"/>
    <n v="10045.76"/>
  </r>
  <r>
    <x v="6"/>
    <n v="2"/>
    <x v="28"/>
    <n v="12799.87"/>
    <n v="8923.73"/>
  </r>
  <r>
    <x v="7"/>
    <n v="2"/>
    <x v="28"/>
    <n v="14204.79"/>
    <n v="10533.35"/>
  </r>
  <r>
    <x v="8"/>
    <n v="2"/>
    <x v="28"/>
    <n v="13833.46"/>
    <n v="10081.16"/>
  </r>
  <r>
    <x v="9"/>
    <n v="2"/>
    <x v="28"/>
    <n v="13357.93"/>
    <n v="9774"/>
  </r>
  <r>
    <x v="10"/>
    <n v="2"/>
    <x v="28"/>
    <n v="13553.61"/>
    <n v="9457.67"/>
  </r>
  <r>
    <x v="11"/>
    <n v="2"/>
    <x v="28"/>
    <n v="11656.02"/>
    <n v="11846.4"/>
  </r>
  <r>
    <x v="12"/>
    <n v="2"/>
    <x v="28"/>
    <n v="19321.37"/>
    <n v="9448.1"/>
  </r>
  <r>
    <x v="13"/>
    <n v="2"/>
    <x v="28"/>
    <n v="11397.24"/>
    <n v="5861.89"/>
  </r>
  <r>
    <x v="14"/>
    <n v="2"/>
    <x v="28"/>
    <n v="12187.46"/>
    <n v="6197.81"/>
  </r>
  <r>
    <x v="15"/>
    <n v="2"/>
    <x v="28"/>
    <n v="12416.62"/>
    <n v="6364.47"/>
  </r>
  <r>
    <x v="16"/>
    <n v="2"/>
    <x v="28"/>
    <n v="12006.53"/>
    <n v="6379.85"/>
  </r>
  <r>
    <x v="17"/>
    <n v="2"/>
    <x v="28"/>
    <n v="12465.79"/>
    <n v="6101.49"/>
  </r>
  <r>
    <x v="18"/>
    <n v="2"/>
    <x v="28"/>
    <n v="11709.4"/>
    <n v="5715.48"/>
  </r>
  <r>
    <x v="19"/>
    <n v="2"/>
    <x v="28"/>
    <n v="12782.77"/>
    <n v="6409.38"/>
  </r>
  <r>
    <x v="20"/>
    <n v="2"/>
    <x v="28"/>
    <n v="13043.27"/>
    <n v="6623.8"/>
  </r>
  <r>
    <x v="21"/>
    <n v="2"/>
    <x v="28"/>
    <n v="12664.06"/>
    <n v="6289.17"/>
  </r>
  <r>
    <x v="22"/>
    <n v="2"/>
    <x v="28"/>
    <n v="12158.4"/>
    <n v="5912.23"/>
  </r>
  <r>
    <x v="23"/>
    <n v="2"/>
    <x v="28"/>
    <n v="12271.16"/>
    <n v="5812.71"/>
  </r>
  <r>
    <x v="24"/>
    <n v="2"/>
    <x v="28"/>
    <n v="24421.06"/>
    <n v="16791.849999999999"/>
  </r>
  <r>
    <x v="25"/>
    <n v="2"/>
    <x v="28"/>
    <n v="15065.37"/>
    <n v="10001.67"/>
  </r>
  <r>
    <x v="26"/>
    <n v="2"/>
    <x v="28"/>
    <n v="14394.09"/>
    <n v="9781.7900000000009"/>
  </r>
  <r>
    <x v="27"/>
    <n v="2"/>
    <x v="28"/>
    <n v="14726.34"/>
    <n v="10299.73"/>
  </r>
  <r>
    <x v="28"/>
    <n v="2"/>
    <x v="28"/>
    <n v="14018.62"/>
    <n v="10111.370000000001"/>
  </r>
  <r>
    <x v="29"/>
    <n v="2"/>
    <x v="28"/>
    <n v="16105.44"/>
    <n v="10913.9"/>
  </r>
  <r>
    <x v="30"/>
    <n v="2"/>
    <x v="28"/>
    <n v="14859.87"/>
    <n v="10265"/>
  </r>
  <r>
    <x v="31"/>
    <n v="2"/>
    <x v="28"/>
    <n v="15825.43"/>
    <n v="10970.35"/>
  </r>
  <r>
    <x v="32"/>
    <n v="2"/>
    <x v="28"/>
    <n v="14236.81"/>
    <n v="10219.06"/>
  </r>
  <r>
    <x v="33"/>
    <n v="2"/>
    <x v="28"/>
    <n v="14847.74"/>
    <n v="10210.07"/>
  </r>
  <r>
    <x v="34"/>
    <n v="2"/>
    <x v="28"/>
    <n v="16515.349999999999"/>
    <n v="11073.74"/>
  </r>
  <r>
    <x v="35"/>
    <n v="2"/>
    <x v="28"/>
    <n v="13939.35"/>
    <n v="9856.42"/>
  </r>
  <r>
    <x v="36"/>
    <n v="2"/>
    <x v="28"/>
    <n v="20082.240000000002"/>
    <n v="14954.74"/>
  </r>
  <r>
    <x v="37"/>
    <n v="2"/>
    <x v="28"/>
    <n v="11788.93"/>
    <n v="8645.84"/>
  </r>
  <r>
    <x v="38"/>
    <n v="2"/>
    <x v="28"/>
    <n v="13487.37"/>
    <n v="10402.469999999999"/>
  </r>
  <r>
    <x v="39"/>
    <n v="2"/>
    <x v="28"/>
    <n v="11685.18"/>
    <n v="9020.64"/>
  </r>
  <r>
    <x v="40"/>
    <n v="2"/>
    <x v="28"/>
    <n v="13494.54"/>
    <n v="10584.52"/>
  </r>
  <r>
    <x v="41"/>
    <n v="2"/>
    <x v="28"/>
    <n v="13745.77"/>
    <n v="10065.27"/>
  </r>
  <r>
    <x v="42"/>
    <n v="2"/>
    <x v="28"/>
    <n v="13400.97"/>
    <n v="10001.25"/>
  </r>
  <r>
    <x v="43"/>
    <n v="2"/>
    <x v="28"/>
    <n v="13272.79"/>
    <n v="10373.43"/>
  </r>
  <r>
    <x v="44"/>
    <n v="2"/>
    <x v="28"/>
    <n v="13502.61"/>
    <n v="10648.52"/>
  </r>
  <r>
    <x v="45"/>
    <n v="2"/>
    <x v="28"/>
    <n v="13227.2"/>
    <n v="10283.48"/>
  </r>
  <r>
    <x v="46"/>
    <n v="2"/>
    <x v="28"/>
    <n v="11628.45"/>
    <n v="9022.17"/>
  </r>
  <r>
    <x v="47"/>
    <n v="2"/>
    <x v="28"/>
    <n v="11523.4"/>
    <n v="8676.2800000000007"/>
  </r>
  <r>
    <x v="48"/>
    <n v="2"/>
    <x v="28"/>
    <n v="22272.22"/>
    <n v="16632.18"/>
  </r>
  <r>
    <x v="49"/>
    <n v="2"/>
    <x v="28"/>
    <n v="13469.25"/>
    <n v="9484.94"/>
  </r>
  <r>
    <x v="50"/>
    <n v="2"/>
    <x v="28"/>
    <n v="12768.58"/>
    <n v="9330.15"/>
  </r>
  <r>
    <x v="51"/>
    <n v="2"/>
    <x v="28"/>
    <n v="12658.47"/>
    <n v="9860.56"/>
  </r>
  <r>
    <x v="52"/>
    <n v="2"/>
    <x v="28"/>
    <n v="12631.61"/>
    <n v="9942.7199999999993"/>
  </r>
  <r>
    <x v="53"/>
    <n v="2"/>
    <x v="28"/>
    <n v="13689.53"/>
    <n v="10665.01"/>
  </r>
  <r>
    <x v="54"/>
    <n v="2"/>
    <x v="28"/>
    <n v="10638.76"/>
    <n v="8374.0499999999993"/>
  </r>
  <r>
    <x v="55"/>
    <n v="2"/>
    <x v="28"/>
    <n v="13153.39"/>
    <n v="10546.04"/>
  </r>
  <r>
    <x v="56"/>
    <n v="2"/>
    <x v="28"/>
    <n v="13231.18"/>
    <n v="10156.280000000001"/>
  </r>
  <r>
    <x v="57"/>
    <n v="2"/>
    <x v="28"/>
    <n v="13975.46"/>
    <n v="10731.74"/>
  </r>
  <r>
    <x v="58"/>
    <n v="2"/>
    <x v="28"/>
    <n v="13668.44"/>
    <n v="11497.64"/>
  </r>
  <r>
    <x v="59"/>
    <n v="2"/>
    <x v="28"/>
    <n v="12988.08"/>
    <n v="9713.02"/>
  </r>
  <r>
    <x v="60"/>
    <n v="2"/>
    <x v="28"/>
    <n v="18597.080000000002"/>
    <n v="13921.22"/>
  </r>
  <r>
    <x v="61"/>
    <n v="2"/>
    <x v="28"/>
    <n v="12629.76"/>
    <n v="9149.7900000000009"/>
  </r>
  <r>
    <x v="62"/>
    <n v="2"/>
    <x v="28"/>
    <n v="13319.03"/>
    <n v="10068.69"/>
  </r>
  <r>
    <x v="63"/>
    <n v="2"/>
    <x v="28"/>
    <n v="12298.53"/>
    <n v="9384.4"/>
  </r>
  <r>
    <x v="64"/>
    <n v="2"/>
    <x v="28"/>
    <n v="13662.84"/>
    <n v="10784.96"/>
  </r>
  <r>
    <x v="65"/>
    <n v="2"/>
    <x v="28"/>
    <n v="14371.54"/>
    <n v="10977.26"/>
  </r>
  <r>
    <x v="66"/>
    <n v="2"/>
    <x v="28"/>
    <n v="12526.38"/>
    <n v="9288.86"/>
  </r>
  <r>
    <x v="67"/>
    <n v="2"/>
    <x v="28"/>
    <n v="13994.91"/>
    <n v="10926.02"/>
  </r>
  <r>
    <x v="68"/>
    <n v="2"/>
    <x v="28"/>
    <n v="11841.45"/>
    <n v="9501.44"/>
  </r>
  <r>
    <x v="69"/>
    <n v="2"/>
    <x v="28"/>
    <n v="13701.21"/>
    <n v="10282.85"/>
  </r>
  <r>
    <x v="70"/>
    <n v="2"/>
    <x v="28"/>
    <n v="14438.68"/>
    <n v="10618.5"/>
  </r>
  <r>
    <x v="71"/>
    <n v="2"/>
    <x v="28"/>
    <n v="13949.86"/>
    <n v="10566.27"/>
  </r>
  <r>
    <x v="72"/>
    <n v="2"/>
    <x v="28"/>
    <n v="905.88"/>
    <n v="219.92"/>
  </r>
  <r>
    <x v="73"/>
    <n v="2"/>
    <x v="28"/>
    <n v="745.86"/>
    <n v="185.52"/>
  </r>
  <r>
    <x v="74"/>
    <n v="2"/>
    <x v="28"/>
    <n v="765.56"/>
    <n v="184.82"/>
  </r>
  <r>
    <x v="75"/>
    <n v="2"/>
    <x v="28"/>
    <n v="713.07"/>
    <n v="165.21"/>
  </r>
  <r>
    <x v="76"/>
    <n v="2"/>
    <x v="28"/>
    <n v="728.16"/>
    <n v="158.54"/>
  </r>
  <r>
    <x v="77"/>
    <n v="2"/>
    <x v="28"/>
    <n v="665.09"/>
    <n v="140.41999999999999"/>
  </r>
  <r>
    <x v="78"/>
    <n v="2"/>
    <x v="28"/>
    <n v="694.46"/>
    <n v="165"/>
  </r>
  <r>
    <x v="79"/>
    <n v="2"/>
    <x v="28"/>
    <n v="791.07"/>
    <n v="337.39"/>
  </r>
  <r>
    <x v="80"/>
    <n v="2"/>
    <x v="28"/>
    <n v="765.7"/>
    <n v="202.97"/>
  </r>
  <r>
    <x v="81"/>
    <n v="2"/>
    <x v="28"/>
    <n v="716.26"/>
    <n v="141.44"/>
  </r>
  <r>
    <x v="82"/>
    <n v="2"/>
    <x v="28"/>
    <n v="868.52"/>
    <n v="210.8"/>
  </r>
  <r>
    <x v="83"/>
    <n v="2"/>
    <x v="28"/>
    <n v="774.05"/>
    <n v="150.22999999999999"/>
  </r>
  <r>
    <x v="84"/>
    <n v="2"/>
    <x v="28"/>
    <n v="1164.6500000000001"/>
    <n v="296.31"/>
  </r>
  <r>
    <x v="85"/>
    <n v="2"/>
    <x v="28"/>
    <n v="1064.17"/>
    <n v="261.27999999999997"/>
  </r>
  <r>
    <x v="86"/>
    <n v="2"/>
    <x v="28"/>
    <n v="1095.29"/>
    <n v="319.89999999999998"/>
  </r>
  <r>
    <x v="87"/>
    <n v="2"/>
    <x v="28"/>
    <n v="905.61"/>
    <n v="251.02"/>
  </r>
  <r>
    <x v="88"/>
    <n v="2"/>
    <x v="28"/>
    <n v="848.74"/>
    <n v="200.44"/>
  </r>
  <r>
    <x v="89"/>
    <n v="2"/>
    <x v="28"/>
    <n v="960.68"/>
    <n v="249.62"/>
  </r>
  <r>
    <x v="90"/>
    <n v="2"/>
    <x v="28"/>
    <n v="774.02"/>
    <n v="145.80000000000001"/>
  </r>
  <r>
    <x v="91"/>
    <n v="2"/>
    <x v="28"/>
    <n v="713.63"/>
    <n v="148.35"/>
  </r>
  <r>
    <x v="92"/>
    <n v="2"/>
    <x v="28"/>
    <n v="778.94"/>
    <n v="184.58"/>
  </r>
  <r>
    <x v="93"/>
    <n v="2"/>
    <x v="28"/>
    <n v="924.3"/>
    <n v="245.63"/>
  </r>
  <r>
    <x v="94"/>
    <n v="2"/>
    <x v="28"/>
    <n v="831.27"/>
    <n v="160.63999999999999"/>
  </r>
  <r>
    <x v="95"/>
    <n v="2"/>
    <x v="28"/>
    <n v="910.4"/>
    <n v="204.28"/>
  </r>
  <r>
    <x v="0"/>
    <n v="2"/>
    <x v="29"/>
    <n v="22906"/>
    <n v="15743.15"/>
  </r>
  <r>
    <x v="1"/>
    <n v="2"/>
    <x v="29"/>
    <n v="15829.03"/>
    <n v="10465.44"/>
  </r>
  <r>
    <x v="2"/>
    <n v="2"/>
    <x v="29"/>
    <n v="15468.49"/>
    <n v="10442.24"/>
  </r>
  <r>
    <x v="3"/>
    <n v="2"/>
    <x v="29"/>
    <n v="15162.54"/>
    <n v="10676.79"/>
  </r>
  <r>
    <x v="4"/>
    <n v="2"/>
    <x v="29"/>
    <n v="15043"/>
    <n v="10610.93"/>
  </r>
  <r>
    <x v="5"/>
    <n v="2"/>
    <x v="29"/>
    <n v="15745.95"/>
    <n v="10792.81"/>
  </r>
  <r>
    <x v="6"/>
    <n v="2"/>
    <x v="29"/>
    <n v="14199.04"/>
    <n v="9568.31"/>
  </r>
  <r>
    <x v="7"/>
    <n v="2"/>
    <x v="29"/>
    <n v="15772.36"/>
    <n v="11313.47"/>
  </r>
  <r>
    <x v="8"/>
    <n v="2"/>
    <x v="29"/>
    <n v="15316.58"/>
    <n v="10800.46"/>
  </r>
  <r>
    <x v="9"/>
    <n v="2"/>
    <x v="29"/>
    <n v="14775.18"/>
    <n v="10470.27"/>
  </r>
  <r>
    <x v="10"/>
    <n v="2"/>
    <x v="29"/>
    <n v="14948.75"/>
    <n v="10124.67"/>
  </r>
  <r>
    <x v="11"/>
    <n v="2"/>
    <x v="29"/>
    <n v="12825.79"/>
    <n v="12561.42"/>
  </r>
  <r>
    <x v="12"/>
    <n v="2"/>
    <x v="29"/>
    <n v="19465.39"/>
    <n v="9469.7199999999993"/>
  </r>
  <r>
    <x v="13"/>
    <n v="2"/>
    <x v="29"/>
    <n v="11524.09"/>
    <n v="5877.96"/>
  </r>
  <r>
    <x v="14"/>
    <n v="2"/>
    <x v="29"/>
    <n v="12317.27"/>
    <n v="6214.35"/>
  </r>
  <r>
    <x v="15"/>
    <n v="2"/>
    <x v="29"/>
    <n v="12555.07"/>
    <n v="6378.32"/>
  </r>
  <r>
    <x v="16"/>
    <n v="2"/>
    <x v="29"/>
    <n v="12147.51"/>
    <n v="6394.2"/>
  </r>
  <r>
    <x v="17"/>
    <n v="2"/>
    <x v="29"/>
    <n v="12604.3"/>
    <n v="6114.84"/>
  </r>
  <r>
    <x v="18"/>
    <n v="2"/>
    <x v="29"/>
    <n v="11824.91"/>
    <n v="5724.45"/>
  </r>
  <r>
    <x v="19"/>
    <n v="2"/>
    <x v="29"/>
    <n v="12922.92"/>
    <n v="6422.03"/>
  </r>
  <r>
    <x v="20"/>
    <n v="2"/>
    <x v="29"/>
    <n v="13182.64"/>
    <n v="6634.33"/>
  </r>
  <r>
    <x v="21"/>
    <n v="2"/>
    <x v="29"/>
    <n v="12801.18"/>
    <n v="6299.14"/>
  </r>
  <r>
    <x v="22"/>
    <n v="2"/>
    <x v="29"/>
    <n v="12272.37"/>
    <n v="5916.6"/>
  </r>
  <r>
    <x v="23"/>
    <n v="2"/>
    <x v="29"/>
    <n v="12375.32"/>
    <n v="5815.27"/>
  </r>
  <r>
    <x v="24"/>
    <n v="2"/>
    <x v="29"/>
    <n v="28027.45"/>
    <n v="18463.88"/>
  </r>
  <r>
    <x v="25"/>
    <n v="2"/>
    <x v="29"/>
    <n v="17140.560000000001"/>
    <n v="10956.28"/>
  </r>
  <r>
    <x v="26"/>
    <n v="2"/>
    <x v="29"/>
    <n v="16381.51"/>
    <n v="10705.64"/>
  </r>
  <r>
    <x v="27"/>
    <n v="2"/>
    <x v="29"/>
    <n v="16735.3"/>
    <n v="11290.79"/>
  </r>
  <r>
    <x v="28"/>
    <n v="2"/>
    <x v="29"/>
    <n v="16009.73"/>
    <n v="11091.15"/>
  </r>
  <r>
    <x v="29"/>
    <n v="2"/>
    <x v="29"/>
    <n v="18344.41"/>
    <n v="11940.75"/>
  </r>
  <r>
    <x v="30"/>
    <n v="2"/>
    <x v="29"/>
    <n v="16926.93"/>
    <n v="11227.55"/>
  </r>
  <r>
    <x v="31"/>
    <n v="2"/>
    <x v="29"/>
    <n v="17988"/>
    <n v="12012.39"/>
  </r>
  <r>
    <x v="32"/>
    <n v="2"/>
    <x v="29"/>
    <n v="16184.13"/>
    <n v="11183.45"/>
  </r>
  <r>
    <x v="33"/>
    <n v="2"/>
    <x v="29"/>
    <n v="16893.509999999998"/>
    <n v="11185.48"/>
  </r>
  <r>
    <x v="34"/>
    <n v="2"/>
    <x v="29"/>
    <n v="18774.240000000002"/>
    <n v="12127.82"/>
  </r>
  <r>
    <x v="35"/>
    <n v="2"/>
    <x v="29"/>
    <n v="15814.4"/>
    <n v="10777.91"/>
  </r>
  <r>
    <x v="36"/>
    <n v="2"/>
    <x v="29"/>
    <n v="25045.95"/>
    <n v="16901.21"/>
  </r>
  <r>
    <x v="37"/>
    <n v="2"/>
    <x v="29"/>
    <n v="14371.35"/>
    <n v="9711.42"/>
  </r>
  <r>
    <x v="38"/>
    <n v="2"/>
    <x v="29"/>
    <n v="16565.88"/>
    <n v="11685.03"/>
  </r>
  <r>
    <x v="39"/>
    <n v="2"/>
    <x v="29"/>
    <n v="14300.59"/>
    <n v="10127.9"/>
  </r>
  <r>
    <x v="40"/>
    <n v="2"/>
    <x v="29"/>
    <n v="16669.62"/>
    <n v="11900.29"/>
  </r>
  <r>
    <x v="41"/>
    <n v="2"/>
    <x v="29"/>
    <n v="16913.5"/>
    <n v="11327.3"/>
  </r>
  <r>
    <x v="42"/>
    <n v="2"/>
    <x v="29"/>
    <n v="16541.68"/>
    <n v="11240.89"/>
  </r>
  <r>
    <x v="43"/>
    <n v="2"/>
    <x v="29"/>
    <n v="16270.78"/>
    <n v="11647.67"/>
  </r>
  <r>
    <x v="44"/>
    <n v="2"/>
    <x v="29"/>
    <n v="16558.68"/>
    <n v="11997.07"/>
  </r>
  <r>
    <x v="45"/>
    <n v="2"/>
    <x v="29"/>
    <n v="16345.52"/>
    <n v="11612.27"/>
  </r>
  <r>
    <x v="46"/>
    <n v="2"/>
    <x v="29"/>
    <n v="14312.27"/>
    <n v="10179.26"/>
  </r>
  <r>
    <x v="47"/>
    <n v="2"/>
    <x v="29"/>
    <n v="14205.83"/>
    <n v="9745.1"/>
  </r>
  <r>
    <x v="48"/>
    <n v="2"/>
    <x v="29"/>
    <n v="27626.31"/>
    <n v="18744.8"/>
  </r>
  <r>
    <x v="49"/>
    <n v="2"/>
    <x v="29"/>
    <n v="16537.87"/>
    <n v="10678.78"/>
  </r>
  <r>
    <x v="50"/>
    <n v="2"/>
    <x v="29"/>
    <n v="15657.69"/>
    <n v="10489.36"/>
  </r>
  <r>
    <x v="51"/>
    <n v="2"/>
    <x v="29"/>
    <n v="15533.96"/>
    <n v="11066.19"/>
  </r>
  <r>
    <x v="52"/>
    <n v="2"/>
    <x v="29"/>
    <n v="15460.28"/>
    <n v="11197.54"/>
  </r>
  <r>
    <x v="53"/>
    <n v="2"/>
    <x v="29"/>
    <n v="16772.759999999998"/>
    <n v="12023.79"/>
  </r>
  <r>
    <x v="54"/>
    <n v="2"/>
    <x v="29"/>
    <n v="13100.41"/>
    <n v="9421.4500000000007"/>
  </r>
  <r>
    <x v="55"/>
    <n v="2"/>
    <x v="29"/>
    <n v="16157.77"/>
    <n v="11861.01"/>
  </r>
  <r>
    <x v="56"/>
    <n v="2"/>
    <x v="29"/>
    <n v="16334.7"/>
    <n v="11436.3"/>
  </r>
  <r>
    <x v="57"/>
    <n v="2"/>
    <x v="29"/>
    <n v="17222.87"/>
    <n v="12083.84"/>
  </r>
  <r>
    <x v="58"/>
    <n v="2"/>
    <x v="29"/>
    <n v="16577.740000000002"/>
    <n v="12909.4"/>
  </r>
  <r>
    <x v="59"/>
    <n v="2"/>
    <x v="29"/>
    <n v="15845.46"/>
    <n v="10935.77"/>
  </r>
  <r>
    <x v="60"/>
    <n v="2"/>
    <x v="29"/>
    <n v="23134.31"/>
    <n v="15720.46"/>
  </r>
  <r>
    <x v="61"/>
    <n v="2"/>
    <x v="29"/>
    <n v="15615.61"/>
    <n v="10327.59"/>
  </r>
  <r>
    <x v="62"/>
    <n v="2"/>
    <x v="29"/>
    <n v="16408.150000000001"/>
    <n v="11332.23"/>
  </r>
  <r>
    <x v="63"/>
    <n v="2"/>
    <x v="29"/>
    <n v="15131.9"/>
    <n v="10544.56"/>
  </r>
  <r>
    <x v="64"/>
    <n v="2"/>
    <x v="29"/>
    <n v="16899.189999999999"/>
    <n v="12125.83"/>
  </r>
  <r>
    <x v="65"/>
    <n v="2"/>
    <x v="29"/>
    <n v="17725.27"/>
    <n v="12390.97"/>
  </r>
  <r>
    <x v="66"/>
    <n v="2"/>
    <x v="29"/>
    <n v="15459.56"/>
    <n v="10479.969999999999"/>
  </r>
  <r>
    <x v="67"/>
    <n v="2"/>
    <x v="29"/>
    <n v="17311.650000000001"/>
    <n v="12328.98"/>
  </r>
  <r>
    <x v="68"/>
    <n v="2"/>
    <x v="29"/>
    <n v="14578.03"/>
    <n v="10690.55"/>
  </r>
  <r>
    <x v="69"/>
    <n v="2"/>
    <x v="29"/>
    <n v="16904.310000000001"/>
    <n v="11573.54"/>
  </r>
  <r>
    <x v="70"/>
    <n v="2"/>
    <x v="29"/>
    <n v="17894.669999999998"/>
    <n v="11957.61"/>
  </r>
  <r>
    <x v="71"/>
    <n v="2"/>
    <x v="29"/>
    <n v="17126.13"/>
    <n v="11874.24"/>
  </r>
  <r>
    <x v="72"/>
    <n v="2"/>
    <x v="29"/>
    <n v="921.27"/>
    <n v="224.98"/>
  </r>
  <r>
    <x v="73"/>
    <n v="2"/>
    <x v="29"/>
    <n v="759.53"/>
    <n v="191.57"/>
  </r>
  <r>
    <x v="74"/>
    <n v="2"/>
    <x v="29"/>
    <n v="780.63"/>
    <n v="190.8"/>
  </r>
  <r>
    <x v="75"/>
    <n v="2"/>
    <x v="29"/>
    <n v="728.2"/>
    <n v="170.37"/>
  </r>
  <r>
    <x v="76"/>
    <n v="2"/>
    <x v="29"/>
    <n v="743.3"/>
    <n v="163.65"/>
  </r>
  <r>
    <x v="77"/>
    <n v="2"/>
    <x v="29"/>
    <n v="680.4"/>
    <n v="145.54"/>
  </r>
  <r>
    <x v="78"/>
    <n v="2"/>
    <x v="29"/>
    <n v="709.81"/>
    <n v="170.7"/>
  </r>
  <r>
    <x v="79"/>
    <n v="2"/>
    <x v="29"/>
    <n v="811.68"/>
    <n v="350.03"/>
  </r>
  <r>
    <x v="80"/>
    <n v="2"/>
    <x v="29"/>
    <n v="783.92"/>
    <n v="210.08"/>
  </r>
  <r>
    <x v="81"/>
    <n v="2"/>
    <x v="29"/>
    <n v="730.24"/>
    <n v="146.37"/>
  </r>
  <r>
    <x v="82"/>
    <n v="2"/>
    <x v="29"/>
    <n v="883.46"/>
    <n v="214.99"/>
  </r>
  <r>
    <x v="83"/>
    <n v="2"/>
    <x v="29"/>
    <n v="781.32"/>
    <n v="152.52000000000001"/>
  </r>
  <r>
    <x v="84"/>
    <n v="2"/>
    <x v="29"/>
    <n v="1171.44"/>
    <n v="298.5"/>
  </r>
  <r>
    <x v="85"/>
    <n v="2"/>
    <x v="29"/>
    <n v="1073.0999999999999"/>
    <n v="263.89"/>
  </r>
  <r>
    <x v="86"/>
    <n v="2"/>
    <x v="29"/>
    <n v="1100.3800000000001"/>
    <n v="321.89999999999998"/>
  </r>
  <r>
    <x v="87"/>
    <n v="2"/>
    <x v="29"/>
    <n v="913.78"/>
    <n v="253.72"/>
  </r>
  <r>
    <x v="88"/>
    <n v="2"/>
    <x v="29"/>
    <n v="862.19"/>
    <n v="204.73"/>
  </r>
  <r>
    <x v="89"/>
    <n v="2"/>
    <x v="29"/>
    <n v="973.46"/>
    <n v="254.74"/>
  </r>
  <r>
    <x v="90"/>
    <n v="2"/>
    <x v="29"/>
    <n v="780.74"/>
    <n v="147.22999999999999"/>
  </r>
  <r>
    <x v="91"/>
    <n v="2"/>
    <x v="29"/>
    <n v="723.01"/>
    <n v="151.5"/>
  </r>
  <r>
    <x v="92"/>
    <n v="2"/>
    <x v="29"/>
    <n v="788.18"/>
    <n v="187.78"/>
  </r>
  <r>
    <x v="93"/>
    <n v="2"/>
    <x v="29"/>
    <n v="934.29"/>
    <n v="247.95"/>
  </r>
  <r>
    <x v="94"/>
    <n v="2"/>
    <x v="29"/>
    <n v="836.47"/>
    <n v="162.07"/>
  </r>
  <r>
    <x v="95"/>
    <n v="2"/>
    <x v="29"/>
    <n v="914.93"/>
    <n v="204.48"/>
  </r>
  <r>
    <x v="0"/>
    <n v="2"/>
    <x v="30"/>
    <n v="24778.45"/>
    <n v="16727.310000000001"/>
  </r>
  <r>
    <x v="1"/>
    <n v="2"/>
    <x v="30"/>
    <n v="17097.310000000001"/>
    <n v="11111.11"/>
  </r>
  <r>
    <x v="2"/>
    <n v="2"/>
    <x v="30"/>
    <n v="16707.71"/>
    <n v="11071.54"/>
  </r>
  <r>
    <x v="3"/>
    <n v="2"/>
    <x v="30"/>
    <n v="16393.37"/>
    <n v="11328.38"/>
  </r>
  <r>
    <x v="4"/>
    <n v="2"/>
    <x v="30"/>
    <n v="16264.4"/>
    <n v="11253.62"/>
  </r>
  <r>
    <x v="5"/>
    <n v="2"/>
    <x v="30"/>
    <n v="17006.98"/>
    <n v="11445.98"/>
  </r>
  <r>
    <x v="6"/>
    <n v="2"/>
    <x v="30"/>
    <n v="15324.53"/>
    <n v="10136.39"/>
  </r>
  <r>
    <x v="7"/>
    <n v="2"/>
    <x v="30"/>
    <n v="17038.13"/>
    <n v="11991.84"/>
  </r>
  <r>
    <x v="8"/>
    <n v="2"/>
    <x v="30"/>
    <n v="16173.5"/>
    <n v="11442.1"/>
  </r>
  <r>
    <x v="9"/>
    <n v="2"/>
    <x v="30"/>
    <n v="15918.26"/>
    <n v="11089.03"/>
  </r>
  <r>
    <x v="10"/>
    <n v="2"/>
    <x v="30"/>
    <n v="16078.11"/>
    <n v="10716.84"/>
  </r>
  <r>
    <x v="11"/>
    <n v="2"/>
    <x v="30"/>
    <n v="13906.96"/>
    <n v="13247.42"/>
  </r>
  <r>
    <x v="12"/>
    <n v="2"/>
    <x v="30"/>
    <n v="19613.98"/>
    <n v="9490.23"/>
  </r>
  <r>
    <x v="13"/>
    <n v="2"/>
    <x v="30"/>
    <n v="11596.03"/>
    <n v="5893.64"/>
  </r>
  <r>
    <x v="14"/>
    <n v="2"/>
    <x v="30"/>
    <n v="12427.1"/>
    <n v="6228.93"/>
  </r>
  <r>
    <x v="15"/>
    <n v="2"/>
    <x v="30"/>
    <n v="12632.84"/>
    <n v="6390.75"/>
  </r>
  <r>
    <x v="16"/>
    <n v="2"/>
    <x v="30"/>
    <n v="12230.29"/>
    <n v="6408.18"/>
  </r>
  <r>
    <x v="17"/>
    <n v="2"/>
    <x v="30"/>
    <n v="12717.06"/>
    <n v="6123.54"/>
  </r>
  <r>
    <x v="18"/>
    <n v="2"/>
    <x v="30"/>
    <n v="11893.56"/>
    <n v="5733.23"/>
  </r>
  <r>
    <x v="19"/>
    <n v="2"/>
    <x v="30"/>
    <n v="13039.89"/>
    <n v="6430.12"/>
  </r>
  <r>
    <x v="20"/>
    <n v="2"/>
    <x v="30"/>
    <n v="13294.45"/>
    <n v="6642.13"/>
  </r>
  <r>
    <x v="21"/>
    <n v="2"/>
    <x v="30"/>
    <n v="12878.48"/>
    <n v="6308.34"/>
  </r>
  <r>
    <x v="22"/>
    <n v="2"/>
    <x v="30"/>
    <n v="12363"/>
    <n v="5920.7"/>
  </r>
  <r>
    <x v="23"/>
    <n v="2"/>
    <x v="30"/>
    <n v="12458.92"/>
    <n v="5818.2"/>
  </r>
  <r>
    <x v="24"/>
    <n v="2"/>
    <x v="30"/>
    <n v="31028.62"/>
    <n v="19924.38"/>
  </r>
  <r>
    <x v="25"/>
    <n v="2"/>
    <x v="30"/>
    <n v="18885.66"/>
    <n v="11789.88"/>
  </r>
  <r>
    <x v="26"/>
    <n v="2"/>
    <x v="30"/>
    <n v="18043.330000000002"/>
    <n v="11521.35"/>
  </r>
  <r>
    <x v="27"/>
    <n v="2"/>
    <x v="30"/>
    <n v="18444.72"/>
    <n v="12139.27"/>
  </r>
  <r>
    <x v="28"/>
    <n v="2"/>
    <x v="30"/>
    <n v="17681.75"/>
    <n v="11947.85"/>
  </r>
  <r>
    <x v="29"/>
    <n v="2"/>
    <x v="30"/>
    <n v="20204.349999999999"/>
    <n v="12836.35"/>
  </r>
  <r>
    <x v="30"/>
    <n v="2"/>
    <x v="30"/>
    <n v="18674.080000000002"/>
    <n v="12067.57"/>
  </r>
  <r>
    <x v="31"/>
    <n v="2"/>
    <x v="30"/>
    <n v="19818.849999999999"/>
    <n v="12921.97"/>
  </r>
  <r>
    <x v="32"/>
    <n v="2"/>
    <x v="30"/>
    <n v="17813.38"/>
    <n v="12035.92"/>
  </r>
  <r>
    <x v="33"/>
    <n v="2"/>
    <x v="30"/>
    <n v="18631.04"/>
    <n v="12039.21"/>
  </r>
  <r>
    <x v="34"/>
    <n v="2"/>
    <x v="30"/>
    <n v="20680.88"/>
    <n v="13044.17"/>
  </r>
  <r>
    <x v="35"/>
    <n v="2"/>
    <x v="30"/>
    <n v="17420.14"/>
    <n v="11580.39"/>
  </r>
  <r>
    <x v="36"/>
    <n v="2"/>
    <x v="30"/>
    <n v="29918.36"/>
    <n v="18925.830000000002"/>
  </r>
  <r>
    <x v="37"/>
    <n v="2"/>
    <x v="30"/>
    <n v="16883.39"/>
    <n v="10823.03"/>
  </r>
  <r>
    <x v="38"/>
    <n v="2"/>
    <x v="30"/>
    <n v="19555.29"/>
    <n v="13009.87"/>
  </r>
  <r>
    <x v="39"/>
    <n v="2"/>
    <x v="30"/>
    <n v="16815.29"/>
    <n v="11295.16"/>
  </r>
  <r>
    <x v="40"/>
    <n v="2"/>
    <x v="30"/>
    <n v="19700.03"/>
    <n v="13281.89"/>
  </r>
  <r>
    <x v="41"/>
    <n v="2"/>
    <x v="30"/>
    <n v="20039.18"/>
    <n v="12644.62"/>
  </r>
  <r>
    <x v="42"/>
    <n v="2"/>
    <x v="30"/>
    <n v="19565.23"/>
    <n v="12526.32"/>
  </r>
  <r>
    <x v="43"/>
    <n v="2"/>
    <x v="30"/>
    <n v="19159.23"/>
    <n v="12966.52"/>
  </r>
  <r>
    <x v="44"/>
    <n v="2"/>
    <x v="30"/>
    <n v="19536.240000000002"/>
    <n v="13379.67"/>
  </r>
  <r>
    <x v="45"/>
    <n v="2"/>
    <x v="30"/>
    <n v="19362.64"/>
    <n v="12982.76"/>
  </r>
  <r>
    <x v="46"/>
    <n v="2"/>
    <x v="30"/>
    <n v="16924.599999999999"/>
    <n v="11357.76"/>
  </r>
  <r>
    <x v="47"/>
    <n v="2"/>
    <x v="30"/>
    <n v="16763.72"/>
    <n v="10858.62"/>
  </r>
  <r>
    <x v="48"/>
    <n v="2"/>
    <x v="30"/>
    <n v="32878.620000000003"/>
    <n v="21023.7"/>
  </r>
  <r>
    <x v="49"/>
    <n v="2"/>
    <x v="30"/>
    <n v="19490.41"/>
    <n v="11914.6"/>
  </r>
  <r>
    <x v="50"/>
    <n v="2"/>
    <x v="30"/>
    <n v="18428.759999999998"/>
    <n v="11717.6"/>
  </r>
  <r>
    <x v="51"/>
    <n v="2"/>
    <x v="30"/>
    <n v="18329.48"/>
    <n v="12308.46"/>
  </r>
  <r>
    <x v="52"/>
    <n v="2"/>
    <x v="30"/>
    <n v="18216.490000000002"/>
    <n v="12484.18"/>
  </r>
  <r>
    <x v="53"/>
    <n v="2"/>
    <x v="30"/>
    <n v="19763.04"/>
    <n v="13412.82"/>
  </r>
  <r>
    <x v="54"/>
    <n v="2"/>
    <x v="30"/>
    <n v="15534.54"/>
    <n v="10513.37"/>
  </r>
  <r>
    <x v="55"/>
    <n v="2"/>
    <x v="30"/>
    <n v="19055.88"/>
    <n v="13217.28"/>
  </r>
  <r>
    <x v="56"/>
    <n v="2"/>
    <x v="30"/>
    <n v="19358.68"/>
    <n v="12766.65"/>
  </r>
  <r>
    <x v="57"/>
    <n v="2"/>
    <x v="30"/>
    <n v="20366.18"/>
    <n v="13513.85"/>
  </r>
  <r>
    <x v="58"/>
    <n v="2"/>
    <x v="30"/>
    <n v="19421.93"/>
    <n v="14372.82"/>
  </r>
  <r>
    <x v="59"/>
    <n v="2"/>
    <x v="30"/>
    <n v="18592.09"/>
    <n v="12161.31"/>
  </r>
  <r>
    <x v="60"/>
    <n v="2"/>
    <x v="30"/>
    <n v="27654.51"/>
    <n v="17617.57"/>
  </r>
  <r>
    <x v="61"/>
    <n v="2"/>
    <x v="30"/>
    <n v="18511.400000000001"/>
    <n v="11539.52"/>
  </r>
  <r>
    <x v="62"/>
    <n v="2"/>
    <x v="30"/>
    <n v="19398.919999999998"/>
    <n v="12676.22"/>
  </r>
  <r>
    <x v="63"/>
    <n v="2"/>
    <x v="30"/>
    <n v="17821.96"/>
    <n v="11748.45"/>
  </r>
  <r>
    <x v="64"/>
    <n v="2"/>
    <x v="30"/>
    <n v="20052.38"/>
    <n v="13526.77"/>
  </r>
  <r>
    <x v="65"/>
    <n v="2"/>
    <x v="30"/>
    <n v="20999.02"/>
    <n v="13849.48"/>
  </r>
  <r>
    <x v="66"/>
    <n v="2"/>
    <x v="30"/>
    <n v="18315.66"/>
    <n v="11699.38"/>
  </r>
  <r>
    <x v="67"/>
    <n v="2"/>
    <x v="30"/>
    <n v="20553.84"/>
    <n v="13755.86"/>
  </r>
  <r>
    <x v="68"/>
    <n v="2"/>
    <x v="30"/>
    <n v="17250.89"/>
    <n v="11958.01"/>
  </r>
  <r>
    <x v="69"/>
    <n v="2"/>
    <x v="30"/>
    <n v="20016.57"/>
    <n v="12917.32"/>
  </r>
  <r>
    <x v="70"/>
    <n v="2"/>
    <x v="30"/>
    <n v="21218.53"/>
    <n v="13335.76"/>
  </r>
  <r>
    <x v="71"/>
    <n v="2"/>
    <x v="30"/>
    <n v="20194.439999999999"/>
    <n v="13224.67"/>
  </r>
  <r>
    <x v="72"/>
    <n v="2"/>
    <x v="30"/>
    <n v="938.17"/>
    <n v="230.32"/>
  </r>
  <r>
    <x v="73"/>
    <n v="2"/>
    <x v="30"/>
    <n v="772.99"/>
    <n v="197.1"/>
  </r>
  <r>
    <x v="74"/>
    <n v="2"/>
    <x v="30"/>
    <n v="795.84"/>
    <n v="196.23"/>
  </r>
  <r>
    <x v="75"/>
    <n v="2"/>
    <x v="30"/>
    <n v="743.24"/>
    <n v="175.76"/>
  </r>
  <r>
    <x v="76"/>
    <n v="2"/>
    <x v="30"/>
    <n v="757.04"/>
    <n v="168.94"/>
  </r>
  <r>
    <x v="77"/>
    <n v="2"/>
    <x v="30"/>
    <n v="696.26"/>
    <n v="152.51"/>
  </r>
  <r>
    <x v="78"/>
    <n v="2"/>
    <x v="30"/>
    <n v="724.96"/>
    <n v="176.16"/>
  </r>
  <r>
    <x v="79"/>
    <n v="2"/>
    <x v="30"/>
    <n v="831.98"/>
    <n v="362.18"/>
  </r>
  <r>
    <x v="80"/>
    <n v="2"/>
    <x v="30"/>
    <n v="802.07"/>
    <n v="217.27"/>
  </r>
  <r>
    <x v="81"/>
    <n v="2"/>
    <x v="30"/>
    <n v="743.76"/>
    <n v="150.76"/>
  </r>
  <r>
    <x v="82"/>
    <n v="2"/>
    <x v="30"/>
    <n v="897.43"/>
    <n v="220.01"/>
  </r>
  <r>
    <x v="83"/>
    <n v="2"/>
    <x v="30"/>
    <n v="791.74"/>
    <n v="156.66999999999999"/>
  </r>
  <r>
    <x v="84"/>
    <n v="2"/>
    <x v="30"/>
    <n v="1178.25"/>
    <n v="300.33"/>
  </r>
  <r>
    <x v="85"/>
    <n v="2"/>
    <x v="30"/>
    <n v="1081.6199999999999"/>
    <n v="267.08999999999997"/>
  </r>
  <r>
    <x v="86"/>
    <n v="2"/>
    <x v="30"/>
    <n v="1103.4100000000001"/>
    <n v="323.8"/>
  </r>
  <r>
    <x v="87"/>
    <n v="2"/>
    <x v="30"/>
    <n v="923.64"/>
    <n v="257.70999999999998"/>
  </r>
  <r>
    <x v="88"/>
    <n v="2"/>
    <x v="30"/>
    <n v="876.88"/>
    <n v="209.6"/>
  </r>
  <r>
    <x v="89"/>
    <n v="2"/>
    <x v="30"/>
    <n v="985.53"/>
    <n v="258.93"/>
  </r>
  <r>
    <x v="90"/>
    <n v="2"/>
    <x v="30"/>
    <n v="788.19"/>
    <n v="149.56"/>
  </r>
  <r>
    <x v="91"/>
    <n v="2"/>
    <x v="30"/>
    <n v="732.93"/>
    <n v="153.41999999999999"/>
  </r>
  <r>
    <x v="92"/>
    <n v="2"/>
    <x v="30"/>
    <n v="798.78"/>
    <n v="190.28"/>
  </r>
  <r>
    <x v="93"/>
    <n v="2"/>
    <x v="30"/>
    <n v="943.41"/>
    <n v="251.47"/>
  </r>
  <r>
    <x v="94"/>
    <n v="2"/>
    <x v="30"/>
    <n v="843.34"/>
    <n v="164.18"/>
  </r>
  <r>
    <x v="95"/>
    <n v="2"/>
    <x v="30"/>
    <n v="921.29"/>
    <n v="205.96"/>
  </r>
  <r>
    <x v="0"/>
    <n v="2"/>
    <x v="31"/>
    <n v="25832.21"/>
    <n v="17584.77"/>
  </r>
  <r>
    <x v="1"/>
    <n v="2"/>
    <x v="31"/>
    <n v="17844.849999999999"/>
    <n v="11658.72"/>
  </r>
  <r>
    <x v="2"/>
    <n v="2"/>
    <x v="31"/>
    <n v="17664.91"/>
    <n v="11600.82"/>
  </r>
  <r>
    <x v="3"/>
    <n v="2"/>
    <x v="31"/>
    <n v="17088.16"/>
    <n v="11878"/>
  </r>
  <r>
    <x v="4"/>
    <n v="2"/>
    <x v="31"/>
    <n v="16955.310000000001"/>
    <n v="11793.48"/>
  </r>
  <r>
    <x v="5"/>
    <n v="2"/>
    <x v="31"/>
    <n v="17988.84"/>
    <n v="12001.84"/>
  </r>
  <r>
    <x v="6"/>
    <n v="2"/>
    <x v="31"/>
    <n v="15963.54"/>
    <n v="10625.88"/>
  </r>
  <r>
    <x v="7"/>
    <n v="2"/>
    <x v="31"/>
    <n v="18011.89"/>
    <n v="12575.44"/>
  </r>
  <r>
    <x v="8"/>
    <n v="2"/>
    <x v="31"/>
    <n v="17117.189999999999"/>
    <n v="11983.01"/>
  </r>
  <r>
    <x v="9"/>
    <n v="2"/>
    <x v="31"/>
    <n v="16565.45"/>
    <n v="11618.31"/>
  </r>
  <r>
    <x v="10"/>
    <n v="2"/>
    <x v="31"/>
    <n v="16952.580000000002"/>
    <n v="11228.71"/>
  </r>
  <r>
    <x v="11"/>
    <n v="2"/>
    <x v="31"/>
    <n v="14851.35"/>
    <n v="13906.27"/>
  </r>
  <r>
    <x v="12"/>
    <n v="2"/>
    <x v="31"/>
    <n v="19741.05"/>
    <n v="9514.2999999999993"/>
  </r>
  <r>
    <x v="13"/>
    <n v="2"/>
    <x v="31"/>
    <n v="11674.16"/>
    <n v="5910.53"/>
  </r>
  <r>
    <x v="14"/>
    <n v="2"/>
    <x v="31"/>
    <n v="12518.61"/>
    <n v="6244.92"/>
  </r>
  <r>
    <x v="15"/>
    <n v="2"/>
    <x v="31"/>
    <n v="12717.27"/>
    <n v="6402.69"/>
  </r>
  <r>
    <x v="16"/>
    <n v="2"/>
    <x v="31"/>
    <n v="12318.8"/>
    <n v="6421.46"/>
  </r>
  <r>
    <x v="17"/>
    <n v="2"/>
    <x v="31"/>
    <n v="12782.29"/>
    <n v="6134.95"/>
  </r>
  <r>
    <x v="18"/>
    <n v="2"/>
    <x v="31"/>
    <n v="11964.66"/>
    <n v="5743.55"/>
  </r>
  <r>
    <x v="19"/>
    <n v="2"/>
    <x v="31"/>
    <n v="13132.53"/>
    <n v="6441.71"/>
  </r>
  <r>
    <x v="20"/>
    <n v="2"/>
    <x v="31"/>
    <n v="13361.06"/>
    <n v="6651.16"/>
  </r>
  <r>
    <x v="21"/>
    <n v="2"/>
    <x v="31"/>
    <n v="12938.18"/>
    <n v="6313.46"/>
  </r>
  <r>
    <x v="22"/>
    <n v="2"/>
    <x v="31"/>
    <n v="12436.16"/>
    <n v="5924.73"/>
  </r>
  <r>
    <x v="23"/>
    <n v="2"/>
    <x v="31"/>
    <n v="12506.73"/>
    <n v="5820.07"/>
  </r>
  <r>
    <x v="24"/>
    <n v="2"/>
    <x v="31"/>
    <n v="33429.769999999997"/>
    <n v="21165.86"/>
  </r>
  <r>
    <x v="25"/>
    <n v="2"/>
    <x v="31"/>
    <n v="20280.830000000002"/>
    <n v="12481.19"/>
  </r>
  <r>
    <x v="26"/>
    <n v="2"/>
    <x v="31"/>
    <n v="19387.080000000002"/>
    <n v="12203.37"/>
  </r>
  <r>
    <x v="27"/>
    <n v="2"/>
    <x v="31"/>
    <n v="19829.87"/>
    <n v="12843.96"/>
  </r>
  <r>
    <x v="28"/>
    <n v="2"/>
    <x v="31"/>
    <n v="18997.61"/>
    <n v="12642"/>
  </r>
  <r>
    <x v="29"/>
    <n v="2"/>
    <x v="31"/>
    <n v="21685.58"/>
    <n v="13572.72"/>
  </r>
  <r>
    <x v="30"/>
    <n v="2"/>
    <x v="31"/>
    <n v="20108.330000000002"/>
    <n v="12765.81"/>
  </r>
  <r>
    <x v="31"/>
    <n v="2"/>
    <x v="31"/>
    <n v="21276.65"/>
    <n v="13674.59"/>
  </r>
  <r>
    <x v="32"/>
    <n v="2"/>
    <x v="31"/>
    <n v="19111.13"/>
    <n v="12739.18"/>
  </r>
  <r>
    <x v="33"/>
    <n v="2"/>
    <x v="31"/>
    <n v="20030.84"/>
    <n v="12743.2"/>
  </r>
  <r>
    <x v="34"/>
    <n v="2"/>
    <x v="31"/>
    <n v="22222.65"/>
    <n v="13799.7"/>
  </r>
  <r>
    <x v="35"/>
    <n v="2"/>
    <x v="31"/>
    <n v="18707.66"/>
    <n v="12246.71"/>
  </r>
  <r>
    <x v="36"/>
    <n v="2"/>
    <x v="31"/>
    <n v="34513.35"/>
    <n v="20918.32"/>
  </r>
  <r>
    <x v="37"/>
    <n v="2"/>
    <x v="31"/>
    <n v="19216.2"/>
    <n v="11902.87"/>
  </r>
  <r>
    <x v="38"/>
    <n v="2"/>
    <x v="31"/>
    <n v="22301.77"/>
    <n v="14301.07"/>
  </r>
  <r>
    <x v="39"/>
    <n v="2"/>
    <x v="31"/>
    <n v="19113.169999999998"/>
    <n v="12408.68"/>
  </r>
  <r>
    <x v="40"/>
    <n v="2"/>
    <x v="31"/>
    <n v="22447.29"/>
    <n v="14620.32"/>
  </r>
  <r>
    <x v="41"/>
    <n v="2"/>
    <x v="31"/>
    <n v="22860.83"/>
    <n v="13941.83"/>
  </r>
  <r>
    <x v="42"/>
    <n v="2"/>
    <x v="31"/>
    <n v="22277.73"/>
    <n v="13777.22"/>
  </r>
  <r>
    <x v="43"/>
    <n v="2"/>
    <x v="31"/>
    <n v="21840.27"/>
    <n v="14266.64"/>
  </r>
  <r>
    <x v="44"/>
    <n v="2"/>
    <x v="31"/>
    <n v="22259.599999999999"/>
    <n v="14707.79"/>
  </r>
  <r>
    <x v="45"/>
    <n v="2"/>
    <x v="31"/>
    <n v="22127.59"/>
    <n v="14305.61"/>
  </r>
  <r>
    <x v="46"/>
    <n v="2"/>
    <x v="31"/>
    <n v="19329.27"/>
    <n v="12513.46"/>
  </r>
  <r>
    <x v="47"/>
    <n v="2"/>
    <x v="31"/>
    <n v="19080.46"/>
    <n v="11938.93"/>
  </r>
  <r>
    <x v="48"/>
    <n v="2"/>
    <x v="31"/>
    <n v="37725.839999999997"/>
    <n v="23231.52"/>
  </r>
  <r>
    <x v="49"/>
    <n v="2"/>
    <x v="31"/>
    <n v="22180.79"/>
    <n v="13115.12"/>
  </r>
  <r>
    <x v="50"/>
    <n v="2"/>
    <x v="31"/>
    <n v="20957.03"/>
    <n v="12896.8"/>
  </r>
  <r>
    <x v="51"/>
    <n v="2"/>
    <x v="31"/>
    <n v="20894.52"/>
    <n v="13516.03"/>
  </r>
  <r>
    <x v="52"/>
    <n v="2"/>
    <x v="31"/>
    <n v="20744.509999999998"/>
    <n v="13722.48"/>
  </r>
  <r>
    <x v="53"/>
    <n v="2"/>
    <x v="31"/>
    <n v="22527.75"/>
    <n v="14743.69"/>
  </r>
  <r>
    <x v="54"/>
    <n v="2"/>
    <x v="31"/>
    <n v="17748.189999999999"/>
    <n v="11578.39"/>
  </r>
  <r>
    <x v="55"/>
    <n v="2"/>
    <x v="31"/>
    <n v="21709.08"/>
    <n v="14532.15"/>
  </r>
  <r>
    <x v="56"/>
    <n v="2"/>
    <x v="31"/>
    <n v="22077.42"/>
    <n v="14058.37"/>
  </r>
  <r>
    <x v="57"/>
    <n v="2"/>
    <x v="31"/>
    <n v="23178.69"/>
    <n v="14876.11"/>
  </r>
  <r>
    <x v="58"/>
    <n v="2"/>
    <x v="31"/>
    <n v="21975.279999999999"/>
    <n v="15809.63"/>
  </r>
  <r>
    <x v="59"/>
    <n v="2"/>
    <x v="31"/>
    <n v="21095.09"/>
    <n v="13350.41"/>
  </r>
  <r>
    <x v="60"/>
    <n v="2"/>
    <x v="31"/>
    <n v="31774.6"/>
    <n v="19442.89"/>
  </r>
  <r>
    <x v="61"/>
    <n v="2"/>
    <x v="31"/>
    <n v="21170.33"/>
    <n v="12733.6"/>
  </r>
  <r>
    <x v="62"/>
    <n v="2"/>
    <x v="31"/>
    <n v="22207.13"/>
    <n v="13994.28"/>
  </r>
  <r>
    <x v="63"/>
    <n v="2"/>
    <x v="31"/>
    <n v="20263.759999999998"/>
    <n v="12911.29"/>
  </r>
  <r>
    <x v="64"/>
    <n v="2"/>
    <x v="31"/>
    <n v="22984.43"/>
    <n v="14886.78"/>
  </r>
  <r>
    <x v="65"/>
    <n v="2"/>
    <x v="31"/>
    <n v="24010.47"/>
    <n v="15233.23"/>
  </r>
  <r>
    <x v="66"/>
    <n v="2"/>
    <x v="31"/>
    <n v="20959.189999999999"/>
    <n v="12879.38"/>
  </r>
  <r>
    <x v="67"/>
    <n v="2"/>
    <x v="31"/>
    <n v="23542.51"/>
    <n v="15155"/>
  </r>
  <r>
    <x v="68"/>
    <n v="2"/>
    <x v="31"/>
    <n v="19752.79"/>
    <n v="13174.04"/>
  </r>
  <r>
    <x v="69"/>
    <n v="2"/>
    <x v="31"/>
    <n v="22906.06"/>
    <n v="14219.73"/>
  </r>
  <r>
    <x v="70"/>
    <n v="2"/>
    <x v="31"/>
    <n v="24298.89"/>
    <n v="14667.78"/>
  </r>
  <r>
    <x v="71"/>
    <n v="2"/>
    <x v="31"/>
    <n v="23000.33"/>
    <n v="14529.32"/>
  </r>
  <r>
    <x v="72"/>
    <n v="2"/>
    <x v="31"/>
    <n v="954.05"/>
    <n v="236.72"/>
  </r>
  <r>
    <x v="73"/>
    <n v="2"/>
    <x v="31"/>
    <n v="787.26"/>
    <n v="202.32"/>
  </r>
  <r>
    <x v="74"/>
    <n v="2"/>
    <x v="31"/>
    <n v="811.34"/>
    <n v="201.5"/>
  </r>
  <r>
    <x v="75"/>
    <n v="2"/>
    <x v="31"/>
    <n v="756.72"/>
    <n v="180.77"/>
  </r>
  <r>
    <x v="76"/>
    <n v="2"/>
    <x v="31"/>
    <n v="770.53"/>
    <n v="174.1"/>
  </r>
  <r>
    <x v="77"/>
    <n v="2"/>
    <x v="31"/>
    <n v="712"/>
    <n v="157.72"/>
  </r>
  <r>
    <x v="78"/>
    <n v="2"/>
    <x v="31"/>
    <n v="738.94"/>
    <n v="181.49"/>
  </r>
  <r>
    <x v="79"/>
    <n v="2"/>
    <x v="31"/>
    <n v="850.5"/>
    <n v="373.84"/>
  </r>
  <r>
    <x v="80"/>
    <n v="2"/>
    <x v="31"/>
    <n v="818.77"/>
    <n v="224.21"/>
  </r>
  <r>
    <x v="81"/>
    <n v="2"/>
    <x v="31"/>
    <n v="757.04"/>
    <n v="155.01"/>
  </r>
  <r>
    <x v="82"/>
    <n v="2"/>
    <x v="31"/>
    <n v="910.95"/>
    <n v="224.53"/>
  </r>
  <r>
    <x v="83"/>
    <n v="2"/>
    <x v="31"/>
    <n v="802.49"/>
    <n v="159.93"/>
  </r>
  <r>
    <x v="84"/>
    <n v="2"/>
    <x v="31"/>
    <n v="1183.45"/>
    <n v="302.51"/>
  </r>
  <r>
    <x v="85"/>
    <n v="2"/>
    <x v="31"/>
    <n v="1089.0899999999999"/>
    <n v="270.45"/>
  </r>
  <r>
    <x v="86"/>
    <n v="2"/>
    <x v="31"/>
    <n v="1108.92"/>
    <n v="325.91000000000003"/>
  </r>
  <r>
    <x v="87"/>
    <n v="2"/>
    <x v="31"/>
    <n v="930.49"/>
    <n v="260.82"/>
  </r>
  <r>
    <x v="88"/>
    <n v="2"/>
    <x v="31"/>
    <n v="890.49"/>
    <n v="214.03"/>
  </r>
  <r>
    <x v="89"/>
    <n v="2"/>
    <x v="31"/>
    <n v="997.02"/>
    <n v="261.55"/>
  </r>
  <r>
    <x v="90"/>
    <n v="2"/>
    <x v="31"/>
    <n v="797.11"/>
    <n v="151.80000000000001"/>
  </r>
  <r>
    <x v="91"/>
    <n v="2"/>
    <x v="31"/>
    <n v="741.19"/>
    <n v="155.4"/>
  </r>
  <r>
    <x v="92"/>
    <n v="2"/>
    <x v="31"/>
    <n v="805.71"/>
    <n v="193.53"/>
  </r>
  <r>
    <x v="93"/>
    <n v="2"/>
    <x v="31"/>
    <n v="951.57"/>
    <n v="253.7"/>
  </r>
  <r>
    <x v="94"/>
    <n v="2"/>
    <x v="31"/>
    <n v="848.85"/>
    <n v="166.13"/>
  </r>
  <r>
    <x v="95"/>
    <n v="2"/>
    <x v="31"/>
    <n v="925.69"/>
    <n v="207.01"/>
  </r>
  <r>
    <x v="0"/>
    <n v="2"/>
    <x v="32"/>
    <n v="26999.55"/>
    <n v="18320.04"/>
  </r>
  <r>
    <x v="1"/>
    <n v="2"/>
    <x v="32"/>
    <n v="18634.11"/>
    <n v="12116.78"/>
  </r>
  <r>
    <x v="2"/>
    <n v="2"/>
    <x v="32"/>
    <n v="18228.810000000001"/>
    <n v="12037.97"/>
  </r>
  <r>
    <x v="3"/>
    <n v="2"/>
    <x v="32"/>
    <n v="17851.96"/>
    <n v="12336.49"/>
  </r>
  <r>
    <x v="4"/>
    <n v="2"/>
    <x v="32"/>
    <n v="17707.82"/>
    <n v="12236.27"/>
  </r>
  <r>
    <x v="5"/>
    <n v="2"/>
    <x v="32"/>
    <n v="18537.990000000002"/>
    <n v="12462.95"/>
  </r>
  <r>
    <x v="6"/>
    <n v="2"/>
    <x v="32"/>
    <n v="16664.68"/>
    <n v="11042.72"/>
  </r>
  <r>
    <x v="7"/>
    <n v="2"/>
    <x v="32"/>
    <n v="18584.14"/>
    <n v="13068.44"/>
  </r>
  <r>
    <x v="8"/>
    <n v="2"/>
    <x v="32"/>
    <n v="17670.490000000002"/>
    <n v="12432.24"/>
  </r>
  <r>
    <x v="9"/>
    <n v="2"/>
    <x v="32"/>
    <n v="17263.79"/>
    <n v="12061.07"/>
  </r>
  <r>
    <x v="10"/>
    <n v="2"/>
    <x v="32"/>
    <n v="17467.73"/>
    <n v="11665.27"/>
  </r>
  <r>
    <x v="11"/>
    <n v="2"/>
    <x v="32"/>
    <n v="15661.75"/>
    <n v="14549.71"/>
  </r>
  <r>
    <x v="12"/>
    <n v="2"/>
    <x v="32"/>
    <n v="19849.669999999998"/>
    <n v="9540.93"/>
  </r>
  <r>
    <x v="13"/>
    <n v="2"/>
    <x v="32"/>
    <n v="11738.06"/>
    <n v="5921.33"/>
  </r>
  <r>
    <x v="14"/>
    <n v="2"/>
    <x v="32"/>
    <n v="12590.34"/>
    <n v="6261.99"/>
  </r>
  <r>
    <x v="15"/>
    <n v="2"/>
    <x v="32"/>
    <n v="12766.67"/>
    <n v="6413.91"/>
  </r>
  <r>
    <x v="16"/>
    <n v="2"/>
    <x v="32"/>
    <n v="12370.04"/>
    <n v="6433.43"/>
  </r>
  <r>
    <x v="17"/>
    <n v="2"/>
    <x v="32"/>
    <n v="12850.36"/>
    <n v="6142.44"/>
  </r>
  <r>
    <x v="18"/>
    <n v="2"/>
    <x v="32"/>
    <n v="12007.49"/>
    <n v="5753.72"/>
  </r>
  <r>
    <x v="19"/>
    <n v="2"/>
    <x v="32"/>
    <n v="13185.06"/>
    <n v="6453.67"/>
  </r>
  <r>
    <x v="20"/>
    <n v="2"/>
    <x v="32"/>
    <n v="13427.51"/>
    <n v="6657.49"/>
  </r>
  <r>
    <x v="21"/>
    <n v="2"/>
    <x v="32"/>
    <n v="13004.32"/>
    <n v="6319.48"/>
  </r>
  <r>
    <x v="22"/>
    <n v="2"/>
    <x v="32"/>
    <n v="12478.96"/>
    <n v="5929.1"/>
  </r>
  <r>
    <x v="23"/>
    <n v="2"/>
    <x v="32"/>
    <n v="12548.81"/>
    <n v="5825.8"/>
  </r>
  <r>
    <x v="24"/>
    <n v="2"/>
    <x v="32"/>
    <n v="34793.78"/>
    <n v="21883.759999999998"/>
  </r>
  <r>
    <x v="25"/>
    <n v="2"/>
    <x v="32"/>
    <n v="21351.51"/>
    <n v="13024"/>
  </r>
  <r>
    <x v="26"/>
    <n v="2"/>
    <x v="32"/>
    <n v="20156.23"/>
    <n v="12736.66"/>
  </r>
  <r>
    <x v="27"/>
    <n v="2"/>
    <x v="32"/>
    <n v="20616.32"/>
    <n v="13246.28"/>
  </r>
  <r>
    <x v="28"/>
    <n v="2"/>
    <x v="32"/>
    <n v="19774.3"/>
    <n v="13190.83"/>
  </r>
  <r>
    <x v="29"/>
    <n v="2"/>
    <x v="32"/>
    <n v="22842.41"/>
    <n v="14158.21"/>
  </r>
  <r>
    <x v="30"/>
    <n v="2"/>
    <x v="32"/>
    <n v="20922.849999999999"/>
    <n v="13325.47"/>
  </r>
  <r>
    <x v="31"/>
    <n v="2"/>
    <x v="32"/>
    <n v="22141.19"/>
    <n v="14276.7"/>
  </r>
  <r>
    <x v="32"/>
    <n v="2"/>
    <x v="32"/>
    <n v="20121.810000000001"/>
    <n v="13288.96"/>
  </r>
  <r>
    <x v="33"/>
    <n v="2"/>
    <x v="32"/>
    <n v="20820.88"/>
    <n v="13302.34"/>
  </r>
  <r>
    <x v="34"/>
    <n v="2"/>
    <x v="32"/>
    <n v="23100.12"/>
    <n v="14402.74"/>
  </r>
  <r>
    <x v="35"/>
    <n v="2"/>
    <x v="32"/>
    <n v="19696.97"/>
    <n v="12789.4"/>
  </r>
  <r>
    <x v="36"/>
    <n v="2"/>
    <x v="32"/>
    <n v="38524.26"/>
    <n v="22775.78"/>
  </r>
  <r>
    <x v="37"/>
    <n v="2"/>
    <x v="32"/>
    <n v="21230.22"/>
    <n v="12890.36"/>
  </r>
  <r>
    <x v="38"/>
    <n v="2"/>
    <x v="32"/>
    <n v="24702.77"/>
    <n v="15505"/>
  </r>
  <r>
    <x v="39"/>
    <n v="2"/>
    <x v="32"/>
    <n v="21149.73"/>
    <n v="13423.12"/>
  </r>
  <r>
    <x v="40"/>
    <n v="2"/>
    <x v="32"/>
    <n v="24872.09"/>
    <n v="15838.67"/>
  </r>
  <r>
    <x v="41"/>
    <n v="2"/>
    <x v="32"/>
    <n v="25334.07"/>
    <n v="15108.45"/>
  </r>
  <r>
    <x v="42"/>
    <n v="2"/>
    <x v="32"/>
    <n v="24620.82"/>
    <n v="14927.81"/>
  </r>
  <r>
    <x v="43"/>
    <n v="2"/>
    <x v="32"/>
    <n v="24154.13"/>
    <n v="15455.16"/>
  </r>
  <r>
    <x v="44"/>
    <n v="2"/>
    <x v="32"/>
    <n v="24635.27"/>
    <n v="15937.8"/>
  </r>
  <r>
    <x v="45"/>
    <n v="2"/>
    <x v="32"/>
    <n v="24539.88"/>
    <n v="15527.81"/>
  </r>
  <r>
    <x v="46"/>
    <n v="2"/>
    <x v="32"/>
    <n v="21441.16"/>
    <n v="13575.59"/>
  </r>
  <r>
    <x v="47"/>
    <n v="2"/>
    <x v="32"/>
    <n v="21101.71"/>
    <n v="12931.34"/>
  </r>
  <r>
    <x v="48"/>
    <n v="2"/>
    <x v="32"/>
    <n v="41974.18"/>
    <n v="25251.54"/>
  </r>
  <r>
    <x v="49"/>
    <n v="2"/>
    <x v="32"/>
    <n v="24565.26"/>
    <n v="14214.32"/>
  </r>
  <r>
    <x v="50"/>
    <n v="2"/>
    <x v="32"/>
    <n v="23171.71"/>
    <n v="13974.58"/>
  </r>
  <r>
    <x v="51"/>
    <n v="2"/>
    <x v="32"/>
    <n v="23166.26"/>
    <n v="14625.45"/>
  </r>
  <r>
    <x v="52"/>
    <n v="2"/>
    <x v="32"/>
    <n v="22982.19"/>
    <n v="14867"/>
  </r>
  <r>
    <x v="53"/>
    <n v="2"/>
    <x v="32"/>
    <n v="24905.05"/>
    <n v="15973.95"/>
  </r>
  <r>
    <x v="54"/>
    <n v="2"/>
    <x v="32"/>
    <n v="19673.53"/>
    <n v="12570.36"/>
  </r>
  <r>
    <x v="55"/>
    <n v="2"/>
    <x v="32"/>
    <n v="24056.62"/>
    <n v="15755.23"/>
  </r>
  <r>
    <x v="56"/>
    <n v="2"/>
    <x v="32"/>
    <n v="24435.53"/>
    <n v="15260.84"/>
  </r>
  <r>
    <x v="57"/>
    <n v="2"/>
    <x v="32"/>
    <n v="25611.09"/>
    <n v="16106.76"/>
  </r>
  <r>
    <x v="58"/>
    <n v="2"/>
    <x v="32"/>
    <n v="24168.98"/>
    <n v="17121.38"/>
  </r>
  <r>
    <x v="59"/>
    <n v="2"/>
    <x v="32"/>
    <n v="23304.39"/>
    <n v="14428.15"/>
  </r>
  <r>
    <x v="60"/>
    <n v="2"/>
    <x v="32"/>
    <n v="35416.78"/>
    <n v="21152.67"/>
  </r>
  <r>
    <x v="61"/>
    <n v="2"/>
    <x v="32"/>
    <n v="23503.84"/>
    <n v="13820.87"/>
  </r>
  <r>
    <x v="62"/>
    <n v="2"/>
    <x v="32"/>
    <n v="24659.61"/>
    <n v="15186.56"/>
  </r>
  <r>
    <x v="63"/>
    <n v="2"/>
    <x v="32"/>
    <n v="22396.73"/>
    <n v="13978.39"/>
  </r>
  <r>
    <x v="64"/>
    <n v="2"/>
    <x v="32"/>
    <n v="25522.27"/>
    <n v="16133.47"/>
  </r>
  <r>
    <x v="65"/>
    <n v="2"/>
    <x v="32"/>
    <n v="26688.17"/>
    <n v="16490.689999999999"/>
  </r>
  <r>
    <x v="66"/>
    <n v="2"/>
    <x v="32"/>
    <n v="23322.83"/>
    <n v="13968.14"/>
  </r>
  <r>
    <x v="67"/>
    <n v="2"/>
    <x v="32"/>
    <n v="26167.15"/>
    <n v="16424.07"/>
  </r>
  <r>
    <x v="68"/>
    <n v="2"/>
    <x v="32"/>
    <n v="21918.97"/>
    <n v="14279.47"/>
  </r>
  <r>
    <x v="69"/>
    <n v="2"/>
    <x v="32"/>
    <n v="25397.03"/>
    <n v="15412.88"/>
  </r>
  <r>
    <x v="70"/>
    <n v="2"/>
    <x v="32"/>
    <n v="27001.09"/>
    <n v="15891.84"/>
  </r>
  <r>
    <x v="71"/>
    <n v="2"/>
    <x v="32"/>
    <n v="25453.67"/>
    <n v="15727.22"/>
  </r>
  <r>
    <x v="72"/>
    <n v="2"/>
    <x v="32"/>
    <n v="969.52"/>
    <n v="242.5"/>
  </r>
  <r>
    <x v="73"/>
    <n v="2"/>
    <x v="32"/>
    <n v="800.27"/>
    <n v="207.34"/>
  </r>
  <r>
    <x v="74"/>
    <n v="2"/>
    <x v="32"/>
    <n v="827.96"/>
    <n v="204.76"/>
  </r>
  <r>
    <x v="75"/>
    <n v="2"/>
    <x v="32"/>
    <n v="768.69"/>
    <n v="183.12"/>
  </r>
  <r>
    <x v="76"/>
    <n v="2"/>
    <x v="32"/>
    <n v="783.88"/>
    <n v="179.12"/>
  </r>
  <r>
    <x v="77"/>
    <n v="2"/>
    <x v="32"/>
    <n v="726.58"/>
    <n v="163.25"/>
  </r>
  <r>
    <x v="78"/>
    <n v="2"/>
    <x v="32"/>
    <n v="750.73"/>
    <n v="186.68"/>
  </r>
  <r>
    <x v="79"/>
    <n v="2"/>
    <x v="32"/>
    <n v="866.66"/>
    <n v="380.71"/>
  </r>
  <r>
    <x v="80"/>
    <n v="2"/>
    <x v="32"/>
    <n v="832.81"/>
    <n v="229.7"/>
  </r>
  <r>
    <x v="81"/>
    <n v="2"/>
    <x v="32"/>
    <n v="770.47"/>
    <n v="159.27000000000001"/>
  </r>
  <r>
    <x v="82"/>
    <n v="2"/>
    <x v="32"/>
    <n v="924.22"/>
    <n v="230.2"/>
  </r>
  <r>
    <x v="83"/>
    <n v="2"/>
    <x v="32"/>
    <n v="811.72"/>
    <n v="162.29"/>
  </r>
  <r>
    <x v="84"/>
    <n v="2"/>
    <x v="32"/>
    <n v="1189.53"/>
    <n v="305.48"/>
  </r>
  <r>
    <x v="85"/>
    <n v="2"/>
    <x v="32"/>
    <n v="1096.45"/>
    <n v="273.3"/>
  </r>
  <r>
    <x v="86"/>
    <n v="2"/>
    <x v="32"/>
    <n v="1115.78"/>
    <n v="328.24"/>
  </r>
  <r>
    <x v="87"/>
    <n v="2"/>
    <x v="32"/>
    <n v="937.78"/>
    <n v="264.10000000000002"/>
  </r>
  <r>
    <x v="88"/>
    <n v="2"/>
    <x v="32"/>
    <n v="902.51"/>
    <n v="218.26"/>
  </r>
  <r>
    <x v="89"/>
    <n v="2"/>
    <x v="32"/>
    <n v="1007.26"/>
    <n v="264.83999999999997"/>
  </r>
  <r>
    <x v="90"/>
    <n v="2"/>
    <x v="32"/>
    <n v="806.1"/>
    <n v="153.94"/>
  </r>
  <r>
    <x v="91"/>
    <n v="2"/>
    <x v="32"/>
    <n v="748.65"/>
    <n v="158.54"/>
  </r>
  <r>
    <x v="92"/>
    <n v="2"/>
    <x v="32"/>
    <n v="814.05"/>
    <n v="195.55"/>
  </r>
  <r>
    <x v="93"/>
    <n v="2"/>
    <x v="32"/>
    <n v="960.2"/>
    <n v="256.94"/>
  </r>
  <r>
    <x v="94"/>
    <n v="2"/>
    <x v="32"/>
    <n v="855.6"/>
    <n v="167.59"/>
  </r>
  <r>
    <x v="95"/>
    <n v="2"/>
    <x v="32"/>
    <n v="930.72"/>
    <n v="207.94"/>
  </r>
  <r>
    <x v="0"/>
    <n v="2"/>
    <x v="33"/>
    <n v="27691.48"/>
    <n v="18949.68"/>
  </r>
  <r>
    <x v="1"/>
    <n v="2"/>
    <x v="33"/>
    <n v="19094.54"/>
    <n v="12497.18"/>
  </r>
  <r>
    <x v="2"/>
    <n v="2"/>
    <x v="33"/>
    <n v="18820.169999999998"/>
    <n v="12398.51"/>
  </r>
  <r>
    <x v="3"/>
    <n v="2"/>
    <x v="33"/>
    <n v="18301.89"/>
    <n v="12713.17"/>
  </r>
  <r>
    <x v="4"/>
    <n v="2"/>
    <x v="33"/>
    <n v="18316.18"/>
    <n v="12604.45"/>
  </r>
  <r>
    <x v="5"/>
    <n v="2"/>
    <x v="33"/>
    <n v="19134.27"/>
    <n v="12841.59"/>
  </r>
  <r>
    <x v="6"/>
    <n v="2"/>
    <x v="33"/>
    <n v="17075.22"/>
    <n v="11388.25"/>
  </r>
  <r>
    <x v="7"/>
    <n v="2"/>
    <x v="33"/>
    <n v="19196.330000000002"/>
    <n v="13471.65"/>
  </r>
  <r>
    <x v="8"/>
    <n v="2"/>
    <x v="33"/>
    <n v="18271.14"/>
    <n v="12805.85"/>
  </r>
  <r>
    <x v="9"/>
    <n v="2"/>
    <x v="33"/>
    <n v="17667.46"/>
    <n v="12435.05"/>
  </r>
  <r>
    <x v="10"/>
    <n v="2"/>
    <x v="33"/>
    <n v="18008.91"/>
    <n v="12037.4"/>
  </r>
  <r>
    <x v="11"/>
    <n v="2"/>
    <x v="33"/>
    <n v="16342.85"/>
    <n v="15162.41"/>
  </r>
  <r>
    <x v="12"/>
    <n v="2"/>
    <x v="33"/>
    <n v="19912.189999999999"/>
    <n v="9558.26"/>
  </r>
  <r>
    <x v="13"/>
    <n v="2"/>
    <x v="33"/>
    <n v="11774.61"/>
    <n v="5933.94"/>
  </r>
  <r>
    <x v="14"/>
    <n v="2"/>
    <x v="33"/>
    <n v="12632.44"/>
    <n v="6277.87"/>
  </r>
  <r>
    <x v="15"/>
    <n v="2"/>
    <x v="33"/>
    <n v="12824.48"/>
    <n v="6426.02"/>
  </r>
  <r>
    <x v="16"/>
    <n v="2"/>
    <x v="33"/>
    <n v="12427.08"/>
    <n v="6443.84"/>
  </r>
  <r>
    <x v="17"/>
    <n v="2"/>
    <x v="33"/>
    <n v="12907.43"/>
    <n v="6151.26"/>
  </r>
  <r>
    <x v="18"/>
    <n v="2"/>
    <x v="33"/>
    <n v="12054.78"/>
    <n v="5762.07"/>
  </r>
  <r>
    <x v="19"/>
    <n v="2"/>
    <x v="33"/>
    <n v="13241.45"/>
    <n v="6464.38"/>
  </r>
  <r>
    <x v="20"/>
    <n v="2"/>
    <x v="33"/>
    <n v="13481.18"/>
    <n v="6664.79"/>
  </r>
  <r>
    <x v="21"/>
    <n v="2"/>
    <x v="33"/>
    <n v="13060.17"/>
    <n v="6323.21"/>
  </r>
  <r>
    <x v="22"/>
    <n v="2"/>
    <x v="33"/>
    <n v="12521.03"/>
    <n v="5932.51"/>
  </r>
  <r>
    <x v="23"/>
    <n v="2"/>
    <x v="33"/>
    <n v="12573.02"/>
    <n v="5831.32"/>
  </r>
  <r>
    <x v="24"/>
    <n v="2"/>
    <x v="33"/>
    <n v="36259.49"/>
    <n v="22674.22"/>
  </r>
  <r>
    <x v="25"/>
    <n v="2"/>
    <x v="33"/>
    <n v="21979.19"/>
    <n v="13343.53"/>
  </r>
  <r>
    <x v="26"/>
    <n v="2"/>
    <x v="33"/>
    <n v="21016.98"/>
    <n v="13050.32"/>
  </r>
  <r>
    <x v="27"/>
    <n v="2"/>
    <x v="33"/>
    <n v="21484.43"/>
    <n v="13694.4"/>
  </r>
  <r>
    <x v="28"/>
    <n v="2"/>
    <x v="33"/>
    <n v="20614.759999999998"/>
    <n v="13499.45"/>
  </r>
  <r>
    <x v="29"/>
    <n v="2"/>
    <x v="33"/>
    <n v="23491.26"/>
    <n v="14488.54"/>
  </r>
  <r>
    <x v="30"/>
    <n v="2"/>
    <x v="33"/>
    <n v="21799.87"/>
    <n v="13758.24"/>
  </r>
  <r>
    <x v="31"/>
    <n v="2"/>
    <x v="33"/>
    <n v="23079.39"/>
    <n v="14618.21"/>
  </r>
  <r>
    <x v="32"/>
    <n v="2"/>
    <x v="33"/>
    <n v="20687.3"/>
    <n v="13708.21"/>
  </r>
  <r>
    <x v="33"/>
    <n v="2"/>
    <x v="33"/>
    <n v="21692.33"/>
    <n v="13732.8"/>
  </r>
  <r>
    <x v="34"/>
    <n v="2"/>
    <x v="33"/>
    <n v="24063.94"/>
    <n v="14744.03"/>
  </r>
  <r>
    <x v="35"/>
    <n v="2"/>
    <x v="33"/>
    <n v="20277.27"/>
    <n v="13095.82"/>
  </r>
  <r>
    <x v="36"/>
    <n v="2"/>
    <x v="33"/>
    <n v="41887.379999999997"/>
    <n v="24422.46"/>
  </r>
  <r>
    <x v="37"/>
    <n v="2"/>
    <x v="33"/>
    <n v="22905.93"/>
    <n v="13748.36"/>
  </r>
  <r>
    <x v="38"/>
    <n v="2"/>
    <x v="33"/>
    <n v="26743.85"/>
    <n v="16554.93"/>
  </r>
  <r>
    <x v="39"/>
    <n v="2"/>
    <x v="33"/>
    <n v="22849.18"/>
    <n v="14311.53"/>
  </r>
  <r>
    <x v="40"/>
    <n v="2"/>
    <x v="33"/>
    <n v="26879.8"/>
    <n v="16875.689999999999"/>
  </r>
  <r>
    <x v="41"/>
    <n v="2"/>
    <x v="33"/>
    <n v="27378.75"/>
    <n v="16114.61"/>
  </r>
  <r>
    <x v="42"/>
    <n v="2"/>
    <x v="33"/>
    <n v="26580.61"/>
    <n v="15941.36"/>
  </r>
  <r>
    <x v="43"/>
    <n v="2"/>
    <x v="33"/>
    <n v="26097.14"/>
    <n v="16480.7"/>
  </r>
  <r>
    <x v="44"/>
    <n v="2"/>
    <x v="33"/>
    <n v="26626.27"/>
    <n v="16992.009999999998"/>
  </r>
  <r>
    <x v="45"/>
    <n v="2"/>
    <x v="33"/>
    <n v="26563.71"/>
    <n v="16575.64"/>
  </r>
  <r>
    <x v="46"/>
    <n v="2"/>
    <x v="33"/>
    <n v="23239.919999999998"/>
    <n v="14487.1"/>
  </r>
  <r>
    <x v="47"/>
    <n v="2"/>
    <x v="33"/>
    <n v="22822.94"/>
    <n v="13796.03"/>
  </r>
  <r>
    <x v="48"/>
    <n v="2"/>
    <x v="33"/>
    <n v="45546.33"/>
    <n v="27023.41"/>
  </r>
  <r>
    <x v="49"/>
    <n v="2"/>
    <x v="33"/>
    <n v="26571.48"/>
    <n v="15184.74"/>
  </r>
  <r>
    <x v="50"/>
    <n v="2"/>
    <x v="33"/>
    <n v="25032.63"/>
    <n v="14911.65"/>
  </r>
  <r>
    <x v="51"/>
    <n v="2"/>
    <x v="33"/>
    <n v="25076.73"/>
    <n v="15593.34"/>
  </r>
  <r>
    <x v="52"/>
    <n v="2"/>
    <x v="33"/>
    <n v="24838.14"/>
    <n v="15849.03"/>
  </r>
  <r>
    <x v="53"/>
    <n v="2"/>
    <x v="33"/>
    <n v="26875.93"/>
    <n v="17029.39"/>
  </r>
  <r>
    <x v="54"/>
    <n v="2"/>
    <x v="33"/>
    <n v="21290.54"/>
    <n v="13424.14"/>
  </r>
  <r>
    <x v="55"/>
    <n v="2"/>
    <x v="33"/>
    <n v="26008.65"/>
    <n v="16820.55"/>
  </r>
  <r>
    <x v="56"/>
    <n v="2"/>
    <x v="33"/>
    <n v="26406.75"/>
    <n v="16291.67"/>
  </r>
  <r>
    <x v="57"/>
    <n v="2"/>
    <x v="33"/>
    <n v="27648.17"/>
    <n v="17184.759999999998"/>
  </r>
  <r>
    <x v="58"/>
    <n v="2"/>
    <x v="33"/>
    <n v="25984.85"/>
    <n v="18235.27"/>
  </r>
  <r>
    <x v="59"/>
    <n v="2"/>
    <x v="33"/>
    <n v="25130.95"/>
    <n v="15362.78"/>
  </r>
  <r>
    <x v="60"/>
    <n v="2"/>
    <x v="33"/>
    <n v="38496.06"/>
    <n v="22666.2"/>
  </r>
  <r>
    <x v="61"/>
    <n v="2"/>
    <x v="33"/>
    <n v="25479.919999999998"/>
    <n v="14766.78"/>
  </r>
  <r>
    <x v="62"/>
    <n v="2"/>
    <x v="33"/>
    <n v="26740.01"/>
    <n v="16222.64"/>
  </r>
  <r>
    <x v="63"/>
    <n v="2"/>
    <x v="33"/>
    <n v="24192.78"/>
    <n v="14920.06"/>
  </r>
  <r>
    <x v="64"/>
    <n v="2"/>
    <x v="33"/>
    <n v="27642.28"/>
    <n v="17221.25"/>
  </r>
  <r>
    <x v="65"/>
    <n v="2"/>
    <x v="33"/>
    <n v="28914.36"/>
    <n v="17583.77"/>
  </r>
  <r>
    <x v="66"/>
    <n v="2"/>
    <x v="33"/>
    <n v="25296.04"/>
    <n v="14920.98"/>
  </r>
  <r>
    <x v="67"/>
    <n v="2"/>
    <x v="33"/>
    <n v="28382.6"/>
    <n v="17523.5"/>
  </r>
  <r>
    <x v="68"/>
    <n v="2"/>
    <x v="33"/>
    <n v="23744.74"/>
    <n v="15241.71"/>
  </r>
  <r>
    <x v="69"/>
    <n v="2"/>
    <x v="33"/>
    <n v="27468.21"/>
    <n v="16460.62"/>
  </r>
  <r>
    <x v="70"/>
    <n v="2"/>
    <x v="33"/>
    <n v="29235.4"/>
    <n v="16961.18"/>
  </r>
  <r>
    <x v="71"/>
    <n v="2"/>
    <x v="33"/>
    <n v="27498.52"/>
    <n v="16769.93"/>
  </r>
  <r>
    <x v="72"/>
    <n v="2"/>
    <x v="33"/>
    <n v="979.58"/>
    <n v="246.25"/>
  </r>
  <r>
    <x v="73"/>
    <n v="2"/>
    <x v="33"/>
    <n v="807.77"/>
    <n v="209.71"/>
  </r>
  <r>
    <x v="74"/>
    <n v="2"/>
    <x v="33"/>
    <n v="838.67"/>
    <n v="209.93"/>
  </r>
  <r>
    <x v="75"/>
    <n v="2"/>
    <x v="33"/>
    <n v="779.78"/>
    <n v="187.64"/>
  </r>
  <r>
    <x v="76"/>
    <n v="2"/>
    <x v="33"/>
    <n v="792.49"/>
    <n v="181.21"/>
  </r>
  <r>
    <x v="77"/>
    <n v="2"/>
    <x v="33"/>
    <n v="738.51"/>
    <n v="167.11"/>
  </r>
  <r>
    <x v="78"/>
    <n v="2"/>
    <x v="33"/>
    <n v="762.2"/>
    <n v="189.52"/>
  </r>
  <r>
    <x v="79"/>
    <n v="2"/>
    <x v="33"/>
    <n v="880.87"/>
    <n v="388.24"/>
  </r>
  <r>
    <x v="80"/>
    <n v="2"/>
    <x v="33"/>
    <n v="846.26"/>
    <n v="234.85"/>
  </r>
  <r>
    <x v="81"/>
    <n v="2"/>
    <x v="33"/>
    <n v="782.03"/>
    <n v="161.96"/>
  </r>
  <r>
    <x v="82"/>
    <n v="2"/>
    <x v="33"/>
    <n v="938.12"/>
    <n v="235.66"/>
  </r>
  <r>
    <x v="83"/>
    <n v="2"/>
    <x v="33"/>
    <n v="817.35"/>
    <n v="163.88"/>
  </r>
  <r>
    <x v="84"/>
    <n v="2"/>
    <x v="33"/>
    <n v="1193.74"/>
    <n v="309.33999999999997"/>
  </r>
  <r>
    <x v="85"/>
    <n v="2"/>
    <x v="33"/>
    <n v="1101.51"/>
    <n v="274.70999999999998"/>
  </r>
  <r>
    <x v="86"/>
    <n v="2"/>
    <x v="33"/>
    <n v="1122.72"/>
    <n v="330.05"/>
  </r>
  <r>
    <x v="87"/>
    <n v="2"/>
    <x v="33"/>
    <n v="944.95"/>
    <n v="265.44"/>
  </r>
  <r>
    <x v="88"/>
    <n v="2"/>
    <x v="33"/>
    <n v="913"/>
    <n v="220.43"/>
  </r>
  <r>
    <x v="89"/>
    <n v="2"/>
    <x v="33"/>
    <n v="1016.2"/>
    <n v="269"/>
  </r>
  <r>
    <x v="90"/>
    <n v="2"/>
    <x v="33"/>
    <n v="814.84"/>
    <n v="155.94999999999999"/>
  </r>
  <r>
    <x v="91"/>
    <n v="2"/>
    <x v="33"/>
    <n v="757.14"/>
    <n v="160.78"/>
  </r>
  <r>
    <x v="92"/>
    <n v="2"/>
    <x v="33"/>
    <n v="822.81"/>
    <n v="197.71"/>
  </r>
  <r>
    <x v="93"/>
    <n v="2"/>
    <x v="33"/>
    <n v="965.75"/>
    <n v="259.76"/>
  </r>
  <r>
    <x v="94"/>
    <n v="2"/>
    <x v="33"/>
    <n v="862.33"/>
    <n v="168.39"/>
  </r>
  <r>
    <x v="95"/>
    <n v="2"/>
    <x v="33"/>
    <n v="935.96"/>
    <n v="209.23"/>
  </r>
  <r>
    <x v="0"/>
    <n v="2"/>
    <x v="34"/>
    <n v="28452.26"/>
    <n v="19473.080000000002"/>
  </r>
  <r>
    <x v="1"/>
    <n v="2"/>
    <x v="34"/>
    <n v="19605.310000000001"/>
    <n v="12804.07"/>
  </r>
  <r>
    <x v="2"/>
    <n v="2"/>
    <x v="34"/>
    <n v="19162.97"/>
    <n v="12696.84"/>
  </r>
  <r>
    <x v="3"/>
    <n v="2"/>
    <x v="34"/>
    <n v="18789.98"/>
    <n v="13016.56"/>
  </r>
  <r>
    <x v="4"/>
    <n v="2"/>
    <x v="34"/>
    <n v="18659.169999999998"/>
    <n v="12903.47"/>
  </r>
  <r>
    <x v="5"/>
    <n v="2"/>
    <x v="34"/>
    <n v="19485.12"/>
    <n v="13150.16"/>
  </r>
  <r>
    <x v="6"/>
    <n v="2"/>
    <x v="34"/>
    <n v="17526.09"/>
    <n v="11668.51"/>
  </r>
  <r>
    <x v="7"/>
    <n v="2"/>
    <x v="34"/>
    <n v="19550.89"/>
    <n v="13799.03"/>
  </r>
  <r>
    <x v="8"/>
    <n v="2"/>
    <x v="34"/>
    <n v="18620.04"/>
    <n v="13109.41"/>
  </r>
  <r>
    <x v="9"/>
    <n v="2"/>
    <x v="34"/>
    <n v="18103.34"/>
    <n v="12737.5"/>
  </r>
  <r>
    <x v="10"/>
    <n v="2"/>
    <x v="34"/>
    <n v="18442.2"/>
    <n v="12344.87"/>
  </r>
  <r>
    <x v="11"/>
    <n v="2"/>
    <x v="34"/>
    <n v="16897.740000000002"/>
    <n v="15758.77"/>
  </r>
  <r>
    <x v="12"/>
    <n v="2"/>
    <x v="34"/>
    <n v="19975.11"/>
    <n v="9575.01"/>
  </r>
  <r>
    <x v="13"/>
    <n v="2"/>
    <x v="34"/>
    <n v="11810.09"/>
    <n v="5947.19"/>
  </r>
  <r>
    <x v="14"/>
    <n v="2"/>
    <x v="34"/>
    <n v="12663.64"/>
    <n v="6292.73"/>
  </r>
  <r>
    <x v="15"/>
    <n v="2"/>
    <x v="34"/>
    <n v="12860.48"/>
    <n v="6438.22"/>
  </r>
  <r>
    <x v="16"/>
    <n v="2"/>
    <x v="34"/>
    <n v="12462.39"/>
    <n v="6454.43"/>
  </r>
  <r>
    <x v="17"/>
    <n v="2"/>
    <x v="34"/>
    <n v="12939.88"/>
    <n v="6160.21"/>
  </r>
  <r>
    <x v="18"/>
    <n v="2"/>
    <x v="34"/>
    <n v="12097.14"/>
    <n v="5769.96"/>
  </r>
  <r>
    <x v="19"/>
    <n v="2"/>
    <x v="34"/>
    <n v="13288.39"/>
    <n v="6473.65"/>
  </r>
  <r>
    <x v="20"/>
    <n v="2"/>
    <x v="34"/>
    <n v="13511.77"/>
    <n v="6671.83"/>
  </r>
  <r>
    <x v="21"/>
    <n v="2"/>
    <x v="34"/>
    <n v="13091.86"/>
    <n v="6328.27"/>
  </r>
  <r>
    <x v="22"/>
    <n v="2"/>
    <x v="34"/>
    <n v="12545.28"/>
    <n v="5933.92"/>
  </r>
  <r>
    <x v="23"/>
    <n v="2"/>
    <x v="34"/>
    <n v="12597.45"/>
    <n v="5833.79"/>
  </r>
  <r>
    <x v="24"/>
    <n v="2"/>
    <x v="34"/>
    <n v="37117.599999999999"/>
    <n v="23316.29"/>
  </r>
  <r>
    <x v="25"/>
    <n v="2"/>
    <x v="34"/>
    <n v="22645.279999999999"/>
    <n v="13693.48"/>
  </r>
  <r>
    <x v="26"/>
    <n v="2"/>
    <x v="34"/>
    <n v="21523.11"/>
    <n v="13387.43"/>
  </r>
  <r>
    <x v="27"/>
    <n v="2"/>
    <x v="34"/>
    <n v="21996.46"/>
    <n v="14064.87"/>
  </r>
  <r>
    <x v="28"/>
    <n v="2"/>
    <x v="34"/>
    <n v="21103.75"/>
    <n v="13840.52"/>
  </r>
  <r>
    <x v="29"/>
    <n v="2"/>
    <x v="34"/>
    <n v="24189.02"/>
    <n v="14852.64"/>
  </r>
  <r>
    <x v="30"/>
    <n v="2"/>
    <x v="34"/>
    <n v="22505.75"/>
    <n v="14012.32"/>
  </r>
  <r>
    <x v="31"/>
    <n v="2"/>
    <x v="34"/>
    <n v="23625.15"/>
    <n v="14995.56"/>
  </r>
  <r>
    <x v="32"/>
    <n v="2"/>
    <x v="34"/>
    <n v="21300.99"/>
    <n v="13954.71"/>
  </r>
  <r>
    <x v="33"/>
    <n v="2"/>
    <x v="34"/>
    <n v="22202.34"/>
    <n v="13985.91"/>
  </r>
  <r>
    <x v="34"/>
    <n v="2"/>
    <x v="34"/>
    <n v="24630.16"/>
    <n v="15119.59"/>
  </r>
  <r>
    <x v="35"/>
    <n v="2"/>
    <x v="34"/>
    <n v="20893.330000000002"/>
    <n v="13440.2"/>
  </r>
  <r>
    <x v="36"/>
    <n v="2"/>
    <x v="34"/>
    <n v="44621.43"/>
    <n v="25813.42"/>
  </r>
  <r>
    <x v="37"/>
    <n v="2"/>
    <x v="34"/>
    <n v="24258.5"/>
    <n v="14469.74"/>
  </r>
  <r>
    <x v="38"/>
    <n v="2"/>
    <x v="34"/>
    <n v="28383.86"/>
    <n v="17414.86"/>
  </r>
  <r>
    <x v="39"/>
    <n v="2"/>
    <x v="34"/>
    <n v="24194.799999999999"/>
    <n v="15048.86"/>
  </r>
  <r>
    <x v="40"/>
    <n v="2"/>
    <x v="34"/>
    <n v="28491.14"/>
    <n v="17728.34"/>
  </r>
  <r>
    <x v="41"/>
    <n v="2"/>
    <x v="34"/>
    <n v="29032.54"/>
    <n v="16949.41"/>
  </r>
  <r>
    <x v="42"/>
    <n v="2"/>
    <x v="34"/>
    <n v="28170.13"/>
    <n v="16782.560000000001"/>
  </r>
  <r>
    <x v="43"/>
    <n v="2"/>
    <x v="34"/>
    <n v="27648.720000000001"/>
    <n v="17316.02"/>
  </r>
  <r>
    <x v="44"/>
    <n v="2"/>
    <x v="34"/>
    <n v="28229.25"/>
    <n v="17857.93"/>
  </r>
  <r>
    <x v="45"/>
    <n v="2"/>
    <x v="34"/>
    <n v="28173.82"/>
    <n v="17438.87"/>
  </r>
  <r>
    <x v="46"/>
    <n v="2"/>
    <x v="34"/>
    <n v="24682.57"/>
    <n v="15240.24"/>
  </r>
  <r>
    <x v="47"/>
    <n v="2"/>
    <x v="34"/>
    <n v="24204.55"/>
    <n v="14529.23"/>
  </r>
  <r>
    <x v="48"/>
    <n v="2"/>
    <x v="34"/>
    <n v="48433.2"/>
    <n v="28509.65"/>
  </r>
  <r>
    <x v="49"/>
    <n v="2"/>
    <x v="34"/>
    <n v="28171.89"/>
    <n v="15992.29"/>
  </r>
  <r>
    <x v="50"/>
    <n v="2"/>
    <x v="34"/>
    <n v="26547.72"/>
    <n v="15695.93"/>
  </r>
  <r>
    <x v="51"/>
    <n v="2"/>
    <x v="34"/>
    <n v="26599.29"/>
    <n v="16404.73"/>
  </r>
  <r>
    <x v="52"/>
    <n v="2"/>
    <x v="34"/>
    <n v="26328.86"/>
    <n v="16660.189999999999"/>
  </r>
  <r>
    <x v="53"/>
    <n v="2"/>
    <x v="34"/>
    <n v="28464.95"/>
    <n v="17909.07"/>
  </r>
  <r>
    <x v="54"/>
    <n v="2"/>
    <x v="34"/>
    <n v="22621.27"/>
    <n v="14133.74"/>
  </r>
  <r>
    <x v="55"/>
    <n v="2"/>
    <x v="34"/>
    <n v="27578.25"/>
    <n v="17690.830000000002"/>
  </r>
  <r>
    <x v="56"/>
    <n v="2"/>
    <x v="34"/>
    <n v="28007.26"/>
    <n v="17141.68"/>
  </r>
  <r>
    <x v="57"/>
    <n v="2"/>
    <x v="34"/>
    <n v="29294.85"/>
    <n v="18071.71"/>
  </r>
  <r>
    <x v="58"/>
    <n v="2"/>
    <x v="34"/>
    <n v="27433.5"/>
    <n v="19147.330000000002"/>
  </r>
  <r>
    <x v="59"/>
    <n v="2"/>
    <x v="34"/>
    <n v="26593.73"/>
    <n v="16141.98"/>
  </r>
  <r>
    <x v="60"/>
    <n v="2"/>
    <x v="34"/>
    <n v="40955.22"/>
    <n v="23920.45"/>
  </r>
  <r>
    <x v="61"/>
    <n v="2"/>
    <x v="34"/>
    <n v="27086.84"/>
    <n v="15554.52"/>
  </r>
  <r>
    <x v="62"/>
    <n v="2"/>
    <x v="34"/>
    <n v="28414.33"/>
    <n v="17093.560000000001"/>
  </r>
  <r>
    <x v="63"/>
    <n v="2"/>
    <x v="34"/>
    <n v="25650.89"/>
    <n v="15695.54"/>
  </r>
  <r>
    <x v="64"/>
    <n v="2"/>
    <x v="34"/>
    <n v="29360"/>
    <n v="18127.93"/>
  </r>
  <r>
    <x v="65"/>
    <n v="2"/>
    <x v="34"/>
    <n v="30724.87"/>
    <n v="18499.09"/>
  </r>
  <r>
    <x v="66"/>
    <n v="2"/>
    <x v="34"/>
    <n v="26906.080000000002"/>
    <n v="15718.77"/>
  </r>
  <r>
    <x v="67"/>
    <n v="2"/>
    <x v="34"/>
    <n v="30186.18"/>
    <n v="18441.27"/>
  </r>
  <r>
    <x v="68"/>
    <n v="2"/>
    <x v="34"/>
    <n v="25213.11"/>
    <n v="16045.56"/>
  </r>
  <r>
    <x v="69"/>
    <n v="2"/>
    <x v="34"/>
    <n v="29160.21"/>
    <n v="17333.21"/>
  </r>
  <r>
    <x v="70"/>
    <n v="2"/>
    <x v="34"/>
    <n v="31031.61"/>
    <n v="17854.05"/>
  </r>
  <r>
    <x v="71"/>
    <n v="2"/>
    <x v="34"/>
    <n v="29160.95"/>
    <n v="17632.009999999998"/>
  </r>
  <r>
    <x v="72"/>
    <n v="2"/>
    <x v="34"/>
    <n v="990.39"/>
    <n v="250.61"/>
  </r>
  <r>
    <x v="73"/>
    <n v="2"/>
    <x v="34"/>
    <n v="816.71"/>
    <n v="214.17"/>
  </r>
  <r>
    <x v="74"/>
    <n v="2"/>
    <x v="34"/>
    <n v="851.99"/>
    <n v="213.48"/>
  </r>
  <r>
    <x v="75"/>
    <n v="2"/>
    <x v="34"/>
    <n v="788.95"/>
    <n v="190.77"/>
  </r>
  <r>
    <x v="76"/>
    <n v="2"/>
    <x v="34"/>
    <n v="801.65"/>
    <n v="185.06"/>
  </r>
  <r>
    <x v="77"/>
    <n v="2"/>
    <x v="34"/>
    <n v="748.53"/>
    <n v="170.26"/>
  </r>
  <r>
    <x v="78"/>
    <n v="2"/>
    <x v="34"/>
    <n v="773.21"/>
    <n v="192.96"/>
  </r>
  <r>
    <x v="79"/>
    <n v="2"/>
    <x v="34"/>
    <n v="889.47"/>
    <n v="395.22"/>
  </r>
  <r>
    <x v="80"/>
    <n v="2"/>
    <x v="34"/>
    <n v="859.03"/>
    <n v="237.96"/>
  </r>
  <r>
    <x v="81"/>
    <n v="2"/>
    <x v="34"/>
    <n v="793.18"/>
    <n v="164.1"/>
  </r>
  <r>
    <x v="82"/>
    <n v="2"/>
    <x v="34"/>
    <n v="953.04"/>
    <n v="240.72"/>
  </r>
  <r>
    <x v="83"/>
    <n v="2"/>
    <x v="34"/>
    <n v="824.32"/>
    <n v="164.86"/>
  </r>
  <r>
    <x v="84"/>
    <n v="2"/>
    <x v="34"/>
    <n v="1195.6400000000001"/>
    <n v="311.3"/>
  </r>
  <r>
    <x v="85"/>
    <n v="2"/>
    <x v="34"/>
    <n v="1106.8"/>
    <n v="276.33999999999997"/>
  </r>
  <r>
    <x v="86"/>
    <n v="2"/>
    <x v="34"/>
    <n v="1128.1600000000001"/>
    <n v="330.69"/>
  </r>
  <r>
    <x v="87"/>
    <n v="2"/>
    <x v="34"/>
    <n v="951.94"/>
    <n v="266.89999999999998"/>
  </r>
  <r>
    <x v="88"/>
    <n v="2"/>
    <x v="34"/>
    <n v="922.02"/>
    <n v="222.39"/>
  </r>
  <r>
    <x v="89"/>
    <n v="2"/>
    <x v="34"/>
    <n v="1023.47"/>
    <n v="272.08999999999997"/>
  </r>
  <r>
    <x v="90"/>
    <n v="2"/>
    <x v="34"/>
    <n v="819.92"/>
    <n v="157.35"/>
  </r>
  <r>
    <x v="91"/>
    <n v="2"/>
    <x v="34"/>
    <n v="764.82"/>
    <n v="162.94999999999999"/>
  </r>
  <r>
    <x v="92"/>
    <n v="2"/>
    <x v="34"/>
    <n v="828.11"/>
    <n v="199.23"/>
  </r>
  <r>
    <x v="93"/>
    <n v="2"/>
    <x v="34"/>
    <n v="971.85"/>
    <n v="261.82"/>
  </r>
  <r>
    <x v="94"/>
    <n v="2"/>
    <x v="34"/>
    <n v="869.1"/>
    <n v="169.14"/>
  </r>
  <r>
    <x v="95"/>
    <n v="2"/>
    <x v="34"/>
    <n v="940.88"/>
    <n v="209.99"/>
  </r>
  <r>
    <x v="0"/>
    <n v="2"/>
    <x v="35"/>
    <n v="29081.22"/>
    <n v="19910.95"/>
  </r>
  <r>
    <x v="1"/>
    <n v="2"/>
    <x v="35"/>
    <n v="19902.21"/>
    <n v="13050.38"/>
  </r>
  <r>
    <x v="2"/>
    <n v="2"/>
    <x v="35"/>
    <n v="19537.36"/>
    <n v="12939.79"/>
  </r>
  <r>
    <x v="3"/>
    <n v="2"/>
    <x v="35"/>
    <n v="19174.84"/>
    <n v="13263.19"/>
  </r>
  <r>
    <x v="4"/>
    <n v="2"/>
    <x v="35"/>
    <n v="19011.71"/>
    <n v="13141.6"/>
  </r>
  <r>
    <x v="5"/>
    <n v="2"/>
    <x v="35"/>
    <n v="19854.93"/>
    <n v="13401.1"/>
  </r>
  <r>
    <x v="6"/>
    <n v="2"/>
    <x v="35"/>
    <n v="17789.84"/>
    <n v="11890.71"/>
  </r>
  <r>
    <x v="7"/>
    <n v="2"/>
    <x v="35"/>
    <n v="19933.66"/>
    <n v="14068.01"/>
  </r>
  <r>
    <x v="8"/>
    <n v="2"/>
    <x v="35"/>
    <n v="18997.39"/>
    <n v="13353.18"/>
  </r>
  <r>
    <x v="9"/>
    <n v="2"/>
    <x v="35"/>
    <n v="18452.59"/>
    <n v="12983.29"/>
  </r>
  <r>
    <x v="10"/>
    <n v="2"/>
    <x v="35"/>
    <n v="18698.740000000002"/>
    <n v="12593.36"/>
  </r>
  <r>
    <x v="11"/>
    <n v="2"/>
    <x v="35"/>
    <n v="17212.14"/>
    <n v="16358.13"/>
  </r>
  <r>
    <x v="12"/>
    <n v="2"/>
    <x v="35"/>
    <n v="20030.150000000001"/>
    <n v="9585.91"/>
  </r>
  <r>
    <x v="13"/>
    <n v="2"/>
    <x v="35"/>
    <n v="11831.34"/>
    <n v="5960.86"/>
  </r>
  <r>
    <x v="14"/>
    <n v="2"/>
    <x v="35"/>
    <n v="12704.16"/>
    <n v="6307.9"/>
  </r>
  <r>
    <x v="15"/>
    <n v="2"/>
    <x v="35"/>
    <n v="12898.07"/>
    <n v="6449.26"/>
  </r>
  <r>
    <x v="16"/>
    <n v="2"/>
    <x v="35"/>
    <n v="12499.39"/>
    <n v="6461.43"/>
  </r>
  <r>
    <x v="17"/>
    <n v="2"/>
    <x v="35"/>
    <n v="12964.06"/>
    <n v="6168.41"/>
  </r>
  <r>
    <x v="18"/>
    <n v="2"/>
    <x v="35"/>
    <n v="12122.38"/>
    <n v="5777.26"/>
  </r>
  <r>
    <x v="19"/>
    <n v="2"/>
    <x v="35"/>
    <n v="13314.78"/>
    <n v="6482.25"/>
  </r>
  <r>
    <x v="20"/>
    <n v="2"/>
    <x v="35"/>
    <n v="13535.04"/>
    <n v="6677.29"/>
  </r>
  <r>
    <x v="21"/>
    <n v="2"/>
    <x v="35"/>
    <n v="13125.43"/>
    <n v="6332.05"/>
  </r>
  <r>
    <x v="22"/>
    <n v="2"/>
    <x v="35"/>
    <n v="12572.25"/>
    <n v="5935.27"/>
  </r>
  <r>
    <x v="23"/>
    <n v="2"/>
    <x v="35"/>
    <n v="12613.48"/>
    <n v="5832.59"/>
  </r>
  <r>
    <x v="24"/>
    <n v="2"/>
    <x v="35"/>
    <n v="38036.160000000003"/>
    <n v="23818.69"/>
  </r>
  <r>
    <x v="25"/>
    <n v="2"/>
    <x v="35"/>
    <n v="23183.26"/>
    <n v="13900.03"/>
  </r>
  <r>
    <x v="26"/>
    <n v="2"/>
    <x v="35"/>
    <n v="22066.27"/>
    <n v="13584"/>
  </r>
  <r>
    <x v="27"/>
    <n v="2"/>
    <x v="35"/>
    <n v="22563.93"/>
    <n v="14273.12"/>
  </r>
  <r>
    <x v="28"/>
    <n v="2"/>
    <x v="35"/>
    <n v="21635.79"/>
    <n v="14119.54"/>
  </r>
  <r>
    <x v="29"/>
    <n v="2"/>
    <x v="35"/>
    <n v="24750.51"/>
    <n v="15068.08"/>
  </r>
  <r>
    <x v="30"/>
    <n v="2"/>
    <x v="35"/>
    <n v="22903.13"/>
    <n v="14281.8"/>
  </r>
  <r>
    <x v="31"/>
    <n v="2"/>
    <x v="35"/>
    <n v="24218.080000000002"/>
    <n v="15216"/>
  </r>
  <r>
    <x v="32"/>
    <n v="2"/>
    <x v="35"/>
    <n v="21793.79"/>
    <n v="14217.13"/>
  </r>
  <r>
    <x v="33"/>
    <n v="2"/>
    <x v="35"/>
    <n v="22757.07"/>
    <n v="14251.96"/>
  </r>
  <r>
    <x v="34"/>
    <n v="2"/>
    <x v="35"/>
    <n v="25240.6"/>
    <n v="15341.26"/>
  </r>
  <r>
    <x v="35"/>
    <n v="2"/>
    <x v="35"/>
    <n v="21247.75"/>
    <n v="13729.54"/>
  </r>
  <r>
    <x v="36"/>
    <n v="2"/>
    <x v="35"/>
    <n v="46778.74"/>
    <n v="26938.99"/>
  </r>
  <r>
    <x v="37"/>
    <n v="2"/>
    <x v="35"/>
    <n v="25326.47"/>
    <n v="15042.1"/>
  </r>
  <r>
    <x v="38"/>
    <n v="2"/>
    <x v="35"/>
    <n v="29669.14"/>
    <n v="18098.89"/>
  </r>
  <r>
    <x v="39"/>
    <n v="2"/>
    <x v="35"/>
    <n v="24989.88"/>
    <n v="15628.11"/>
  </r>
  <r>
    <x v="40"/>
    <n v="2"/>
    <x v="35"/>
    <n v="29739.34"/>
    <n v="18410.900000000001"/>
  </r>
  <r>
    <x v="41"/>
    <n v="2"/>
    <x v="35"/>
    <n v="29966.639999999999"/>
    <n v="17613.22"/>
  </r>
  <r>
    <x v="42"/>
    <n v="2"/>
    <x v="35"/>
    <n v="29426.81"/>
    <n v="17442.86"/>
  </r>
  <r>
    <x v="43"/>
    <n v="2"/>
    <x v="35"/>
    <n v="28863.37"/>
    <n v="17979.009999999998"/>
  </r>
  <r>
    <x v="44"/>
    <n v="2"/>
    <x v="35"/>
    <n v="29486.12"/>
    <n v="18544.509999999998"/>
  </r>
  <r>
    <x v="45"/>
    <n v="2"/>
    <x v="35"/>
    <n v="29127.78"/>
    <n v="18127.07"/>
  </r>
  <r>
    <x v="46"/>
    <n v="2"/>
    <x v="35"/>
    <n v="25496.01"/>
    <n v="15838.53"/>
  </r>
  <r>
    <x v="47"/>
    <n v="2"/>
    <x v="35"/>
    <n v="25284.84"/>
    <n v="15106.13"/>
  </r>
  <r>
    <x v="48"/>
    <n v="2"/>
    <x v="35"/>
    <n v="50719.67"/>
    <n v="29719.63"/>
  </r>
  <r>
    <x v="49"/>
    <n v="2"/>
    <x v="35"/>
    <n v="29422.86"/>
    <n v="16618.91"/>
  </r>
  <r>
    <x v="50"/>
    <n v="2"/>
    <x v="35"/>
    <n v="27730.74"/>
    <n v="16328.06"/>
  </r>
  <r>
    <x v="51"/>
    <n v="2"/>
    <x v="35"/>
    <n v="27456.79"/>
    <n v="17055.7"/>
  </r>
  <r>
    <x v="52"/>
    <n v="2"/>
    <x v="35"/>
    <n v="27483.15"/>
    <n v="17299.740000000002"/>
  </r>
  <r>
    <x v="53"/>
    <n v="2"/>
    <x v="35"/>
    <n v="29368.07"/>
    <n v="18411.349999999999"/>
  </r>
  <r>
    <x v="54"/>
    <n v="2"/>
    <x v="35"/>
    <n v="23650.23"/>
    <n v="14696.27"/>
  </r>
  <r>
    <x v="55"/>
    <n v="2"/>
    <x v="35"/>
    <n v="28812.47"/>
    <n v="18371"/>
  </r>
  <r>
    <x v="56"/>
    <n v="2"/>
    <x v="35"/>
    <n v="29272.48"/>
    <n v="17813.400000000001"/>
  </r>
  <r>
    <x v="57"/>
    <n v="2"/>
    <x v="35"/>
    <n v="30592.03"/>
    <n v="18766.98"/>
  </r>
  <r>
    <x v="58"/>
    <n v="2"/>
    <x v="35"/>
    <n v="28249.11"/>
    <n v="19859.47"/>
  </r>
  <r>
    <x v="59"/>
    <n v="2"/>
    <x v="35"/>
    <n v="27744.92"/>
    <n v="16769.599999999999"/>
  </r>
  <r>
    <x v="60"/>
    <n v="2"/>
    <x v="35"/>
    <n v="42883.91"/>
    <n v="24932.94"/>
  </r>
  <r>
    <x v="61"/>
    <n v="2"/>
    <x v="35"/>
    <n v="28357.97"/>
    <n v="16195.83"/>
  </r>
  <r>
    <x v="62"/>
    <n v="2"/>
    <x v="35"/>
    <n v="29727.93"/>
    <n v="17786.54"/>
  </r>
  <r>
    <x v="63"/>
    <n v="2"/>
    <x v="35"/>
    <n v="26794.84"/>
    <n v="16304.82"/>
  </r>
  <r>
    <x v="64"/>
    <n v="2"/>
    <x v="35"/>
    <n v="30710.080000000002"/>
    <n v="18843.14"/>
  </r>
  <r>
    <x v="65"/>
    <n v="2"/>
    <x v="35"/>
    <n v="32139.31"/>
    <n v="19234.62"/>
  </r>
  <r>
    <x v="66"/>
    <n v="2"/>
    <x v="35"/>
    <n v="28168.12"/>
    <n v="16361.01"/>
  </r>
  <r>
    <x v="67"/>
    <n v="2"/>
    <x v="35"/>
    <n v="31613.72"/>
    <n v="19178.580000000002"/>
  </r>
  <r>
    <x v="68"/>
    <n v="2"/>
    <x v="35"/>
    <n v="26348.87"/>
    <n v="16690.900000000001"/>
  </r>
  <r>
    <x v="69"/>
    <n v="2"/>
    <x v="35"/>
    <n v="30114.82"/>
    <n v="18010.03"/>
  </r>
  <r>
    <x v="70"/>
    <n v="2"/>
    <x v="35"/>
    <n v="32425.11"/>
    <n v="18568.96"/>
  </r>
  <r>
    <x v="71"/>
    <n v="2"/>
    <x v="35"/>
    <n v="30100.71"/>
    <n v="18321.25"/>
  </r>
  <r>
    <x v="72"/>
    <n v="2"/>
    <x v="35"/>
    <n v="997.76"/>
    <n v="253.68"/>
  </r>
  <r>
    <x v="73"/>
    <n v="2"/>
    <x v="35"/>
    <n v="825.37"/>
    <n v="216.76"/>
  </r>
  <r>
    <x v="74"/>
    <n v="2"/>
    <x v="35"/>
    <n v="863.93"/>
    <n v="215.4"/>
  </r>
  <r>
    <x v="75"/>
    <n v="2"/>
    <x v="35"/>
    <n v="794.58"/>
    <n v="193.06"/>
  </r>
  <r>
    <x v="76"/>
    <n v="2"/>
    <x v="35"/>
    <n v="809.06"/>
    <n v="187.56"/>
  </r>
  <r>
    <x v="77"/>
    <n v="2"/>
    <x v="35"/>
    <n v="754.32"/>
    <n v="172.69"/>
  </r>
  <r>
    <x v="78"/>
    <n v="2"/>
    <x v="35"/>
    <n v="782.31"/>
    <n v="195.6"/>
  </r>
  <r>
    <x v="79"/>
    <n v="2"/>
    <x v="35"/>
    <n v="900.12"/>
    <n v="400.55"/>
  </r>
  <r>
    <x v="80"/>
    <n v="2"/>
    <x v="35"/>
    <n v="866.65"/>
    <n v="241.26"/>
  </r>
  <r>
    <x v="81"/>
    <n v="2"/>
    <x v="35"/>
    <n v="800.49"/>
    <n v="166.3"/>
  </r>
  <r>
    <x v="82"/>
    <n v="2"/>
    <x v="35"/>
    <n v="968.48"/>
    <n v="245.59"/>
  </r>
  <r>
    <x v="83"/>
    <n v="2"/>
    <x v="35"/>
    <n v="833.01"/>
    <n v="166.31"/>
  </r>
  <r>
    <x v="84"/>
    <n v="2"/>
    <x v="35"/>
    <n v="1200.96"/>
    <n v="313.38"/>
  </r>
  <r>
    <x v="85"/>
    <n v="2"/>
    <x v="35"/>
    <n v="1093.95"/>
    <n v="269.97000000000003"/>
  </r>
  <r>
    <x v="86"/>
    <n v="2"/>
    <x v="35"/>
    <n v="1132.98"/>
    <n v="331.15"/>
  </r>
  <r>
    <x v="87"/>
    <n v="2"/>
    <x v="35"/>
    <n v="958.61"/>
    <n v="268.29000000000002"/>
  </r>
  <r>
    <x v="88"/>
    <n v="2"/>
    <x v="35"/>
    <n v="930.78"/>
    <n v="224.8"/>
  </r>
  <r>
    <x v="89"/>
    <n v="2"/>
    <x v="35"/>
    <n v="1031.8900000000001"/>
    <n v="275.49"/>
  </r>
  <r>
    <x v="90"/>
    <n v="2"/>
    <x v="35"/>
    <n v="825.47"/>
    <n v="158.79"/>
  </r>
  <r>
    <x v="91"/>
    <n v="2"/>
    <x v="35"/>
    <n v="769.91"/>
    <n v="164.03"/>
  </r>
  <r>
    <x v="92"/>
    <n v="2"/>
    <x v="35"/>
    <n v="834.78"/>
    <n v="200.09"/>
  </r>
  <r>
    <x v="93"/>
    <n v="2"/>
    <x v="35"/>
    <n v="977.84"/>
    <n v="263.19"/>
  </r>
  <r>
    <x v="94"/>
    <n v="2"/>
    <x v="35"/>
    <n v="874.06"/>
    <n v="169.94"/>
  </r>
  <r>
    <x v="95"/>
    <n v="2"/>
    <x v="35"/>
    <n v="943.01"/>
    <n v="211.19"/>
  </r>
  <r>
    <x v="0"/>
    <n v="2"/>
    <x v="36"/>
    <n v="29438.34"/>
    <n v="20274.39"/>
  </r>
  <r>
    <x v="1"/>
    <n v="2"/>
    <x v="36"/>
    <n v="20217.43"/>
    <n v="13249.46"/>
  </r>
  <r>
    <x v="2"/>
    <n v="2"/>
    <x v="36"/>
    <n v="19755.599999999999"/>
    <n v="13077.2"/>
  </r>
  <r>
    <x v="3"/>
    <n v="2"/>
    <x v="36"/>
    <n v="19402.91"/>
    <n v="13404.75"/>
  </r>
  <r>
    <x v="4"/>
    <n v="2"/>
    <x v="36"/>
    <n v="19215.580000000002"/>
    <n v="13330.71"/>
  </r>
  <r>
    <x v="5"/>
    <n v="2"/>
    <x v="36"/>
    <n v="20068.009999999998"/>
    <n v="13602.66"/>
  </r>
  <r>
    <x v="6"/>
    <n v="2"/>
    <x v="36"/>
    <n v="17988.88"/>
    <n v="12064.17"/>
  </r>
  <r>
    <x v="7"/>
    <n v="2"/>
    <x v="36"/>
    <n v="20157.240000000002"/>
    <n v="14282.14"/>
  </r>
  <r>
    <x v="8"/>
    <n v="2"/>
    <x v="36"/>
    <n v="19217.47"/>
    <n v="13551.91"/>
  </r>
  <r>
    <x v="9"/>
    <n v="2"/>
    <x v="36"/>
    <n v="18650.03"/>
    <n v="13184.23"/>
  </r>
  <r>
    <x v="10"/>
    <n v="2"/>
    <x v="36"/>
    <n v="18955.61"/>
    <n v="12792.78"/>
  </r>
  <r>
    <x v="11"/>
    <n v="2"/>
    <x v="36"/>
    <n v="17551.13"/>
    <n v="16962.740000000002"/>
  </r>
  <r>
    <x v="12"/>
    <n v="2"/>
    <x v="36"/>
    <n v="20062.82"/>
    <n v="9598.18"/>
  </r>
  <r>
    <x v="13"/>
    <n v="2"/>
    <x v="36"/>
    <n v="11851.77"/>
    <n v="5968.9"/>
  </r>
  <r>
    <x v="14"/>
    <n v="2"/>
    <x v="36"/>
    <n v="12730.64"/>
    <n v="6317.79"/>
  </r>
  <r>
    <x v="15"/>
    <n v="2"/>
    <x v="36"/>
    <n v="12919.48"/>
    <n v="6455.61"/>
  </r>
  <r>
    <x v="16"/>
    <n v="2"/>
    <x v="36"/>
    <n v="12534.47"/>
    <n v="6470.44"/>
  </r>
  <r>
    <x v="17"/>
    <n v="2"/>
    <x v="36"/>
    <n v="12982.98"/>
    <n v="6176.84"/>
  </r>
  <r>
    <x v="18"/>
    <n v="2"/>
    <x v="36"/>
    <n v="12146.86"/>
    <n v="5781.83"/>
  </r>
  <r>
    <x v="19"/>
    <n v="2"/>
    <x v="36"/>
    <n v="13334.8"/>
    <n v="6487.23"/>
  </r>
  <r>
    <x v="20"/>
    <n v="2"/>
    <x v="36"/>
    <n v="13561.52"/>
    <n v="6683.15"/>
  </r>
  <r>
    <x v="21"/>
    <n v="2"/>
    <x v="36"/>
    <n v="13153.85"/>
    <n v="6337.78"/>
  </r>
  <r>
    <x v="22"/>
    <n v="2"/>
    <x v="36"/>
    <n v="12588.34"/>
    <n v="5936.56"/>
  </r>
  <r>
    <x v="23"/>
    <n v="2"/>
    <x v="36"/>
    <n v="12627.32"/>
    <n v="5831.48"/>
  </r>
  <r>
    <x v="24"/>
    <n v="2"/>
    <x v="36"/>
    <n v="38764.32"/>
    <n v="24213.119999999999"/>
  </r>
  <r>
    <x v="25"/>
    <n v="2"/>
    <x v="36"/>
    <n v="23486.39"/>
    <n v="14126"/>
  </r>
  <r>
    <x v="26"/>
    <n v="2"/>
    <x v="36"/>
    <n v="22383.599999999999"/>
    <n v="13733.75"/>
  </r>
  <r>
    <x v="27"/>
    <n v="2"/>
    <x v="36"/>
    <n v="22894.44"/>
    <n v="14504.64"/>
  </r>
  <r>
    <x v="28"/>
    <n v="2"/>
    <x v="36"/>
    <n v="22062.09"/>
    <n v="14337.18"/>
  </r>
  <r>
    <x v="29"/>
    <n v="2"/>
    <x v="36"/>
    <n v="25064.799999999999"/>
    <n v="15304.32"/>
  </r>
  <r>
    <x v="30"/>
    <n v="2"/>
    <x v="36"/>
    <n v="23323.41"/>
    <n v="14440.62"/>
  </r>
  <r>
    <x v="31"/>
    <n v="2"/>
    <x v="36"/>
    <n v="24564.35"/>
    <n v="15451.6"/>
  </r>
  <r>
    <x v="32"/>
    <n v="2"/>
    <x v="36"/>
    <n v="22175.84"/>
    <n v="14431.16"/>
  </r>
  <r>
    <x v="33"/>
    <n v="2"/>
    <x v="36"/>
    <n v="23079.7"/>
    <n v="14407.11"/>
  </r>
  <r>
    <x v="34"/>
    <n v="2"/>
    <x v="36"/>
    <n v="25596.55"/>
    <n v="15584.09"/>
  </r>
  <r>
    <x v="35"/>
    <n v="2"/>
    <x v="36"/>
    <n v="21634.12"/>
    <n v="13893.28"/>
  </r>
  <r>
    <x v="36"/>
    <n v="2"/>
    <x v="36"/>
    <n v="48451.96"/>
    <n v="27812.44"/>
  </r>
  <r>
    <x v="37"/>
    <n v="2"/>
    <x v="36"/>
    <n v="26146.1"/>
    <n v="15362.86"/>
  </r>
  <r>
    <x v="38"/>
    <n v="2"/>
    <x v="36"/>
    <n v="30393.93"/>
    <n v="18485.75"/>
  </r>
  <r>
    <x v="39"/>
    <n v="2"/>
    <x v="36"/>
    <n v="25854.29"/>
    <n v="15970.91"/>
  </r>
  <r>
    <x v="40"/>
    <n v="2"/>
    <x v="36"/>
    <n v="30472.19"/>
    <n v="18946.98"/>
  </r>
  <r>
    <x v="41"/>
    <n v="2"/>
    <x v="36"/>
    <n v="30994.33"/>
    <n v="17985.75"/>
  </r>
  <r>
    <x v="42"/>
    <n v="2"/>
    <x v="36"/>
    <n v="30136.65"/>
    <n v="17813.7"/>
  </r>
  <r>
    <x v="43"/>
    <n v="2"/>
    <x v="36"/>
    <n v="29545.8"/>
    <n v="18355.43"/>
  </r>
  <r>
    <x v="44"/>
    <n v="2"/>
    <x v="36"/>
    <n v="30462.47"/>
    <n v="19076.96"/>
  </r>
  <r>
    <x v="45"/>
    <n v="2"/>
    <x v="36"/>
    <n v="30167.74"/>
    <n v="18515.82"/>
  </r>
  <r>
    <x v="46"/>
    <n v="2"/>
    <x v="36"/>
    <n v="26399.919999999998"/>
    <n v="16303.09"/>
  </r>
  <r>
    <x v="47"/>
    <n v="2"/>
    <x v="36"/>
    <n v="25890.63"/>
    <n v="15445.71"/>
  </r>
  <r>
    <x v="48"/>
    <n v="2"/>
    <x v="36"/>
    <n v="52017.52"/>
    <n v="30684.560000000001"/>
  </r>
  <r>
    <x v="49"/>
    <n v="2"/>
    <x v="36"/>
    <n v="30123.919999999998"/>
    <n v="16987.12"/>
  </r>
  <r>
    <x v="50"/>
    <n v="2"/>
    <x v="36"/>
    <n v="28427.19"/>
    <n v="16821.39"/>
  </r>
  <r>
    <x v="51"/>
    <n v="2"/>
    <x v="36"/>
    <n v="28398.94"/>
    <n v="17421.61"/>
  </r>
  <r>
    <x v="52"/>
    <n v="2"/>
    <x v="36"/>
    <n v="28160.85"/>
    <n v="17677.97"/>
  </r>
  <r>
    <x v="53"/>
    <n v="2"/>
    <x v="36"/>
    <n v="30377.55"/>
    <n v="18963.82"/>
  </r>
  <r>
    <x v="54"/>
    <n v="2"/>
    <x v="36"/>
    <n v="24255.06"/>
    <n v="15030.2"/>
  </r>
  <r>
    <x v="55"/>
    <n v="2"/>
    <x v="36"/>
    <n v="29506.41"/>
    <n v="18772.27"/>
  </r>
  <r>
    <x v="56"/>
    <n v="2"/>
    <x v="36"/>
    <n v="30254.3"/>
    <n v="18210.97"/>
  </r>
  <r>
    <x v="57"/>
    <n v="2"/>
    <x v="36"/>
    <n v="31323.599999999999"/>
    <n v="19176.32"/>
  </r>
  <r>
    <x v="58"/>
    <n v="2"/>
    <x v="36"/>
    <n v="29134.68"/>
    <n v="20278.509999999998"/>
  </r>
  <r>
    <x v="59"/>
    <n v="2"/>
    <x v="36"/>
    <n v="28393.82"/>
    <n v="17125.560000000001"/>
  </r>
  <r>
    <x v="60"/>
    <n v="2"/>
    <x v="36"/>
    <n v="44392.43"/>
    <n v="25742.15"/>
  </r>
  <r>
    <x v="61"/>
    <n v="2"/>
    <x v="36"/>
    <n v="29075.41"/>
    <n v="16558.759999999998"/>
  </r>
  <r>
    <x v="62"/>
    <n v="2"/>
    <x v="36"/>
    <n v="30467.23"/>
    <n v="18179.93"/>
  </r>
  <r>
    <x v="63"/>
    <n v="2"/>
    <x v="36"/>
    <n v="27435.4"/>
    <n v="16664.48"/>
  </r>
  <r>
    <x v="64"/>
    <n v="2"/>
    <x v="36"/>
    <n v="31758.29"/>
    <n v="19265.93"/>
  </r>
  <r>
    <x v="65"/>
    <n v="2"/>
    <x v="36"/>
    <n v="33216.410000000003"/>
    <n v="19798.59"/>
  </r>
  <r>
    <x v="66"/>
    <n v="2"/>
    <x v="36"/>
    <n v="28879.68"/>
    <n v="16725.03"/>
  </r>
  <r>
    <x v="67"/>
    <n v="2"/>
    <x v="36"/>
    <n v="32419.59"/>
    <n v="19595.080000000002"/>
  </r>
  <r>
    <x v="68"/>
    <n v="2"/>
    <x v="36"/>
    <n v="27017.29"/>
    <n v="17188.64"/>
  </r>
  <r>
    <x v="69"/>
    <n v="2"/>
    <x v="36"/>
    <n v="31166.29"/>
    <n v="18405.61"/>
  </r>
  <r>
    <x v="70"/>
    <n v="2"/>
    <x v="36"/>
    <n v="33245.75"/>
    <n v="18971.150000000001"/>
  </r>
  <r>
    <x v="71"/>
    <n v="2"/>
    <x v="36"/>
    <n v="31118.74"/>
    <n v="18711.990000000002"/>
  </r>
  <r>
    <x v="72"/>
    <n v="2"/>
    <x v="36"/>
    <n v="1003.3"/>
    <n v="256.54000000000002"/>
  </r>
  <r>
    <x v="73"/>
    <n v="2"/>
    <x v="36"/>
    <n v="834.09"/>
    <n v="218.87"/>
  </r>
  <r>
    <x v="74"/>
    <n v="2"/>
    <x v="36"/>
    <n v="871.24"/>
    <n v="219.78"/>
  </r>
  <r>
    <x v="75"/>
    <n v="2"/>
    <x v="36"/>
    <n v="800.78"/>
    <n v="195.02"/>
  </r>
  <r>
    <x v="76"/>
    <n v="2"/>
    <x v="36"/>
    <n v="816.08"/>
    <n v="189.68"/>
  </r>
  <r>
    <x v="77"/>
    <n v="2"/>
    <x v="36"/>
    <n v="762.36"/>
    <n v="174.21"/>
  </r>
  <r>
    <x v="78"/>
    <n v="2"/>
    <x v="36"/>
    <n v="789.45"/>
    <n v="197.95"/>
  </r>
  <r>
    <x v="79"/>
    <n v="2"/>
    <x v="36"/>
    <n v="910.05"/>
    <n v="406.7"/>
  </r>
  <r>
    <x v="80"/>
    <n v="2"/>
    <x v="36"/>
    <n v="874.76"/>
    <n v="244.27"/>
  </r>
  <r>
    <x v="81"/>
    <n v="2"/>
    <x v="36"/>
    <n v="808.04"/>
    <n v="168.34"/>
  </r>
  <r>
    <x v="82"/>
    <n v="2"/>
    <x v="36"/>
    <n v="985.54"/>
    <n v="250.5"/>
  </r>
  <r>
    <x v="83"/>
    <n v="2"/>
    <x v="36"/>
    <n v="842.13"/>
    <n v="167.67"/>
  </r>
  <r>
    <x v="84"/>
    <n v="2"/>
    <x v="36"/>
    <n v="1204.3"/>
    <n v="315.02999999999997"/>
  </r>
  <r>
    <x v="85"/>
    <n v="2"/>
    <x v="36"/>
    <n v="1064"/>
    <n v="256.98"/>
  </r>
  <r>
    <x v="86"/>
    <n v="2"/>
    <x v="36"/>
    <n v="1135.8599999999999"/>
    <n v="333.24"/>
  </r>
  <r>
    <x v="87"/>
    <n v="2"/>
    <x v="36"/>
    <n v="962.22"/>
    <n v="269.72000000000003"/>
  </r>
  <r>
    <x v="88"/>
    <n v="2"/>
    <x v="36"/>
    <n v="938.42"/>
    <n v="226.99"/>
  </r>
  <r>
    <x v="89"/>
    <n v="2"/>
    <x v="36"/>
    <n v="1040.6500000000001"/>
    <n v="277.51"/>
  </r>
  <r>
    <x v="90"/>
    <n v="2"/>
    <x v="36"/>
    <n v="829.17"/>
    <n v="159.97999999999999"/>
  </r>
  <r>
    <x v="91"/>
    <n v="2"/>
    <x v="36"/>
    <n v="775.33"/>
    <n v="164.5"/>
  </r>
  <r>
    <x v="92"/>
    <n v="2"/>
    <x v="36"/>
    <n v="840.29"/>
    <n v="201.88"/>
  </r>
  <r>
    <x v="93"/>
    <n v="2"/>
    <x v="36"/>
    <n v="981.77"/>
    <n v="264.05"/>
  </r>
  <r>
    <x v="94"/>
    <n v="2"/>
    <x v="36"/>
    <n v="877.81"/>
    <n v="170.4"/>
  </r>
  <r>
    <x v="95"/>
    <n v="2"/>
    <x v="36"/>
    <n v="947.32"/>
    <n v="211.76"/>
  </r>
  <r>
    <x v="0"/>
    <n v="2"/>
    <x v="37"/>
    <n v="29810.400000000001"/>
    <n v="20573.87"/>
  </r>
  <r>
    <x v="1"/>
    <n v="2"/>
    <x v="37"/>
    <n v="20469.78"/>
    <n v="13408.75"/>
  </r>
  <r>
    <x v="2"/>
    <n v="2"/>
    <x v="37"/>
    <n v="19987.32"/>
    <n v="13233.05"/>
  </r>
  <r>
    <x v="3"/>
    <n v="2"/>
    <x v="37"/>
    <n v="19557.12"/>
    <n v="13563.69"/>
  </r>
  <r>
    <x v="4"/>
    <n v="2"/>
    <x v="37"/>
    <n v="19438.259999999998"/>
    <n v="13482.93"/>
  </r>
  <r>
    <x v="5"/>
    <n v="2"/>
    <x v="37"/>
    <n v="20300.77"/>
    <n v="13766.37"/>
  </r>
  <r>
    <x v="6"/>
    <n v="2"/>
    <x v="37"/>
    <n v="18211.32"/>
    <n v="12201.57"/>
  </r>
  <r>
    <x v="7"/>
    <n v="2"/>
    <x v="37"/>
    <n v="20398.95"/>
    <n v="14463.02"/>
  </r>
  <r>
    <x v="8"/>
    <n v="2"/>
    <x v="37"/>
    <n v="19462.080000000002"/>
    <n v="13717.11"/>
  </r>
  <r>
    <x v="9"/>
    <n v="2"/>
    <x v="37"/>
    <n v="18858.79"/>
    <n v="13342.19"/>
  </r>
  <r>
    <x v="10"/>
    <n v="2"/>
    <x v="37"/>
    <n v="19103.91"/>
    <n v="12954.67"/>
  </r>
  <r>
    <x v="11"/>
    <n v="2"/>
    <x v="37"/>
    <n v="17748.240000000002"/>
    <n v="17568.02"/>
  </r>
  <r>
    <x v="12"/>
    <n v="2"/>
    <x v="37"/>
    <n v="20085.87"/>
    <n v="9611.52"/>
  </r>
  <r>
    <x v="13"/>
    <n v="2"/>
    <x v="37"/>
    <n v="11863.63"/>
    <n v="5979.45"/>
  </r>
  <r>
    <x v="14"/>
    <n v="2"/>
    <x v="37"/>
    <n v="12744.9"/>
    <n v="6329.01"/>
  </r>
  <r>
    <x v="15"/>
    <n v="2"/>
    <x v="37"/>
    <n v="12942.45"/>
    <n v="6464.34"/>
  </r>
  <r>
    <x v="16"/>
    <n v="2"/>
    <x v="37"/>
    <n v="12556.68"/>
    <n v="6479.72"/>
  </r>
  <r>
    <x v="17"/>
    <n v="2"/>
    <x v="37"/>
    <n v="12997"/>
    <n v="6182.02"/>
  </r>
  <r>
    <x v="18"/>
    <n v="2"/>
    <x v="37"/>
    <n v="12158.77"/>
    <n v="5784.4"/>
  </r>
  <r>
    <x v="19"/>
    <n v="2"/>
    <x v="37"/>
    <n v="13359.41"/>
    <n v="6492.43"/>
  </r>
  <r>
    <x v="20"/>
    <n v="2"/>
    <x v="37"/>
    <n v="13586.08"/>
    <n v="6688.78"/>
  </r>
  <r>
    <x v="21"/>
    <n v="2"/>
    <x v="37"/>
    <n v="13178.07"/>
    <n v="6341.88"/>
  </r>
  <r>
    <x v="22"/>
    <n v="2"/>
    <x v="37"/>
    <n v="12605.56"/>
    <n v="5936.65"/>
  </r>
  <r>
    <x v="23"/>
    <n v="2"/>
    <x v="37"/>
    <n v="12636.73"/>
    <n v="5831.83"/>
  </r>
  <r>
    <x v="24"/>
    <n v="2"/>
    <x v="37"/>
    <n v="39191.919999999998"/>
    <n v="24527.4"/>
  </r>
  <r>
    <x v="25"/>
    <n v="2"/>
    <x v="37"/>
    <n v="23814.07"/>
    <n v="14309.89"/>
  </r>
  <r>
    <x v="26"/>
    <n v="2"/>
    <x v="37"/>
    <n v="22712.59"/>
    <n v="13909.39"/>
  </r>
  <r>
    <x v="27"/>
    <n v="2"/>
    <x v="37"/>
    <n v="23253.94"/>
    <n v="14638.84"/>
  </r>
  <r>
    <x v="28"/>
    <n v="2"/>
    <x v="37"/>
    <n v="22300.74"/>
    <n v="14503.2"/>
  </r>
  <r>
    <x v="29"/>
    <n v="2"/>
    <x v="37"/>
    <n v="25407.77"/>
    <n v="15502.36"/>
  </r>
  <r>
    <x v="30"/>
    <n v="2"/>
    <x v="37"/>
    <n v="23568.15"/>
    <n v="14602.95"/>
  </r>
  <r>
    <x v="31"/>
    <n v="2"/>
    <x v="37"/>
    <n v="24931.919999999998"/>
    <n v="15641.2"/>
  </r>
  <r>
    <x v="32"/>
    <n v="2"/>
    <x v="37"/>
    <n v="22390.77"/>
    <n v="14597.32"/>
  </r>
  <r>
    <x v="33"/>
    <n v="2"/>
    <x v="37"/>
    <n v="23432.87"/>
    <n v="14580.7"/>
  </r>
  <r>
    <x v="34"/>
    <n v="2"/>
    <x v="37"/>
    <n v="25987.599999999999"/>
    <n v="15778.21"/>
  </r>
  <r>
    <x v="35"/>
    <n v="2"/>
    <x v="37"/>
    <n v="21857.59"/>
    <n v="14068.59"/>
  </r>
  <r>
    <x v="36"/>
    <n v="2"/>
    <x v="37"/>
    <n v="49389.75"/>
    <n v="28326.240000000002"/>
  </r>
  <r>
    <x v="37"/>
    <n v="2"/>
    <x v="37"/>
    <n v="26627.81"/>
    <n v="15716.3"/>
  </r>
  <r>
    <x v="38"/>
    <n v="2"/>
    <x v="37"/>
    <n v="31165.73"/>
    <n v="18893.79"/>
  </r>
  <r>
    <x v="39"/>
    <n v="2"/>
    <x v="37"/>
    <n v="26361.65"/>
    <n v="16335.37"/>
  </r>
  <r>
    <x v="40"/>
    <n v="2"/>
    <x v="37"/>
    <n v="31270.98"/>
    <n v="19249.02"/>
  </r>
  <r>
    <x v="41"/>
    <n v="2"/>
    <x v="37"/>
    <n v="31600.86"/>
    <n v="18391.68"/>
  </r>
  <r>
    <x v="42"/>
    <n v="2"/>
    <x v="37"/>
    <n v="30889.09"/>
    <n v="18200.900000000001"/>
  </r>
  <r>
    <x v="43"/>
    <n v="2"/>
    <x v="37"/>
    <n v="30293.18"/>
    <n v="18752.689999999999"/>
  </r>
  <r>
    <x v="44"/>
    <n v="2"/>
    <x v="37"/>
    <n v="31009.91"/>
    <n v="19375.8"/>
  </r>
  <r>
    <x v="45"/>
    <n v="2"/>
    <x v="37"/>
    <n v="30777.040000000001"/>
    <n v="18936.73"/>
  </r>
  <r>
    <x v="46"/>
    <n v="2"/>
    <x v="37"/>
    <n v="26935.33"/>
    <n v="16564.59"/>
  </r>
  <r>
    <x v="47"/>
    <n v="2"/>
    <x v="37"/>
    <n v="26550.36"/>
    <n v="15801.45"/>
  </r>
  <r>
    <x v="48"/>
    <n v="2"/>
    <x v="37"/>
    <n v="53471.41"/>
    <n v="31441.91"/>
  </r>
  <r>
    <x v="49"/>
    <n v="2"/>
    <x v="37"/>
    <n v="30890.799999999999"/>
    <n v="17381.310000000001"/>
  </r>
  <r>
    <x v="50"/>
    <n v="2"/>
    <x v="37"/>
    <n v="29160.18"/>
    <n v="17098.759999999998"/>
  </r>
  <r>
    <x v="51"/>
    <n v="2"/>
    <x v="37"/>
    <n v="29165.57"/>
    <n v="17816.12"/>
  </r>
  <r>
    <x v="52"/>
    <n v="2"/>
    <x v="37"/>
    <n v="28893.67"/>
    <n v="18083.18"/>
  </r>
  <r>
    <x v="53"/>
    <n v="2"/>
    <x v="37"/>
    <n v="30970.51"/>
    <n v="19287.22"/>
  </r>
  <r>
    <x v="54"/>
    <n v="2"/>
    <x v="37"/>
    <n v="24877.3"/>
    <n v="15371.79"/>
  </r>
  <r>
    <x v="55"/>
    <n v="2"/>
    <x v="37"/>
    <n v="30273.21"/>
    <n v="19197.59"/>
  </r>
  <r>
    <x v="56"/>
    <n v="2"/>
    <x v="37"/>
    <n v="30805.63"/>
    <n v="18634.13"/>
  </r>
  <r>
    <x v="57"/>
    <n v="2"/>
    <x v="37"/>
    <n v="32118.84"/>
    <n v="19610.87"/>
  </r>
  <r>
    <x v="58"/>
    <n v="2"/>
    <x v="37"/>
    <n v="29652.5"/>
    <n v="20714.55"/>
  </r>
  <r>
    <x v="59"/>
    <n v="2"/>
    <x v="37"/>
    <n v="29104.63"/>
    <n v="17514.45"/>
  </r>
  <r>
    <x v="60"/>
    <n v="2"/>
    <x v="37"/>
    <n v="45243.05"/>
    <n v="26205.82"/>
  </r>
  <r>
    <x v="61"/>
    <n v="2"/>
    <x v="37"/>
    <n v="29853.75"/>
    <n v="16950.41"/>
  </r>
  <r>
    <x v="62"/>
    <n v="2"/>
    <x v="37"/>
    <n v="31261.4"/>
    <n v="18593.830000000002"/>
  </r>
  <r>
    <x v="63"/>
    <n v="2"/>
    <x v="37"/>
    <n v="28137.68"/>
    <n v="17044.14"/>
  </r>
  <r>
    <x v="64"/>
    <n v="2"/>
    <x v="37"/>
    <n v="32347.59"/>
    <n v="19714.96"/>
  </r>
  <r>
    <x v="65"/>
    <n v="2"/>
    <x v="37"/>
    <n v="33849.21"/>
    <n v="20128.240000000002"/>
  </r>
  <r>
    <x v="66"/>
    <n v="2"/>
    <x v="37"/>
    <n v="29627.63"/>
    <n v="17114.2"/>
  </r>
  <r>
    <x v="67"/>
    <n v="2"/>
    <x v="37"/>
    <n v="33286.660000000003"/>
    <n v="20047.12"/>
  </r>
  <r>
    <x v="68"/>
    <n v="2"/>
    <x v="37"/>
    <n v="27733.17"/>
    <n v="17480.95"/>
  </r>
  <r>
    <x v="69"/>
    <n v="2"/>
    <x v="37"/>
    <n v="31783.3"/>
    <n v="18836.36"/>
  </r>
  <r>
    <x v="70"/>
    <n v="2"/>
    <x v="37"/>
    <n v="34134.589999999997"/>
    <n v="19408.830000000002"/>
  </r>
  <r>
    <x v="71"/>
    <n v="2"/>
    <x v="37"/>
    <n v="31926.7"/>
    <n v="19137.86"/>
  </r>
  <r>
    <x v="72"/>
    <n v="2"/>
    <x v="37"/>
    <n v="1008.31"/>
    <n v="258.64999999999998"/>
  </r>
  <r>
    <x v="73"/>
    <n v="2"/>
    <x v="37"/>
    <n v="839.48"/>
    <n v="220.24"/>
  </r>
  <r>
    <x v="74"/>
    <n v="2"/>
    <x v="37"/>
    <n v="877.42"/>
    <n v="222.26"/>
  </r>
  <r>
    <x v="75"/>
    <n v="2"/>
    <x v="37"/>
    <n v="807.57"/>
    <n v="196.48"/>
  </r>
  <r>
    <x v="76"/>
    <n v="2"/>
    <x v="37"/>
    <n v="820.17"/>
    <n v="191.14"/>
  </r>
  <r>
    <x v="77"/>
    <n v="2"/>
    <x v="37"/>
    <n v="771.05"/>
    <n v="175.66"/>
  </r>
  <r>
    <x v="78"/>
    <n v="2"/>
    <x v="37"/>
    <n v="795.62"/>
    <n v="200.01"/>
  </r>
  <r>
    <x v="79"/>
    <n v="2"/>
    <x v="37"/>
    <n v="919"/>
    <n v="409.33"/>
  </r>
  <r>
    <x v="80"/>
    <n v="2"/>
    <x v="37"/>
    <n v="882"/>
    <n v="245.77"/>
  </r>
  <r>
    <x v="81"/>
    <n v="2"/>
    <x v="37"/>
    <n v="813.58"/>
    <n v="170.51"/>
  </r>
  <r>
    <x v="82"/>
    <n v="2"/>
    <x v="37"/>
    <n v="1002.89"/>
    <n v="254.79"/>
  </r>
  <r>
    <x v="83"/>
    <n v="2"/>
    <x v="37"/>
    <n v="849.63"/>
    <n v="168.17"/>
  </r>
  <r>
    <x v="84"/>
    <n v="2"/>
    <x v="37"/>
    <n v="1211.26"/>
    <n v="316.35000000000002"/>
  </r>
  <r>
    <x v="85"/>
    <n v="2"/>
    <x v="37"/>
    <n v="1044.9100000000001"/>
    <n v="248.29"/>
  </r>
  <r>
    <x v="86"/>
    <n v="2"/>
    <x v="37"/>
    <n v="1137.98"/>
    <n v="333.65"/>
  </r>
  <r>
    <x v="87"/>
    <n v="2"/>
    <x v="37"/>
    <n v="965.33"/>
    <n v="271.23"/>
  </r>
  <r>
    <x v="88"/>
    <n v="2"/>
    <x v="37"/>
    <n v="942.96"/>
    <n v="228.85"/>
  </r>
  <r>
    <x v="89"/>
    <n v="2"/>
    <x v="37"/>
    <n v="1046.01"/>
    <n v="279.69"/>
  </r>
  <r>
    <x v="90"/>
    <n v="2"/>
    <x v="37"/>
    <n v="834.25"/>
    <n v="160.72"/>
  </r>
  <r>
    <x v="91"/>
    <n v="2"/>
    <x v="37"/>
    <n v="779.25"/>
    <n v="165.69"/>
  </r>
  <r>
    <x v="92"/>
    <n v="2"/>
    <x v="37"/>
    <n v="846.19"/>
    <n v="202.93"/>
  </r>
  <r>
    <x v="93"/>
    <n v="2"/>
    <x v="37"/>
    <n v="985.87"/>
    <n v="265.45"/>
  </r>
  <r>
    <x v="94"/>
    <n v="2"/>
    <x v="37"/>
    <n v="882.66"/>
    <n v="170.8"/>
  </r>
  <r>
    <x v="95"/>
    <n v="2"/>
    <x v="37"/>
    <n v="952.4"/>
    <n v="212.17"/>
  </r>
  <r>
    <x v="0"/>
    <n v="2"/>
    <x v="38"/>
    <n v="30112.34"/>
    <n v="20822.490000000002"/>
  </r>
  <r>
    <x v="1"/>
    <n v="2"/>
    <x v="38"/>
    <n v="20611.330000000002"/>
    <n v="13536.98"/>
  </r>
  <r>
    <x v="2"/>
    <n v="2"/>
    <x v="38"/>
    <n v="20180.91"/>
    <n v="13370.99"/>
  </r>
  <r>
    <x v="3"/>
    <n v="2"/>
    <x v="38"/>
    <n v="19730.650000000001"/>
    <n v="13699.42"/>
  </r>
  <r>
    <x v="4"/>
    <n v="2"/>
    <x v="38"/>
    <n v="19568.490000000002"/>
    <n v="13606.8"/>
  </r>
  <r>
    <x v="5"/>
    <n v="2"/>
    <x v="38"/>
    <n v="20494.28"/>
    <n v="13900.06"/>
  </r>
  <r>
    <x v="6"/>
    <n v="2"/>
    <x v="38"/>
    <n v="18390.189999999999"/>
    <n v="12315.85"/>
  </r>
  <r>
    <x v="7"/>
    <n v="2"/>
    <x v="38"/>
    <n v="20598.990000000002"/>
    <n v="14611.46"/>
  </r>
  <r>
    <x v="8"/>
    <n v="2"/>
    <x v="38"/>
    <n v="19655.88"/>
    <n v="13847.58"/>
  </r>
  <r>
    <x v="9"/>
    <n v="2"/>
    <x v="38"/>
    <n v="18978.8"/>
    <n v="13469.5"/>
  </r>
  <r>
    <x v="10"/>
    <n v="2"/>
    <x v="38"/>
    <n v="19270.11"/>
    <n v="13090.04"/>
  </r>
  <r>
    <x v="11"/>
    <n v="2"/>
    <x v="38"/>
    <n v="17881.259999999998"/>
    <n v="18194.2"/>
  </r>
  <r>
    <x v="12"/>
    <n v="2"/>
    <x v="38"/>
    <n v="20111.34"/>
    <n v="9624.98"/>
  </r>
  <r>
    <x v="13"/>
    <n v="2"/>
    <x v="38"/>
    <n v="11878.79"/>
    <n v="5991.65"/>
  </r>
  <r>
    <x v="14"/>
    <n v="2"/>
    <x v="38"/>
    <n v="12762.24"/>
    <n v="6339.72"/>
  </r>
  <r>
    <x v="15"/>
    <n v="2"/>
    <x v="38"/>
    <n v="12962.47"/>
    <n v="6473.44"/>
  </r>
  <r>
    <x v="16"/>
    <n v="2"/>
    <x v="38"/>
    <n v="12570.24"/>
    <n v="6485.39"/>
  </r>
  <r>
    <x v="17"/>
    <n v="2"/>
    <x v="38"/>
    <n v="13016.49"/>
    <n v="6189.53"/>
  </r>
  <r>
    <x v="18"/>
    <n v="2"/>
    <x v="38"/>
    <n v="12175.53"/>
    <n v="5789.69"/>
  </r>
  <r>
    <x v="19"/>
    <n v="2"/>
    <x v="38"/>
    <n v="13381.92"/>
    <n v="6498.26"/>
  </r>
  <r>
    <x v="20"/>
    <n v="2"/>
    <x v="38"/>
    <n v="13599.98"/>
    <n v="6692.72"/>
  </r>
  <r>
    <x v="21"/>
    <n v="2"/>
    <x v="38"/>
    <n v="13196.3"/>
    <n v="6345.41"/>
  </r>
  <r>
    <x v="22"/>
    <n v="2"/>
    <x v="38"/>
    <n v="12617.31"/>
    <n v="5937.11"/>
  </r>
  <r>
    <x v="23"/>
    <n v="2"/>
    <x v="38"/>
    <n v="12649.57"/>
    <n v="5834.26"/>
  </r>
  <r>
    <x v="24"/>
    <n v="2"/>
    <x v="38"/>
    <n v="39635.879999999997"/>
    <n v="24708.09"/>
  </r>
  <r>
    <x v="25"/>
    <n v="2"/>
    <x v="38"/>
    <n v="24076.25"/>
    <n v="14414.01"/>
  </r>
  <r>
    <x v="26"/>
    <n v="2"/>
    <x v="38"/>
    <n v="22980.02"/>
    <n v="14059.57"/>
  </r>
  <r>
    <x v="27"/>
    <n v="2"/>
    <x v="38"/>
    <n v="23541.85"/>
    <n v="14785.68"/>
  </r>
  <r>
    <x v="28"/>
    <n v="2"/>
    <x v="38"/>
    <n v="22560.03"/>
    <n v="14599.67"/>
  </r>
  <r>
    <x v="29"/>
    <n v="2"/>
    <x v="38"/>
    <n v="25606.98"/>
    <n v="15615.55"/>
  </r>
  <r>
    <x v="30"/>
    <n v="2"/>
    <x v="38"/>
    <n v="23837.87"/>
    <n v="14738.45"/>
  </r>
  <r>
    <x v="31"/>
    <n v="2"/>
    <x v="38"/>
    <n v="25145.22"/>
    <n v="15791.51"/>
  </r>
  <r>
    <x v="32"/>
    <n v="2"/>
    <x v="38"/>
    <n v="22610.99"/>
    <n v="14690.67"/>
  </r>
  <r>
    <x v="33"/>
    <n v="2"/>
    <x v="38"/>
    <n v="23636.74"/>
    <n v="14684.24"/>
  </r>
  <r>
    <x v="34"/>
    <n v="2"/>
    <x v="38"/>
    <n v="26216.67"/>
    <n v="15926.61"/>
  </r>
  <r>
    <x v="35"/>
    <n v="2"/>
    <x v="38"/>
    <n v="22104.78"/>
    <n v="14215.47"/>
  </r>
  <r>
    <x v="36"/>
    <n v="2"/>
    <x v="38"/>
    <n v="50406.59"/>
    <n v="28871.72"/>
  </r>
  <r>
    <x v="37"/>
    <n v="2"/>
    <x v="38"/>
    <n v="27132.63"/>
    <n v="15922.16"/>
  </r>
  <r>
    <x v="38"/>
    <n v="2"/>
    <x v="38"/>
    <n v="31794.36"/>
    <n v="19221.14"/>
  </r>
  <r>
    <x v="39"/>
    <n v="2"/>
    <x v="38"/>
    <n v="26926.22"/>
    <n v="16622.72"/>
  </r>
  <r>
    <x v="40"/>
    <n v="2"/>
    <x v="38"/>
    <n v="31742.11"/>
    <n v="19570.009999999998"/>
  </r>
  <r>
    <x v="41"/>
    <n v="2"/>
    <x v="38"/>
    <n v="32258.89"/>
    <n v="18628.05"/>
  </r>
  <r>
    <x v="42"/>
    <n v="2"/>
    <x v="38"/>
    <n v="31499.08"/>
    <n v="18511.21"/>
  </r>
  <r>
    <x v="43"/>
    <n v="2"/>
    <x v="38"/>
    <n v="30727.41"/>
    <n v="18984.73"/>
  </r>
  <r>
    <x v="44"/>
    <n v="2"/>
    <x v="38"/>
    <n v="31596.01"/>
    <n v="19687.28"/>
  </r>
  <r>
    <x v="45"/>
    <n v="2"/>
    <x v="38"/>
    <n v="31444.66"/>
    <n v="19184.16"/>
  </r>
  <r>
    <x v="46"/>
    <n v="2"/>
    <x v="38"/>
    <n v="27516.01"/>
    <n v="16836.689999999999"/>
  </r>
  <r>
    <x v="47"/>
    <n v="2"/>
    <x v="38"/>
    <n v="26935.86"/>
    <n v="16008.94"/>
  </r>
  <r>
    <x v="48"/>
    <n v="2"/>
    <x v="38"/>
    <n v="54324.67"/>
    <n v="31869.69"/>
  </r>
  <r>
    <x v="49"/>
    <n v="2"/>
    <x v="38"/>
    <n v="31340.43"/>
    <n v="17608.29"/>
  </r>
  <r>
    <x v="50"/>
    <n v="2"/>
    <x v="38"/>
    <n v="29748.12"/>
    <n v="17391.29"/>
  </r>
  <r>
    <x v="51"/>
    <n v="2"/>
    <x v="38"/>
    <n v="29596.7"/>
    <n v="18049.169999999998"/>
  </r>
  <r>
    <x v="52"/>
    <n v="2"/>
    <x v="38"/>
    <n v="29318.65"/>
    <n v="18319.64"/>
  </r>
  <r>
    <x v="53"/>
    <n v="2"/>
    <x v="38"/>
    <n v="31602.77"/>
    <n v="19637.93"/>
  </r>
  <r>
    <x v="54"/>
    <n v="2"/>
    <x v="38"/>
    <n v="25370.6"/>
    <n v="15646.86"/>
  </r>
  <r>
    <x v="55"/>
    <n v="2"/>
    <x v="38"/>
    <n v="30881.64"/>
    <n v="19445.54"/>
  </r>
  <r>
    <x v="56"/>
    <n v="2"/>
    <x v="38"/>
    <n v="31400.080000000002"/>
    <n v="18880.439999999999"/>
  </r>
  <r>
    <x v="57"/>
    <n v="2"/>
    <x v="38"/>
    <n v="32762.93"/>
    <n v="19861.3"/>
  </r>
  <r>
    <x v="58"/>
    <n v="2"/>
    <x v="38"/>
    <n v="30191.42"/>
    <n v="20964.599999999999"/>
  </r>
  <r>
    <x v="59"/>
    <n v="2"/>
    <x v="38"/>
    <n v="29519.46"/>
    <n v="17743.990000000002"/>
  </r>
  <r>
    <x v="60"/>
    <n v="2"/>
    <x v="38"/>
    <n v="46117.82"/>
    <n v="26677.439999999999"/>
  </r>
  <r>
    <x v="61"/>
    <n v="2"/>
    <x v="38"/>
    <n v="30485.15"/>
    <n v="17179.419999999998"/>
  </r>
  <r>
    <x v="62"/>
    <n v="2"/>
    <x v="38"/>
    <n v="31907.08"/>
    <n v="18929.18"/>
  </r>
  <r>
    <x v="63"/>
    <n v="2"/>
    <x v="38"/>
    <n v="28710.65"/>
    <n v="17351.13"/>
  </r>
  <r>
    <x v="64"/>
    <n v="2"/>
    <x v="38"/>
    <n v="32978.269999999997"/>
    <n v="19978.28"/>
  </r>
  <r>
    <x v="65"/>
    <n v="2"/>
    <x v="38"/>
    <n v="34507.300000000003"/>
    <n v="20376.169999999998"/>
  </r>
  <r>
    <x v="66"/>
    <n v="2"/>
    <x v="38"/>
    <n v="30243.99"/>
    <n v="17341.12"/>
  </r>
  <r>
    <x v="67"/>
    <n v="2"/>
    <x v="38"/>
    <n v="33792.5"/>
    <n v="20312.54"/>
  </r>
  <r>
    <x v="68"/>
    <n v="2"/>
    <x v="38"/>
    <n v="28304.61"/>
    <n v="17793.87"/>
  </r>
  <r>
    <x v="69"/>
    <n v="2"/>
    <x v="38"/>
    <n v="32451.34"/>
    <n v="19087.650000000001"/>
  </r>
  <r>
    <x v="70"/>
    <n v="2"/>
    <x v="38"/>
    <n v="34648.75"/>
    <n v="19663.080000000002"/>
  </r>
  <r>
    <x v="71"/>
    <n v="2"/>
    <x v="38"/>
    <n v="32403.06"/>
    <n v="19385.86"/>
  </r>
  <r>
    <x v="72"/>
    <n v="2"/>
    <x v="38"/>
    <n v="1011.75"/>
    <n v="259"/>
  </r>
  <r>
    <x v="73"/>
    <n v="2"/>
    <x v="38"/>
    <n v="842.72"/>
    <n v="221.56"/>
  </r>
  <r>
    <x v="74"/>
    <n v="2"/>
    <x v="38"/>
    <n v="881.18"/>
    <n v="224.33"/>
  </r>
  <r>
    <x v="75"/>
    <n v="2"/>
    <x v="38"/>
    <n v="814.46"/>
    <n v="197.28"/>
  </r>
  <r>
    <x v="76"/>
    <n v="2"/>
    <x v="38"/>
    <n v="825.94"/>
    <n v="192.05"/>
  </r>
  <r>
    <x v="77"/>
    <n v="2"/>
    <x v="38"/>
    <n v="776.38"/>
    <n v="176.43"/>
  </r>
  <r>
    <x v="78"/>
    <n v="2"/>
    <x v="38"/>
    <n v="799.55"/>
    <n v="200.82"/>
  </r>
  <r>
    <x v="79"/>
    <n v="2"/>
    <x v="38"/>
    <n v="924.3"/>
    <n v="412.39"/>
  </r>
  <r>
    <x v="80"/>
    <n v="2"/>
    <x v="38"/>
    <n v="887.55"/>
    <n v="246.13"/>
  </r>
  <r>
    <x v="81"/>
    <n v="2"/>
    <x v="38"/>
    <n v="820.53"/>
    <n v="171.48"/>
  </r>
  <r>
    <x v="82"/>
    <n v="2"/>
    <x v="38"/>
    <n v="1019.91"/>
    <n v="260.01"/>
  </r>
  <r>
    <x v="83"/>
    <n v="2"/>
    <x v="38"/>
    <n v="854.18"/>
    <n v="168.66"/>
  </r>
  <r>
    <x v="84"/>
    <n v="2"/>
    <x v="38"/>
    <n v="1217.1500000000001"/>
    <n v="318.92"/>
  </r>
  <r>
    <x v="85"/>
    <n v="2"/>
    <x v="38"/>
    <n v="1030.53"/>
    <n v="236.83"/>
  </r>
  <r>
    <x v="86"/>
    <n v="2"/>
    <x v="38"/>
    <n v="1140.1099999999999"/>
    <n v="334.48"/>
  </r>
  <r>
    <x v="87"/>
    <n v="2"/>
    <x v="38"/>
    <n v="968.27"/>
    <n v="273.58"/>
  </r>
  <r>
    <x v="88"/>
    <n v="2"/>
    <x v="38"/>
    <n v="949.4"/>
    <n v="229.7"/>
  </r>
  <r>
    <x v="89"/>
    <n v="2"/>
    <x v="38"/>
    <n v="1049.45"/>
    <n v="281.02"/>
  </r>
  <r>
    <x v="90"/>
    <n v="2"/>
    <x v="38"/>
    <n v="841.04"/>
    <n v="161.65"/>
  </r>
  <r>
    <x v="91"/>
    <n v="2"/>
    <x v="38"/>
    <n v="783.35"/>
    <n v="166.86"/>
  </r>
  <r>
    <x v="92"/>
    <n v="2"/>
    <x v="38"/>
    <n v="850.61"/>
    <n v="203.92"/>
  </r>
  <r>
    <x v="93"/>
    <n v="2"/>
    <x v="38"/>
    <n v="990.33"/>
    <n v="266.02"/>
  </r>
  <r>
    <x v="94"/>
    <n v="2"/>
    <x v="38"/>
    <n v="886.32"/>
    <n v="171.31"/>
  </r>
  <r>
    <x v="95"/>
    <n v="2"/>
    <x v="38"/>
    <n v="957.69"/>
    <n v="212.5"/>
  </r>
  <r>
    <x v="0"/>
    <n v="2"/>
    <x v="39"/>
    <n v="30360.89"/>
    <n v="21033.919999999998"/>
  </r>
  <r>
    <x v="1"/>
    <n v="2"/>
    <x v="39"/>
    <n v="20765.48"/>
    <n v="13640.28"/>
  </r>
  <r>
    <x v="2"/>
    <n v="2"/>
    <x v="39"/>
    <n v="20293.02"/>
    <n v="13482.67"/>
  </r>
  <r>
    <x v="3"/>
    <n v="2"/>
    <x v="39"/>
    <n v="19834.169999999998"/>
    <n v="13777.31"/>
  </r>
  <r>
    <x v="4"/>
    <n v="2"/>
    <x v="39"/>
    <n v="19707.22"/>
    <n v="13705.43"/>
  </r>
  <r>
    <x v="5"/>
    <n v="2"/>
    <x v="39"/>
    <n v="20604.05"/>
    <n v="14007.13"/>
  </r>
  <r>
    <x v="6"/>
    <n v="2"/>
    <x v="39"/>
    <n v="18530.54"/>
    <n v="12409.86"/>
  </r>
  <r>
    <x v="7"/>
    <n v="2"/>
    <x v="39"/>
    <n v="20714.82"/>
    <n v="14729.82"/>
  </r>
  <r>
    <x v="8"/>
    <n v="2"/>
    <x v="39"/>
    <n v="19771.72"/>
    <n v="13953.5"/>
  </r>
  <r>
    <x v="9"/>
    <n v="2"/>
    <x v="39"/>
    <n v="19106.080000000002"/>
    <n v="13570.54"/>
  </r>
  <r>
    <x v="10"/>
    <n v="2"/>
    <x v="39"/>
    <n v="19369.28"/>
    <n v="13203.9"/>
  </r>
  <r>
    <x v="11"/>
    <n v="2"/>
    <x v="39"/>
    <n v="17969.62"/>
    <n v="18863.14"/>
  </r>
  <r>
    <x v="12"/>
    <n v="2"/>
    <x v="39"/>
    <n v="20132.12"/>
    <n v="9636.25"/>
  </r>
  <r>
    <x v="13"/>
    <n v="2"/>
    <x v="39"/>
    <n v="11889.82"/>
    <n v="6003.36"/>
  </r>
  <r>
    <x v="14"/>
    <n v="2"/>
    <x v="39"/>
    <n v="12781.32"/>
    <n v="6352.31"/>
  </r>
  <r>
    <x v="15"/>
    <n v="2"/>
    <x v="39"/>
    <n v="12981.97"/>
    <n v="6483.81"/>
  </r>
  <r>
    <x v="16"/>
    <n v="2"/>
    <x v="39"/>
    <n v="12584.05"/>
    <n v="6492.27"/>
  </r>
  <r>
    <x v="17"/>
    <n v="2"/>
    <x v="39"/>
    <n v="13030.2"/>
    <n v="6194.77"/>
  </r>
  <r>
    <x v="18"/>
    <n v="2"/>
    <x v="39"/>
    <n v="12187.66"/>
    <n v="5793.89"/>
  </r>
  <r>
    <x v="19"/>
    <n v="2"/>
    <x v="39"/>
    <n v="13400.9"/>
    <n v="6502.35"/>
  </r>
  <r>
    <x v="20"/>
    <n v="2"/>
    <x v="39"/>
    <n v="13613.61"/>
    <n v="6695.13"/>
  </r>
  <r>
    <x v="21"/>
    <n v="2"/>
    <x v="39"/>
    <n v="13203.53"/>
    <n v="6349.03"/>
  </r>
  <r>
    <x v="22"/>
    <n v="2"/>
    <x v="39"/>
    <n v="12629"/>
    <n v="5938.67"/>
  </r>
  <r>
    <x v="23"/>
    <n v="2"/>
    <x v="39"/>
    <n v="12660.39"/>
    <n v="5836.85"/>
  </r>
  <r>
    <x v="24"/>
    <n v="2"/>
    <x v="39"/>
    <n v="39986.81"/>
    <n v="24906.35"/>
  </r>
  <r>
    <x v="25"/>
    <n v="2"/>
    <x v="39"/>
    <n v="24279.01"/>
    <n v="14526.98"/>
  </r>
  <r>
    <x v="26"/>
    <n v="2"/>
    <x v="39"/>
    <n v="23131.98"/>
    <n v="14180.38"/>
  </r>
  <r>
    <x v="27"/>
    <n v="2"/>
    <x v="39"/>
    <n v="23770.97"/>
    <n v="14909.33"/>
  </r>
  <r>
    <x v="28"/>
    <n v="2"/>
    <x v="39"/>
    <n v="22771.599999999999"/>
    <n v="14705.07"/>
  </r>
  <r>
    <x v="29"/>
    <n v="2"/>
    <x v="39"/>
    <n v="25830.12"/>
    <n v="15731.81"/>
  </r>
  <r>
    <x v="30"/>
    <n v="2"/>
    <x v="39"/>
    <n v="24001.17"/>
    <n v="14817.41"/>
  </r>
  <r>
    <x v="31"/>
    <n v="2"/>
    <x v="39"/>
    <n v="25378.39"/>
    <n v="15877.51"/>
  </r>
  <r>
    <x v="32"/>
    <n v="2"/>
    <x v="39"/>
    <n v="22791.47"/>
    <n v="14788.76"/>
  </r>
  <r>
    <x v="33"/>
    <n v="2"/>
    <x v="39"/>
    <n v="23855.22"/>
    <n v="14792.56"/>
  </r>
  <r>
    <x v="34"/>
    <n v="2"/>
    <x v="39"/>
    <n v="26466.23"/>
    <n v="16013.75"/>
  </r>
  <r>
    <x v="35"/>
    <n v="2"/>
    <x v="39"/>
    <n v="22306.959999999999"/>
    <n v="14334.63"/>
  </r>
  <r>
    <x v="36"/>
    <n v="2"/>
    <x v="39"/>
    <n v="50997.46"/>
    <n v="29310.52"/>
  </r>
  <r>
    <x v="37"/>
    <n v="2"/>
    <x v="39"/>
    <n v="27423.81"/>
    <n v="16133.08"/>
  </r>
  <r>
    <x v="38"/>
    <n v="2"/>
    <x v="39"/>
    <n v="32152.89"/>
    <n v="19405.79"/>
  </r>
  <r>
    <x v="39"/>
    <n v="2"/>
    <x v="39"/>
    <n v="27257.21"/>
    <n v="16792.96"/>
  </r>
  <r>
    <x v="40"/>
    <n v="2"/>
    <x v="39"/>
    <n v="32244.31"/>
    <n v="19753.47"/>
  </r>
  <r>
    <x v="41"/>
    <n v="2"/>
    <x v="39"/>
    <n v="32643.1"/>
    <n v="18874.599999999999"/>
  </r>
  <r>
    <x v="42"/>
    <n v="2"/>
    <x v="39"/>
    <n v="31975.57"/>
    <n v="18685.28"/>
  </r>
  <r>
    <x v="43"/>
    <n v="2"/>
    <x v="39"/>
    <n v="31199.24"/>
    <n v="19157.21"/>
  </r>
  <r>
    <x v="44"/>
    <n v="2"/>
    <x v="39"/>
    <n v="31939.14"/>
    <n v="19867.43"/>
  </r>
  <r>
    <x v="45"/>
    <n v="2"/>
    <x v="39"/>
    <n v="31833.51"/>
    <n v="19366.89"/>
  </r>
  <r>
    <x v="46"/>
    <n v="2"/>
    <x v="39"/>
    <n v="27854.01"/>
    <n v="16993.330000000002"/>
  </r>
  <r>
    <x v="47"/>
    <n v="2"/>
    <x v="39"/>
    <n v="27354.880000000001"/>
    <n v="16231.38"/>
  </r>
  <r>
    <x v="48"/>
    <n v="2"/>
    <x v="39"/>
    <n v="55239.71"/>
    <n v="32330.38"/>
  </r>
  <r>
    <x v="49"/>
    <n v="2"/>
    <x v="39"/>
    <n v="31828.07"/>
    <n v="17853.11"/>
  </r>
  <r>
    <x v="50"/>
    <n v="2"/>
    <x v="39"/>
    <n v="30215.48"/>
    <n v="17632.8"/>
  </r>
  <r>
    <x v="51"/>
    <n v="2"/>
    <x v="39"/>
    <n v="30062.89"/>
    <n v="18297.77"/>
  </r>
  <r>
    <x v="52"/>
    <n v="2"/>
    <x v="39"/>
    <n v="29780.11"/>
    <n v="18572.8"/>
  </r>
  <r>
    <x v="53"/>
    <n v="2"/>
    <x v="39"/>
    <n v="31969.919999999998"/>
    <n v="19840.099999999999"/>
  </r>
  <r>
    <x v="54"/>
    <n v="2"/>
    <x v="39"/>
    <n v="25663.09"/>
    <n v="15803.28"/>
  </r>
  <r>
    <x v="55"/>
    <n v="2"/>
    <x v="39"/>
    <n v="31239.14"/>
    <n v="19713.259999999998"/>
  </r>
  <r>
    <x v="56"/>
    <n v="2"/>
    <x v="39"/>
    <n v="31883.58"/>
    <n v="19139.45"/>
  </r>
  <r>
    <x v="57"/>
    <n v="2"/>
    <x v="39"/>
    <n v="33126.57"/>
    <n v="20129.55"/>
  </r>
  <r>
    <x v="58"/>
    <n v="2"/>
    <x v="39"/>
    <n v="30506.2"/>
    <n v="21153.74"/>
  </r>
  <r>
    <x v="59"/>
    <n v="2"/>
    <x v="39"/>
    <n v="29967.86"/>
    <n v="17992.89"/>
  </r>
  <r>
    <x v="60"/>
    <n v="2"/>
    <x v="39"/>
    <n v="46815.38"/>
    <n v="27051.51"/>
  </r>
  <r>
    <x v="61"/>
    <n v="2"/>
    <x v="39"/>
    <n v="30842.52"/>
    <n v="17422.39"/>
  </r>
  <r>
    <x v="62"/>
    <n v="2"/>
    <x v="39"/>
    <n v="32419.77"/>
    <n v="19119.07"/>
  </r>
  <r>
    <x v="63"/>
    <n v="2"/>
    <x v="39"/>
    <n v="29153.51"/>
    <n v="17523.419999999998"/>
  </r>
  <r>
    <x v="64"/>
    <n v="2"/>
    <x v="39"/>
    <n v="33488.720000000001"/>
    <n v="20258.830000000002"/>
  </r>
  <r>
    <x v="65"/>
    <n v="2"/>
    <x v="39"/>
    <n v="35034.44"/>
    <n v="20656.98"/>
  </r>
  <r>
    <x v="66"/>
    <n v="2"/>
    <x v="39"/>
    <n v="30598.51"/>
    <n v="17591.3"/>
  </r>
  <r>
    <x v="67"/>
    <n v="2"/>
    <x v="39"/>
    <n v="34352.230000000003"/>
    <n v="20592.349999999999"/>
  </r>
  <r>
    <x v="68"/>
    <n v="2"/>
    <x v="39"/>
    <n v="28644.91"/>
    <n v="17975.05"/>
  </r>
  <r>
    <x v="69"/>
    <n v="2"/>
    <x v="39"/>
    <n v="32837.39"/>
    <n v="19346.259999999998"/>
  </r>
  <r>
    <x v="70"/>
    <n v="2"/>
    <x v="39"/>
    <n v="35199.019999999997"/>
    <n v="19935.740000000002"/>
  </r>
  <r>
    <x v="71"/>
    <n v="2"/>
    <x v="39"/>
    <n v="32747.38"/>
    <n v="19570.23"/>
  </r>
  <r>
    <x v="72"/>
    <n v="2"/>
    <x v="39"/>
    <n v="1017.49"/>
    <n v="260.64999999999998"/>
  </r>
  <r>
    <x v="73"/>
    <n v="2"/>
    <x v="39"/>
    <n v="847.94"/>
    <n v="223.08"/>
  </r>
  <r>
    <x v="74"/>
    <n v="2"/>
    <x v="39"/>
    <n v="886.01"/>
    <n v="225.71"/>
  </r>
  <r>
    <x v="75"/>
    <n v="2"/>
    <x v="39"/>
    <n v="818.24"/>
    <n v="197.99"/>
  </r>
  <r>
    <x v="76"/>
    <n v="2"/>
    <x v="39"/>
    <n v="832.64"/>
    <n v="192.98"/>
  </r>
  <r>
    <x v="77"/>
    <n v="2"/>
    <x v="39"/>
    <n v="781.61"/>
    <n v="177.86"/>
  </r>
  <r>
    <x v="78"/>
    <n v="2"/>
    <x v="39"/>
    <n v="803.79"/>
    <n v="202.19"/>
  </r>
  <r>
    <x v="79"/>
    <n v="2"/>
    <x v="39"/>
    <n v="929.84"/>
    <n v="414.49"/>
  </r>
  <r>
    <x v="80"/>
    <n v="2"/>
    <x v="39"/>
    <n v="894.57"/>
    <n v="247.68"/>
  </r>
  <r>
    <x v="81"/>
    <n v="2"/>
    <x v="39"/>
    <n v="824.95"/>
    <n v="172.57"/>
  </r>
  <r>
    <x v="82"/>
    <n v="2"/>
    <x v="39"/>
    <n v="1034.99"/>
    <n v="265.37"/>
  </r>
  <r>
    <x v="83"/>
    <n v="2"/>
    <x v="39"/>
    <n v="857.66"/>
    <n v="169.35"/>
  </r>
  <r>
    <x v="84"/>
    <n v="2"/>
    <x v="39"/>
    <n v="1222.8699999999999"/>
    <n v="320.73"/>
  </r>
  <r>
    <x v="85"/>
    <n v="2"/>
    <x v="39"/>
    <n v="1020.94"/>
    <n v="230.67"/>
  </r>
  <r>
    <x v="86"/>
    <n v="2"/>
    <x v="39"/>
    <n v="1143.6400000000001"/>
    <n v="334.95"/>
  </r>
  <r>
    <x v="87"/>
    <n v="2"/>
    <x v="39"/>
    <n v="960.35"/>
    <n v="268.33"/>
  </r>
  <r>
    <x v="88"/>
    <n v="2"/>
    <x v="39"/>
    <n v="953.22"/>
    <n v="231.69"/>
  </r>
  <r>
    <x v="89"/>
    <n v="2"/>
    <x v="39"/>
    <n v="1053.6500000000001"/>
    <n v="282.89999999999998"/>
  </r>
  <r>
    <x v="90"/>
    <n v="2"/>
    <x v="39"/>
    <n v="846.04"/>
    <n v="163.22999999999999"/>
  </r>
  <r>
    <x v="91"/>
    <n v="2"/>
    <x v="39"/>
    <n v="788.8"/>
    <n v="168.18"/>
  </r>
  <r>
    <x v="92"/>
    <n v="2"/>
    <x v="39"/>
    <n v="854.78"/>
    <n v="204.83"/>
  </r>
  <r>
    <x v="93"/>
    <n v="2"/>
    <x v="39"/>
    <n v="994.5"/>
    <n v="267.14999999999998"/>
  </r>
  <r>
    <x v="94"/>
    <n v="2"/>
    <x v="39"/>
    <n v="890.31"/>
    <n v="171.8"/>
  </r>
  <r>
    <x v="95"/>
    <n v="2"/>
    <x v="39"/>
    <n v="961.99"/>
    <n v="212.88"/>
  </r>
  <r>
    <x v="0"/>
    <n v="2"/>
    <x v="40"/>
    <n v="30504.02"/>
    <n v="21216.97"/>
  </r>
  <r>
    <x v="1"/>
    <n v="2"/>
    <x v="40"/>
    <n v="20856.16"/>
    <n v="13724.46"/>
  </r>
  <r>
    <x v="2"/>
    <n v="2"/>
    <x v="40"/>
    <n v="20415.86"/>
    <n v="13574.91"/>
  </r>
  <r>
    <x v="3"/>
    <n v="2"/>
    <x v="40"/>
    <n v="19940.599999999999"/>
    <n v="13862.31"/>
  </r>
  <r>
    <x v="4"/>
    <n v="2"/>
    <x v="40"/>
    <n v="19821.439999999999"/>
    <n v="13783.99"/>
  </r>
  <r>
    <x v="5"/>
    <n v="2"/>
    <x v="40"/>
    <n v="20726.98"/>
    <n v="14094.73"/>
  </r>
  <r>
    <x v="6"/>
    <n v="2"/>
    <x v="40"/>
    <n v="18644.11"/>
    <n v="12488.02"/>
  </r>
  <r>
    <x v="7"/>
    <n v="2"/>
    <x v="40"/>
    <n v="20833.14"/>
    <n v="14826.63"/>
  </r>
  <r>
    <x v="8"/>
    <n v="2"/>
    <x v="40"/>
    <n v="19881.43"/>
    <n v="14035.75"/>
  </r>
  <r>
    <x v="9"/>
    <n v="2"/>
    <x v="40"/>
    <n v="19181.95"/>
    <n v="13652.35"/>
  </r>
  <r>
    <x v="10"/>
    <n v="2"/>
    <x v="40"/>
    <n v="19481.990000000002"/>
    <n v="13298.62"/>
  </r>
  <r>
    <x v="11"/>
    <n v="2"/>
    <x v="40"/>
    <n v="18012.060000000001"/>
    <n v="19602.96"/>
  </r>
  <r>
    <x v="12"/>
    <n v="2"/>
    <x v="40"/>
    <n v="20150.97"/>
    <n v="9648.26"/>
  </r>
  <r>
    <x v="13"/>
    <n v="2"/>
    <x v="40"/>
    <n v="11898.36"/>
    <n v="6013.99"/>
  </r>
  <r>
    <x v="14"/>
    <n v="2"/>
    <x v="40"/>
    <n v="12794.23"/>
    <n v="6365.63"/>
  </r>
  <r>
    <x v="15"/>
    <n v="2"/>
    <x v="40"/>
    <n v="12994.22"/>
    <n v="6494.81"/>
  </r>
  <r>
    <x v="16"/>
    <n v="2"/>
    <x v="40"/>
    <n v="12598.48"/>
    <n v="6499.88"/>
  </r>
  <r>
    <x v="17"/>
    <n v="2"/>
    <x v="40"/>
    <n v="13043.84"/>
    <n v="6202.69"/>
  </r>
  <r>
    <x v="18"/>
    <n v="2"/>
    <x v="40"/>
    <n v="12194.11"/>
    <n v="5799.69"/>
  </r>
  <r>
    <x v="19"/>
    <n v="2"/>
    <x v="40"/>
    <n v="13416.87"/>
    <n v="6506.36"/>
  </r>
  <r>
    <x v="20"/>
    <n v="2"/>
    <x v="40"/>
    <n v="13626.72"/>
    <n v="6698.6"/>
  </r>
  <r>
    <x v="21"/>
    <n v="2"/>
    <x v="40"/>
    <n v="13214.01"/>
    <n v="6351.5"/>
  </r>
  <r>
    <x v="22"/>
    <n v="2"/>
    <x v="40"/>
    <n v="12636.93"/>
    <n v="5938.89"/>
  </r>
  <r>
    <x v="23"/>
    <n v="2"/>
    <x v="40"/>
    <n v="12668.54"/>
    <n v="5840.92"/>
  </r>
  <r>
    <x v="24"/>
    <n v="2"/>
    <x v="40"/>
    <n v="40195.35"/>
    <n v="25075.32"/>
  </r>
  <r>
    <x v="25"/>
    <n v="2"/>
    <x v="40"/>
    <n v="24398.71"/>
    <n v="14621.33"/>
  </r>
  <r>
    <x v="26"/>
    <n v="2"/>
    <x v="40"/>
    <n v="23309.48"/>
    <n v="14250.9"/>
  </r>
  <r>
    <x v="27"/>
    <n v="2"/>
    <x v="40"/>
    <n v="23903.119999999999"/>
    <n v="14982.08"/>
  </r>
  <r>
    <x v="28"/>
    <n v="2"/>
    <x v="40"/>
    <n v="22936.9"/>
    <n v="14789.33"/>
  </r>
  <r>
    <x v="29"/>
    <n v="2"/>
    <x v="40"/>
    <n v="26018.61"/>
    <n v="15828.62"/>
  </r>
  <r>
    <x v="30"/>
    <n v="2"/>
    <x v="40"/>
    <n v="24183.11"/>
    <n v="14903.36"/>
  </r>
  <r>
    <x v="31"/>
    <n v="2"/>
    <x v="40"/>
    <n v="25571.86"/>
    <n v="15964.15"/>
  </r>
  <r>
    <x v="32"/>
    <n v="2"/>
    <x v="40"/>
    <n v="22933.83"/>
    <n v="14845.79"/>
  </r>
  <r>
    <x v="33"/>
    <n v="2"/>
    <x v="40"/>
    <n v="24030.51"/>
    <n v="14855.82"/>
  </r>
  <r>
    <x v="34"/>
    <n v="2"/>
    <x v="40"/>
    <n v="26612.35"/>
    <n v="16102.38"/>
  </r>
  <r>
    <x v="35"/>
    <n v="2"/>
    <x v="40"/>
    <n v="22467.87"/>
    <n v="14431.56"/>
  </r>
  <r>
    <x v="36"/>
    <n v="2"/>
    <x v="40"/>
    <n v="51631.21"/>
    <n v="29653.13"/>
  </r>
  <r>
    <x v="37"/>
    <n v="2"/>
    <x v="40"/>
    <n v="27742.55"/>
    <n v="16254.65"/>
  </r>
  <r>
    <x v="38"/>
    <n v="2"/>
    <x v="40"/>
    <n v="32542.6"/>
    <n v="19597.39"/>
  </r>
  <r>
    <x v="39"/>
    <n v="2"/>
    <x v="40"/>
    <n v="27619.439999999999"/>
    <n v="16960.93"/>
  </r>
  <r>
    <x v="40"/>
    <n v="2"/>
    <x v="40"/>
    <n v="32656.38"/>
    <n v="19950.23"/>
  </r>
  <r>
    <x v="41"/>
    <n v="2"/>
    <x v="40"/>
    <n v="33074.089999999997"/>
    <n v="19016.580000000002"/>
  </r>
  <r>
    <x v="42"/>
    <n v="2"/>
    <x v="40"/>
    <n v="32242.81"/>
    <n v="18818.36"/>
  </r>
  <r>
    <x v="43"/>
    <n v="2"/>
    <x v="40"/>
    <n v="31470.11"/>
    <n v="19348.64"/>
  </r>
  <r>
    <x v="44"/>
    <n v="2"/>
    <x v="40"/>
    <n v="32316.38"/>
    <n v="19996.02"/>
  </r>
  <r>
    <x v="45"/>
    <n v="2"/>
    <x v="40"/>
    <n v="32261.21"/>
    <n v="19566.43"/>
  </r>
  <r>
    <x v="46"/>
    <n v="2"/>
    <x v="40"/>
    <n v="28214.01"/>
    <n v="17109.689999999999"/>
  </r>
  <r>
    <x v="47"/>
    <n v="2"/>
    <x v="40"/>
    <n v="27695.17"/>
    <n v="16410.759999999998"/>
  </r>
  <r>
    <x v="48"/>
    <n v="2"/>
    <x v="40"/>
    <n v="55979.1"/>
    <n v="32702.57"/>
  </r>
  <r>
    <x v="49"/>
    <n v="2"/>
    <x v="40"/>
    <n v="32221.47"/>
    <n v="17995.07"/>
  </r>
  <r>
    <x v="50"/>
    <n v="2"/>
    <x v="40"/>
    <n v="30482.560000000001"/>
    <n v="17771.62"/>
  </r>
  <r>
    <x v="51"/>
    <n v="2"/>
    <x v="40"/>
    <n v="30443.83"/>
    <n v="18441.46"/>
  </r>
  <r>
    <x v="52"/>
    <n v="2"/>
    <x v="40"/>
    <n v="30048.09"/>
    <n v="18719.490000000002"/>
  </r>
  <r>
    <x v="53"/>
    <n v="2"/>
    <x v="40"/>
    <n v="32371.07"/>
    <n v="19989.990000000002"/>
  </r>
  <r>
    <x v="54"/>
    <n v="2"/>
    <x v="40"/>
    <n v="25980.94"/>
    <n v="15966.55"/>
  </r>
  <r>
    <x v="55"/>
    <n v="2"/>
    <x v="40"/>
    <n v="31622.86"/>
    <n v="19868.7"/>
  </r>
  <r>
    <x v="56"/>
    <n v="2"/>
    <x v="40"/>
    <n v="32262.31"/>
    <n v="19291.759999999998"/>
  </r>
  <r>
    <x v="57"/>
    <n v="2"/>
    <x v="40"/>
    <n v="33521.879999999997"/>
    <n v="20283.400000000001"/>
  </r>
  <r>
    <x v="58"/>
    <n v="2"/>
    <x v="40"/>
    <n v="30827.13"/>
    <n v="21303.33"/>
  </r>
  <r>
    <x v="59"/>
    <n v="2"/>
    <x v="40"/>
    <n v="30336.5"/>
    <n v="18139.169999999998"/>
  </r>
  <r>
    <x v="60"/>
    <n v="2"/>
    <x v="40"/>
    <n v="47209.5"/>
    <n v="27261.24"/>
  </r>
  <r>
    <x v="61"/>
    <n v="2"/>
    <x v="40"/>
    <n v="31220.25"/>
    <n v="17564.22"/>
  </r>
  <r>
    <x v="62"/>
    <n v="2"/>
    <x v="40"/>
    <n v="32709.77"/>
    <n v="19325.099999999999"/>
  </r>
  <r>
    <x v="63"/>
    <n v="2"/>
    <x v="40"/>
    <n v="29414.62"/>
    <n v="17652.02"/>
  </r>
  <r>
    <x v="64"/>
    <n v="2"/>
    <x v="40"/>
    <n v="33775.660000000003"/>
    <n v="20423.349999999999"/>
  </r>
  <r>
    <x v="65"/>
    <n v="2"/>
    <x v="40"/>
    <n v="35445.07"/>
    <n v="20822.599999999999"/>
  </r>
  <r>
    <x v="66"/>
    <n v="2"/>
    <x v="40"/>
    <n v="30970.7"/>
    <n v="17735.560000000001"/>
  </r>
  <r>
    <x v="67"/>
    <n v="2"/>
    <x v="40"/>
    <n v="34682.97"/>
    <n v="20754.439999999999"/>
  </r>
  <r>
    <x v="68"/>
    <n v="2"/>
    <x v="40"/>
    <n v="28988.09"/>
    <n v="18107.98"/>
  </r>
  <r>
    <x v="69"/>
    <n v="2"/>
    <x v="40"/>
    <n v="33258.89"/>
    <n v="19495.27"/>
  </r>
  <r>
    <x v="70"/>
    <n v="2"/>
    <x v="40"/>
    <n v="35644.870000000003"/>
    <n v="20093.080000000002"/>
  </r>
  <r>
    <x v="71"/>
    <n v="2"/>
    <x v="40"/>
    <n v="33132.31"/>
    <n v="19778.48"/>
  </r>
  <r>
    <x v="72"/>
    <n v="2"/>
    <x v="40"/>
    <n v="1021.63"/>
    <n v="263.08"/>
  </r>
  <r>
    <x v="73"/>
    <n v="2"/>
    <x v="40"/>
    <n v="853.42"/>
    <n v="224.03"/>
  </r>
  <r>
    <x v="74"/>
    <n v="2"/>
    <x v="40"/>
    <n v="888.71"/>
    <n v="226.59"/>
  </r>
  <r>
    <x v="75"/>
    <n v="2"/>
    <x v="40"/>
    <n v="822.56"/>
    <n v="199.52"/>
  </r>
  <r>
    <x v="76"/>
    <n v="2"/>
    <x v="40"/>
    <n v="836.87"/>
    <n v="194.31"/>
  </r>
  <r>
    <x v="77"/>
    <n v="2"/>
    <x v="40"/>
    <n v="784.73"/>
    <n v="179.11"/>
  </r>
  <r>
    <x v="78"/>
    <n v="2"/>
    <x v="40"/>
    <n v="809.26"/>
    <n v="203.68"/>
  </r>
  <r>
    <x v="79"/>
    <n v="2"/>
    <x v="40"/>
    <n v="936.43"/>
    <n v="416.93"/>
  </r>
  <r>
    <x v="80"/>
    <n v="2"/>
    <x v="40"/>
    <n v="898.43"/>
    <n v="249.31"/>
  </r>
  <r>
    <x v="81"/>
    <n v="2"/>
    <x v="40"/>
    <n v="830.28"/>
    <n v="174.29"/>
  </r>
  <r>
    <x v="82"/>
    <n v="2"/>
    <x v="40"/>
    <n v="1049.32"/>
    <n v="271.77"/>
  </r>
  <r>
    <x v="83"/>
    <n v="2"/>
    <x v="40"/>
    <n v="861.11"/>
    <n v="169.65"/>
  </r>
  <r>
    <x v="84"/>
    <n v="2"/>
    <x v="40"/>
    <n v="1227.54"/>
    <n v="321.87"/>
  </r>
  <r>
    <x v="85"/>
    <n v="2"/>
    <x v="40"/>
    <n v="1009.18"/>
    <n v="226.09"/>
  </r>
  <r>
    <x v="86"/>
    <n v="2"/>
    <x v="40"/>
    <n v="1147.28"/>
    <n v="335.08"/>
  </r>
  <r>
    <x v="87"/>
    <n v="2"/>
    <x v="40"/>
    <n v="947.87"/>
    <n v="258.14"/>
  </r>
  <r>
    <x v="88"/>
    <n v="2"/>
    <x v="40"/>
    <n v="957.6"/>
    <n v="233.04"/>
  </r>
  <r>
    <x v="89"/>
    <n v="2"/>
    <x v="40"/>
    <n v="1057.94"/>
    <n v="283.16000000000003"/>
  </r>
  <r>
    <x v="90"/>
    <n v="2"/>
    <x v="40"/>
    <n v="849.29"/>
    <n v="163.69999999999999"/>
  </r>
  <r>
    <x v="91"/>
    <n v="2"/>
    <x v="40"/>
    <n v="792.74"/>
    <n v="169.55"/>
  </r>
  <r>
    <x v="92"/>
    <n v="2"/>
    <x v="40"/>
    <n v="856.91"/>
    <n v="205.15"/>
  </r>
  <r>
    <x v="93"/>
    <n v="2"/>
    <x v="40"/>
    <n v="996.69"/>
    <n v="267.69"/>
  </r>
  <r>
    <x v="94"/>
    <n v="2"/>
    <x v="40"/>
    <n v="892.42"/>
    <n v="171.81"/>
  </r>
  <r>
    <x v="95"/>
    <n v="2"/>
    <x v="40"/>
    <n v="965.4"/>
    <n v="212.94"/>
  </r>
  <r>
    <x v="0"/>
    <n v="2"/>
    <x v="41"/>
    <n v="30663.66"/>
    <n v="21374.69"/>
  </r>
  <r>
    <x v="1"/>
    <n v="2"/>
    <x v="41"/>
    <n v="20957.68"/>
    <n v="13794.73"/>
  </r>
  <r>
    <x v="2"/>
    <n v="2"/>
    <x v="41"/>
    <n v="20519.47"/>
    <n v="13650.49"/>
  </r>
  <r>
    <x v="3"/>
    <n v="2"/>
    <x v="41"/>
    <n v="20003.62"/>
    <n v="13913.82"/>
  </r>
  <r>
    <x v="4"/>
    <n v="2"/>
    <x v="41"/>
    <n v="19913.39"/>
    <n v="13847.75"/>
  </r>
  <r>
    <x v="5"/>
    <n v="2"/>
    <x v="41"/>
    <n v="20826.98"/>
    <n v="14166.3"/>
  </r>
  <r>
    <x v="6"/>
    <n v="2"/>
    <x v="41"/>
    <n v="18711.05"/>
    <n v="12534.46"/>
  </r>
  <r>
    <x v="7"/>
    <n v="2"/>
    <x v="41"/>
    <n v="20903.62"/>
    <n v="14883.21"/>
  </r>
  <r>
    <x v="8"/>
    <n v="2"/>
    <x v="41"/>
    <n v="19971.05"/>
    <n v="14102.4"/>
  </r>
  <r>
    <x v="9"/>
    <n v="2"/>
    <x v="41"/>
    <n v="19266.990000000002"/>
    <n v="13722.05"/>
  </r>
  <r>
    <x v="10"/>
    <n v="2"/>
    <x v="41"/>
    <n v="19578.84"/>
    <n v="13373.54"/>
  </r>
  <r>
    <x v="11"/>
    <n v="2"/>
    <x v="41"/>
    <n v="17978.189999999999"/>
    <n v="20396.73"/>
  </r>
  <r>
    <x v="12"/>
    <n v="2"/>
    <x v="41"/>
    <n v="20163"/>
    <n v="9661.7000000000007"/>
  </r>
  <r>
    <x v="13"/>
    <n v="2"/>
    <x v="41"/>
    <n v="11902.98"/>
    <n v="6023.94"/>
  </r>
  <r>
    <x v="14"/>
    <n v="2"/>
    <x v="41"/>
    <n v="12809.08"/>
    <n v="6377.25"/>
  </r>
  <r>
    <x v="15"/>
    <n v="2"/>
    <x v="41"/>
    <n v="13001.64"/>
    <n v="6505.66"/>
  </r>
  <r>
    <x v="16"/>
    <n v="2"/>
    <x v="41"/>
    <n v="12613.46"/>
    <n v="6508.47"/>
  </r>
  <r>
    <x v="17"/>
    <n v="2"/>
    <x v="41"/>
    <n v="13053.8"/>
    <n v="6209.11"/>
  </r>
  <r>
    <x v="18"/>
    <n v="2"/>
    <x v="41"/>
    <n v="12204.08"/>
    <n v="5806.57"/>
  </r>
  <r>
    <x v="19"/>
    <n v="2"/>
    <x v="41"/>
    <n v="13426.05"/>
    <n v="6509.04"/>
  </r>
  <r>
    <x v="20"/>
    <n v="2"/>
    <x v="41"/>
    <n v="13635.66"/>
    <n v="6701.81"/>
  </r>
  <r>
    <x v="21"/>
    <n v="2"/>
    <x v="41"/>
    <n v="13225.67"/>
    <n v="6354.75"/>
  </r>
  <r>
    <x v="22"/>
    <n v="2"/>
    <x v="41"/>
    <n v="12641.69"/>
    <n v="5938.99"/>
  </r>
  <r>
    <x v="23"/>
    <n v="2"/>
    <x v="41"/>
    <n v="12674.82"/>
    <n v="5843.12"/>
  </r>
  <r>
    <x v="24"/>
    <n v="2"/>
    <x v="41"/>
    <n v="40411.589999999997"/>
    <n v="25217.67"/>
  </r>
  <r>
    <x v="25"/>
    <n v="2"/>
    <x v="41"/>
    <n v="24526.51"/>
    <n v="14697.2"/>
  </r>
  <r>
    <x v="26"/>
    <n v="2"/>
    <x v="41"/>
    <n v="23420.57"/>
    <n v="14326.11"/>
  </r>
  <r>
    <x v="27"/>
    <n v="2"/>
    <x v="41"/>
    <n v="24042.63"/>
    <n v="15062.32"/>
  </r>
  <r>
    <x v="28"/>
    <n v="2"/>
    <x v="41"/>
    <n v="23029.99"/>
    <n v="14836.68"/>
  </r>
  <r>
    <x v="29"/>
    <n v="2"/>
    <x v="41"/>
    <n v="26172.26"/>
    <n v="15884.55"/>
  </r>
  <r>
    <x v="30"/>
    <n v="2"/>
    <x v="41"/>
    <n v="24293.4"/>
    <n v="14972.27"/>
  </r>
  <r>
    <x v="31"/>
    <n v="2"/>
    <x v="41"/>
    <n v="25684.47"/>
    <n v="16033.08"/>
  </r>
  <r>
    <x v="32"/>
    <n v="2"/>
    <x v="41"/>
    <n v="23013.78"/>
    <n v="14906.05"/>
  </r>
  <r>
    <x v="33"/>
    <n v="2"/>
    <x v="41"/>
    <n v="24166.49"/>
    <n v="14925.32"/>
  </r>
  <r>
    <x v="34"/>
    <n v="2"/>
    <x v="41"/>
    <n v="26766.03"/>
    <n v="16153.42"/>
  </r>
  <r>
    <x v="35"/>
    <n v="2"/>
    <x v="41"/>
    <n v="22559.39"/>
    <n v="14512.15"/>
  </r>
  <r>
    <x v="36"/>
    <n v="2"/>
    <x v="41"/>
    <n v="52140.26"/>
    <n v="29846.93"/>
  </r>
  <r>
    <x v="37"/>
    <n v="2"/>
    <x v="41"/>
    <n v="27929.15"/>
    <n v="16376.33"/>
  </r>
  <r>
    <x v="38"/>
    <n v="2"/>
    <x v="41"/>
    <n v="32868.879999999997"/>
    <n v="19707.810000000001"/>
  </r>
  <r>
    <x v="39"/>
    <n v="2"/>
    <x v="41"/>
    <n v="27913.59"/>
    <n v="17057.349999999999"/>
  </r>
  <r>
    <x v="40"/>
    <n v="2"/>
    <x v="41"/>
    <n v="32891.21"/>
    <n v="20065.57"/>
  </r>
  <r>
    <x v="41"/>
    <n v="2"/>
    <x v="41"/>
    <n v="33326"/>
    <n v="19122.240000000002"/>
  </r>
  <r>
    <x v="42"/>
    <n v="2"/>
    <x v="41"/>
    <n v="32534.39"/>
    <n v="18962.41"/>
  </r>
  <r>
    <x v="43"/>
    <n v="2"/>
    <x v="41"/>
    <n v="31764.69"/>
    <n v="19458.89"/>
  </r>
  <r>
    <x v="44"/>
    <n v="2"/>
    <x v="41"/>
    <n v="32538.37"/>
    <n v="20098.580000000002"/>
  </r>
  <r>
    <x v="45"/>
    <n v="2"/>
    <x v="41"/>
    <n v="32513.19"/>
    <n v="19682.099999999999"/>
  </r>
  <r>
    <x v="46"/>
    <n v="2"/>
    <x v="41"/>
    <n v="28504.33"/>
    <n v="17232.02"/>
  </r>
  <r>
    <x v="47"/>
    <n v="2"/>
    <x v="41"/>
    <n v="27889.040000000001"/>
    <n v="16513.95"/>
  </r>
  <r>
    <x v="48"/>
    <n v="2"/>
    <x v="41"/>
    <n v="56397.95"/>
    <n v="32912.17"/>
  </r>
  <r>
    <x v="49"/>
    <n v="2"/>
    <x v="41"/>
    <n v="32443.82"/>
    <n v="18136.439999999999"/>
  </r>
  <r>
    <x v="50"/>
    <n v="2"/>
    <x v="41"/>
    <n v="30772.75"/>
    <n v="17903.560000000001"/>
  </r>
  <r>
    <x v="51"/>
    <n v="2"/>
    <x v="41"/>
    <n v="30658.69"/>
    <n v="18592.689999999999"/>
  </r>
  <r>
    <x v="52"/>
    <n v="2"/>
    <x v="41"/>
    <n v="30346.639999999999"/>
    <n v="18825.740000000002"/>
  </r>
  <r>
    <x v="53"/>
    <n v="2"/>
    <x v="41"/>
    <n v="32607.040000000001"/>
    <n v="20159.54"/>
  </r>
  <r>
    <x v="54"/>
    <n v="2"/>
    <x v="41"/>
    <n v="26166.79"/>
    <n v="16060.96"/>
  </r>
  <r>
    <x v="55"/>
    <n v="2"/>
    <x v="41"/>
    <n v="31948.02"/>
    <n v="20033.810000000001"/>
  </r>
  <r>
    <x v="56"/>
    <n v="2"/>
    <x v="41"/>
    <n v="32475.94"/>
    <n v="19447.310000000001"/>
  </r>
  <r>
    <x v="57"/>
    <n v="2"/>
    <x v="41"/>
    <n v="33842.26"/>
    <n v="20447.03"/>
  </r>
  <r>
    <x v="58"/>
    <n v="2"/>
    <x v="41"/>
    <n v="31012"/>
    <n v="21422.94"/>
  </r>
  <r>
    <x v="59"/>
    <n v="2"/>
    <x v="41"/>
    <n v="30546.63"/>
    <n v="18298.03"/>
  </r>
  <r>
    <x v="60"/>
    <n v="2"/>
    <x v="41"/>
    <n v="47632.88"/>
    <n v="27497.88"/>
  </r>
  <r>
    <x v="61"/>
    <n v="2"/>
    <x v="41"/>
    <n v="31524.35"/>
    <n v="17705.740000000002"/>
  </r>
  <r>
    <x v="62"/>
    <n v="2"/>
    <x v="41"/>
    <n v="33024.550000000003"/>
    <n v="19443.59"/>
  </r>
  <r>
    <x v="63"/>
    <n v="2"/>
    <x v="41"/>
    <n v="29687.91"/>
    <n v="17796.86"/>
  </r>
  <r>
    <x v="64"/>
    <n v="2"/>
    <x v="41"/>
    <n v="34090.82"/>
    <n v="20591.23"/>
  </r>
  <r>
    <x v="65"/>
    <n v="2"/>
    <x v="41"/>
    <n v="35674.19"/>
    <n v="20995.26"/>
  </r>
  <r>
    <x v="66"/>
    <n v="2"/>
    <x v="41"/>
    <n v="31275.79"/>
    <n v="17842.91"/>
  </r>
  <r>
    <x v="67"/>
    <n v="2"/>
    <x v="41"/>
    <n v="35042.68"/>
    <n v="20870.740000000002"/>
  </r>
  <r>
    <x v="68"/>
    <n v="2"/>
    <x v="41"/>
    <n v="29263.27"/>
    <n v="18255.04"/>
  </r>
  <r>
    <x v="69"/>
    <n v="2"/>
    <x v="41"/>
    <n v="33507.379999999997"/>
    <n v="19645.91"/>
  </r>
  <r>
    <x v="70"/>
    <n v="2"/>
    <x v="41"/>
    <n v="35897.379999999997"/>
    <n v="20206.09"/>
  </r>
  <r>
    <x v="71"/>
    <n v="2"/>
    <x v="41"/>
    <n v="33453.89"/>
    <n v="19950.72"/>
  </r>
  <r>
    <x v="72"/>
    <n v="2"/>
    <x v="41"/>
    <n v="1026.81"/>
    <n v="263.85000000000002"/>
  </r>
  <r>
    <x v="73"/>
    <n v="2"/>
    <x v="41"/>
    <n v="857.92"/>
    <n v="225.04"/>
  </r>
  <r>
    <x v="74"/>
    <n v="2"/>
    <x v="41"/>
    <n v="894.34"/>
    <n v="227.29"/>
  </r>
  <r>
    <x v="75"/>
    <n v="2"/>
    <x v="41"/>
    <n v="826.24"/>
    <n v="200.16"/>
  </r>
  <r>
    <x v="76"/>
    <n v="2"/>
    <x v="41"/>
    <n v="841"/>
    <n v="195.13"/>
  </r>
  <r>
    <x v="77"/>
    <n v="2"/>
    <x v="41"/>
    <n v="788.89"/>
    <n v="180.08"/>
  </r>
  <r>
    <x v="78"/>
    <n v="2"/>
    <x v="41"/>
    <n v="814.29"/>
    <n v="204.31"/>
  </r>
  <r>
    <x v="79"/>
    <n v="2"/>
    <x v="41"/>
    <n v="940.54"/>
    <n v="419.03"/>
  </r>
  <r>
    <x v="80"/>
    <n v="2"/>
    <x v="41"/>
    <n v="903.44"/>
    <n v="249.92"/>
  </r>
  <r>
    <x v="81"/>
    <n v="2"/>
    <x v="41"/>
    <n v="835.28"/>
    <n v="175.2"/>
  </r>
  <r>
    <x v="82"/>
    <n v="2"/>
    <x v="41"/>
    <n v="1064.1500000000001"/>
    <n v="276.86"/>
  </r>
  <r>
    <x v="83"/>
    <n v="2"/>
    <x v="41"/>
    <n v="864.77"/>
    <n v="169.63"/>
  </r>
  <r>
    <x v="84"/>
    <n v="2"/>
    <x v="41"/>
    <n v="1230.75"/>
    <n v="322.33999999999997"/>
  </r>
  <r>
    <x v="85"/>
    <n v="2"/>
    <x v="41"/>
    <n v="1001.88"/>
    <n v="222.45"/>
  </r>
  <r>
    <x v="86"/>
    <n v="2"/>
    <x v="41"/>
    <n v="1149.58"/>
    <n v="335.5"/>
  </r>
  <r>
    <x v="87"/>
    <n v="2"/>
    <x v="41"/>
    <n v="936.12"/>
    <n v="247.39"/>
  </r>
  <r>
    <x v="88"/>
    <n v="2"/>
    <x v="41"/>
    <n v="960.08"/>
    <n v="233.08"/>
  </r>
  <r>
    <x v="89"/>
    <n v="2"/>
    <x v="41"/>
    <n v="1062.03"/>
    <n v="284.11"/>
  </r>
  <r>
    <x v="90"/>
    <n v="2"/>
    <x v="41"/>
    <n v="853.2"/>
    <n v="163.71"/>
  </r>
  <r>
    <x v="91"/>
    <n v="2"/>
    <x v="41"/>
    <n v="797.86"/>
    <n v="169.67"/>
  </r>
  <r>
    <x v="92"/>
    <n v="2"/>
    <x v="41"/>
    <n v="860.96"/>
    <n v="205.18"/>
  </r>
  <r>
    <x v="93"/>
    <n v="2"/>
    <x v="41"/>
    <n v="999.72"/>
    <n v="267.98"/>
  </r>
  <r>
    <x v="94"/>
    <n v="2"/>
    <x v="41"/>
    <n v="894.92"/>
    <n v="171.84"/>
  </r>
  <r>
    <x v="95"/>
    <n v="2"/>
    <x v="41"/>
    <n v="968.95"/>
    <n v="212.93"/>
  </r>
  <r>
    <x v="0"/>
    <n v="2"/>
    <x v="42"/>
    <n v="30732.39"/>
    <n v="21441.94"/>
  </r>
  <r>
    <x v="1"/>
    <n v="2"/>
    <x v="42"/>
    <n v="21002.84"/>
    <n v="13824.99"/>
  </r>
  <r>
    <x v="2"/>
    <n v="2"/>
    <x v="42"/>
    <n v="20562.41"/>
    <n v="13682.03"/>
  </r>
  <r>
    <x v="3"/>
    <n v="2"/>
    <x v="42"/>
    <n v="20035.27"/>
    <n v="13941.8"/>
  </r>
  <r>
    <x v="4"/>
    <n v="2"/>
    <x v="42"/>
    <n v="19951.66"/>
    <n v="13874.6"/>
  </r>
  <r>
    <x v="5"/>
    <n v="2"/>
    <x v="42"/>
    <n v="20870.52"/>
    <n v="14196.87"/>
  </r>
  <r>
    <x v="6"/>
    <n v="2"/>
    <x v="42"/>
    <n v="18746.830000000002"/>
    <n v="12559.32"/>
  </r>
  <r>
    <x v="7"/>
    <n v="2"/>
    <x v="42"/>
    <n v="20942.39"/>
    <n v="14914.33"/>
  </r>
  <r>
    <x v="8"/>
    <n v="2"/>
    <x v="42"/>
    <n v="20008.82"/>
    <n v="14131.43"/>
  </r>
  <r>
    <x v="9"/>
    <n v="2"/>
    <x v="42"/>
    <n v="19305.96"/>
    <n v="13753.57"/>
  </r>
  <r>
    <x v="10"/>
    <n v="2"/>
    <x v="42"/>
    <n v="19619.84"/>
    <n v="13406.5"/>
  </r>
  <r>
    <x v="11"/>
    <n v="2"/>
    <x v="42"/>
    <n v="17942.560000000001"/>
    <n v="20777.39"/>
  </r>
  <r>
    <x v="12"/>
    <n v="2"/>
    <x v="42"/>
    <n v="20168.189999999999"/>
    <n v="9668.74"/>
  </r>
  <r>
    <x v="13"/>
    <n v="2"/>
    <x v="42"/>
    <n v="11905.67"/>
    <n v="6028.9"/>
  </r>
  <r>
    <x v="14"/>
    <n v="2"/>
    <x v="42"/>
    <n v="12815.91"/>
    <n v="6382.69"/>
  </r>
  <r>
    <x v="15"/>
    <n v="2"/>
    <x v="42"/>
    <n v="13006.21"/>
    <n v="6510.66"/>
  </r>
  <r>
    <x v="16"/>
    <n v="2"/>
    <x v="42"/>
    <n v="12620.84"/>
    <n v="6512.94"/>
  </r>
  <r>
    <x v="17"/>
    <n v="2"/>
    <x v="42"/>
    <n v="13057.42"/>
    <n v="6211.42"/>
  </r>
  <r>
    <x v="18"/>
    <n v="2"/>
    <x v="42"/>
    <n v="12209.63"/>
    <n v="5809.78"/>
  </r>
  <r>
    <x v="19"/>
    <n v="2"/>
    <x v="42"/>
    <n v="13429.88"/>
    <n v="6511.12"/>
  </r>
  <r>
    <x v="20"/>
    <n v="2"/>
    <x v="42"/>
    <n v="13639.85"/>
    <n v="6704.25"/>
  </r>
  <r>
    <x v="21"/>
    <n v="2"/>
    <x v="42"/>
    <n v="13230.95"/>
    <n v="6356.95"/>
  </r>
  <r>
    <x v="22"/>
    <n v="2"/>
    <x v="42"/>
    <n v="12642.49"/>
    <n v="5939.99"/>
  </r>
  <r>
    <x v="23"/>
    <n v="2"/>
    <x v="42"/>
    <n v="12677.02"/>
    <n v="5844.74"/>
  </r>
  <r>
    <x v="24"/>
    <n v="2"/>
    <x v="42"/>
    <n v="40502.949999999997"/>
    <n v="25280.11"/>
  </r>
  <r>
    <x v="25"/>
    <n v="2"/>
    <x v="42"/>
    <n v="24583.75"/>
    <n v="14729.77"/>
  </r>
  <r>
    <x v="26"/>
    <n v="2"/>
    <x v="42"/>
    <n v="23480.42"/>
    <n v="14360.75"/>
  </r>
  <r>
    <x v="27"/>
    <n v="2"/>
    <x v="42"/>
    <n v="24102.68"/>
    <n v="15098.05"/>
  </r>
  <r>
    <x v="28"/>
    <n v="2"/>
    <x v="42"/>
    <n v="23079.34"/>
    <n v="14862.01"/>
  </r>
  <r>
    <x v="29"/>
    <n v="2"/>
    <x v="42"/>
    <n v="26237"/>
    <n v="15914.67"/>
  </r>
  <r>
    <x v="30"/>
    <n v="2"/>
    <x v="42"/>
    <n v="24353.17"/>
    <n v="15001.44"/>
  </r>
  <r>
    <x v="31"/>
    <n v="2"/>
    <x v="42"/>
    <n v="25741.919999999998"/>
    <n v="16061.84"/>
  </r>
  <r>
    <x v="32"/>
    <n v="2"/>
    <x v="42"/>
    <n v="23057.43"/>
    <n v="14932.11"/>
  </r>
  <r>
    <x v="33"/>
    <n v="2"/>
    <x v="42"/>
    <n v="24223.15"/>
    <n v="14955.17"/>
  </r>
  <r>
    <x v="34"/>
    <n v="2"/>
    <x v="42"/>
    <n v="26833.18"/>
    <n v="16180.21"/>
  </r>
  <r>
    <x v="35"/>
    <n v="2"/>
    <x v="42"/>
    <n v="22608.9"/>
    <n v="14546.5"/>
  </r>
  <r>
    <x v="36"/>
    <n v="2"/>
    <x v="42"/>
    <n v="52352.36"/>
    <n v="29950.799999999999"/>
  </r>
  <r>
    <x v="37"/>
    <n v="2"/>
    <x v="42"/>
    <n v="28030.080000000002"/>
    <n v="16428.2"/>
  </r>
  <r>
    <x v="38"/>
    <n v="2"/>
    <x v="42"/>
    <n v="33006.81"/>
    <n v="19764.830000000002"/>
  </r>
  <r>
    <x v="39"/>
    <n v="2"/>
    <x v="42"/>
    <n v="28035.62"/>
    <n v="17108.03"/>
  </r>
  <r>
    <x v="40"/>
    <n v="2"/>
    <x v="42"/>
    <n v="33020.129999999997"/>
    <n v="20125.21"/>
  </r>
  <r>
    <x v="41"/>
    <n v="2"/>
    <x v="42"/>
    <n v="33464.36"/>
    <n v="19181.580000000002"/>
  </r>
  <r>
    <x v="42"/>
    <n v="2"/>
    <x v="42"/>
    <n v="32660.87"/>
    <n v="19023.599999999999"/>
  </r>
  <r>
    <x v="43"/>
    <n v="2"/>
    <x v="42"/>
    <n v="31890.95"/>
    <n v="19515.599999999999"/>
  </r>
  <r>
    <x v="44"/>
    <n v="2"/>
    <x v="42"/>
    <n v="32656.080000000002"/>
    <n v="20154.29"/>
  </r>
  <r>
    <x v="45"/>
    <n v="2"/>
    <x v="42"/>
    <n v="32649.93"/>
    <n v="19740.52"/>
  </r>
  <r>
    <x v="46"/>
    <n v="2"/>
    <x v="42"/>
    <n v="28624.85"/>
    <n v="17284.55"/>
  </r>
  <r>
    <x v="47"/>
    <n v="2"/>
    <x v="42"/>
    <n v="27993.05"/>
    <n v="16566.68"/>
  </r>
  <r>
    <x v="48"/>
    <n v="2"/>
    <x v="42"/>
    <n v="56618.93"/>
    <n v="33024.49"/>
  </r>
  <r>
    <x v="49"/>
    <n v="2"/>
    <x v="42"/>
    <n v="32564.35"/>
    <n v="18196.240000000002"/>
  </r>
  <r>
    <x v="50"/>
    <n v="2"/>
    <x v="42"/>
    <n v="30900.21"/>
    <n v="17959.490000000002"/>
  </r>
  <r>
    <x v="51"/>
    <n v="2"/>
    <x v="42"/>
    <n v="30774.38"/>
    <n v="18656.650000000001"/>
  </r>
  <r>
    <x v="52"/>
    <n v="2"/>
    <x v="42"/>
    <n v="30477.02"/>
    <n v="18885.740000000002"/>
  </r>
  <r>
    <x v="53"/>
    <n v="2"/>
    <x v="42"/>
    <n v="32733.87"/>
    <n v="20231.650000000001"/>
  </r>
  <r>
    <x v="54"/>
    <n v="2"/>
    <x v="42"/>
    <n v="26269.09"/>
    <n v="16109.65"/>
  </r>
  <r>
    <x v="55"/>
    <n v="2"/>
    <x v="42"/>
    <n v="32084.33"/>
    <n v="20104.13"/>
  </r>
  <r>
    <x v="56"/>
    <n v="2"/>
    <x v="42"/>
    <n v="32591.51"/>
    <n v="19513.82"/>
  </r>
  <r>
    <x v="57"/>
    <n v="2"/>
    <x v="42"/>
    <n v="33981.980000000003"/>
    <n v="20516.11"/>
  </r>
  <r>
    <x v="58"/>
    <n v="2"/>
    <x v="42"/>
    <n v="31104.55"/>
    <n v="21490.560000000001"/>
  </r>
  <r>
    <x v="59"/>
    <n v="2"/>
    <x v="42"/>
    <n v="30658.36"/>
    <n v="18367.29"/>
  </r>
  <r>
    <x v="60"/>
    <n v="2"/>
    <x v="42"/>
    <n v="47819.67"/>
    <n v="27604.05"/>
  </r>
  <r>
    <x v="61"/>
    <n v="2"/>
    <x v="42"/>
    <n v="31649.97"/>
    <n v="17765.93"/>
  </r>
  <r>
    <x v="62"/>
    <n v="2"/>
    <x v="42"/>
    <n v="33157.51"/>
    <n v="19503.39"/>
  </r>
  <r>
    <x v="63"/>
    <n v="2"/>
    <x v="42"/>
    <n v="29805.37"/>
    <n v="17858.82"/>
  </r>
  <r>
    <x v="64"/>
    <n v="2"/>
    <x v="42"/>
    <n v="34227.360000000001"/>
    <n v="20661.59"/>
  </r>
  <r>
    <x v="65"/>
    <n v="2"/>
    <x v="42"/>
    <n v="35800.01"/>
    <n v="21069.06"/>
  </r>
  <r>
    <x v="66"/>
    <n v="2"/>
    <x v="42"/>
    <n v="31405.41"/>
    <n v="17902.55"/>
  </r>
  <r>
    <x v="67"/>
    <n v="2"/>
    <x v="42"/>
    <n v="35194.04"/>
    <n v="20932.04"/>
  </r>
  <r>
    <x v="68"/>
    <n v="2"/>
    <x v="42"/>
    <n v="29377.93"/>
    <n v="18317.900000000001"/>
  </r>
  <r>
    <x v="69"/>
    <n v="2"/>
    <x v="42"/>
    <n v="33643.550000000003"/>
    <n v="19709.59"/>
  </r>
  <r>
    <x v="70"/>
    <n v="2"/>
    <x v="42"/>
    <n v="36028.28"/>
    <n v="20265.7"/>
  </r>
  <r>
    <x v="71"/>
    <n v="2"/>
    <x v="42"/>
    <n v="33589.72"/>
    <n v="20022.72"/>
  </r>
  <r>
    <x v="72"/>
    <n v="2"/>
    <x v="42"/>
    <n v="1029.79"/>
    <n v="264.55"/>
  </r>
  <r>
    <x v="73"/>
    <n v="2"/>
    <x v="42"/>
    <n v="860.22"/>
    <n v="225.43"/>
  </r>
  <r>
    <x v="74"/>
    <n v="2"/>
    <x v="42"/>
    <n v="897.66"/>
    <n v="228.21"/>
  </r>
  <r>
    <x v="75"/>
    <n v="2"/>
    <x v="42"/>
    <n v="828.44"/>
    <n v="200.36"/>
  </r>
  <r>
    <x v="76"/>
    <n v="2"/>
    <x v="42"/>
    <n v="843"/>
    <n v="195.16"/>
  </r>
  <r>
    <x v="77"/>
    <n v="2"/>
    <x v="42"/>
    <n v="791.27"/>
    <n v="180.07"/>
  </r>
  <r>
    <x v="78"/>
    <n v="2"/>
    <x v="42"/>
    <n v="815.87"/>
    <n v="204.54"/>
  </r>
  <r>
    <x v="79"/>
    <n v="2"/>
    <x v="42"/>
    <n v="942.89"/>
    <n v="421.33"/>
  </r>
  <r>
    <x v="80"/>
    <n v="2"/>
    <x v="42"/>
    <n v="905.96"/>
    <n v="250.28"/>
  </r>
  <r>
    <x v="81"/>
    <n v="2"/>
    <x v="42"/>
    <n v="837.55"/>
    <n v="175.29"/>
  </r>
  <r>
    <x v="82"/>
    <n v="2"/>
    <x v="42"/>
    <n v="1071.1099999999999"/>
    <n v="279.35000000000002"/>
  </r>
  <r>
    <x v="83"/>
    <n v="2"/>
    <x v="42"/>
    <n v="867.64"/>
    <n v="169.59"/>
  </r>
  <r>
    <x v="84"/>
    <n v="2"/>
    <x v="42"/>
    <n v="1232.79"/>
    <n v="322.52999999999997"/>
  </r>
  <r>
    <x v="85"/>
    <n v="2"/>
    <x v="42"/>
    <n v="997.4"/>
    <n v="219.35"/>
  </r>
  <r>
    <x v="86"/>
    <n v="2"/>
    <x v="42"/>
    <n v="1150.74"/>
    <n v="335.73"/>
  </r>
  <r>
    <x v="87"/>
    <n v="2"/>
    <x v="42"/>
    <n v="930.77"/>
    <n v="242.17"/>
  </r>
  <r>
    <x v="88"/>
    <n v="2"/>
    <x v="42"/>
    <n v="962.26"/>
    <n v="233.01"/>
  </r>
  <r>
    <x v="89"/>
    <n v="2"/>
    <x v="42"/>
    <n v="1063.97"/>
    <n v="284.94"/>
  </r>
  <r>
    <x v="90"/>
    <n v="2"/>
    <x v="42"/>
    <n v="855.22"/>
    <n v="163.72"/>
  </r>
  <r>
    <x v="91"/>
    <n v="2"/>
    <x v="42"/>
    <n v="800.37"/>
    <n v="169.67"/>
  </r>
  <r>
    <x v="92"/>
    <n v="2"/>
    <x v="42"/>
    <n v="863.55"/>
    <n v="205.19"/>
  </r>
  <r>
    <x v="93"/>
    <n v="2"/>
    <x v="42"/>
    <n v="1001.93"/>
    <n v="268.04000000000002"/>
  </r>
  <r>
    <x v="94"/>
    <n v="2"/>
    <x v="42"/>
    <n v="896.26"/>
    <n v="172.82"/>
  </r>
  <r>
    <x v="95"/>
    <n v="2"/>
    <x v="42"/>
    <n v="971.24"/>
    <n v="212.8"/>
  </r>
  <r>
    <x v="0"/>
    <n v="2"/>
    <x v="43"/>
    <n v="30824.17"/>
    <n v="21531.73"/>
  </r>
  <r>
    <x v="1"/>
    <n v="2"/>
    <x v="43"/>
    <n v="21063.73"/>
    <n v="13865.53"/>
  </r>
  <r>
    <x v="2"/>
    <n v="2"/>
    <x v="43"/>
    <n v="20619.63"/>
    <n v="13724.09"/>
  </r>
  <r>
    <x v="3"/>
    <n v="2"/>
    <x v="43"/>
    <n v="20079.66"/>
    <n v="13981.53"/>
  </r>
  <r>
    <x v="4"/>
    <n v="2"/>
    <x v="43"/>
    <n v="20002.71"/>
    <n v="13910.5"/>
  </r>
  <r>
    <x v="5"/>
    <n v="2"/>
    <x v="43"/>
    <n v="20927.849999999999"/>
    <n v="14237.73"/>
  </r>
  <r>
    <x v="6"/>
    <n v="2"/>
    <x v="43"/>
    <n v="18797.490000000002"/>
    <n v="12594.43"/>
  </r>
  <r>
    <x v="7"/>
    <n v="2"/>
    <x v="43"/>
    <n v="20997.61"/>
    <n v="14958.67"/>
  </r>
  <r>
    <x v="8"/>
    <n v="2"/>
    <x v="43"/>
    <n v="20059.02"/>
    <n v="14170.34"/>
  </r>
  <r>
    <x v="9"/>
    <n v="2"/>
    <x v="43"/>
    <n v="19358.71"/>
    <n v="13796.28"/>
  </r>
  <r>
    <x v="10"/>
    <n v="2"/>
    <x v="43"/>
    <n v="19674.580000000002"/>
    <n v="13449.91"/>
  </r>
  <r>
    <x v="11"/>
    <n v="2"/>
    <x v="43"/>
    <n v="17891.88"/>
    <n v="21298.51"/>
  </r>
  <r>
    <x v="12"/>
    <n v="2"/>
    <x v="43"/>
    <n v="20174.97"/>
    <n v="9678.32"/>
  </r>
  <r>
    <x v="13"/>
    <n v="2"/>
    <x v="43"/>
    <n v="11909.34"/>
    <n v="6035.57"/>
  </r>
  <r>
    <x v="14"/>
    <n v="2"/>
    <x v="43"/>
    <n v="12825.03"/>
    <n v="6390.03"/>
  </r>
  <r>
    <x v="15"/>
    <n v="2"/>
    <x v="43"/>
    <n v="13012.69"/>
    <n v="6517.32"/>
  </r>
  <r>
    <x v="16"/>
    <n v="2"/>
    <x v="43"/>
    <n v="12630.93"/>
    <n v="6518.98"/>
  </r>
  <r>
    <x v="17"/>
    <n v="2"/>
    <x v="43"/>
    <n v="13062.04"/>
    <n v="6214.34"/>
  </r>
  <r>
    <x v="18"/>
    <n v="2"/>
    <x v="43"/>
    <n v="12217.3"/>
    <n v="5814.14"/>
  </r>
  <r>
    <x v="19"/>
    <n v="2"/>
    <x v="43"/>
    <n v="13434.87"/>
    <n v="6513.96"/>
  </r>
  <r>
    <x v="20"/>
    <n v="2"/>
    <x v="43"/>
    <n v="13645.53"/>
    <n v="6706.5"/>
  </r>
  <r>
    <x v="21"/>
    <n v="2"/>
    <x v="43"/>
    <n v="13237.97"/>
    <n v="6359.97"/>
  </r>
  <r>
    <x v="22"/>
    <n v="2"/>
    <x v="43"/>
    <n v="12643.48"/>
    <n v="5941.21"/>
  </r>
  <r>
    <x v="23"/>
    <n v="2"/>
    <x v="43"/>
    <n v="12679.76"/>
    <n v="5846.9"/>
  </r>
  <r>
    <x v="24"/>
    <n v="2"/>
    <x v="43"/>
    <n v="40625.08"/>
    <n v="25364.15"/>
  </r>
  <r>
    <x v="25"/>
    <n v="2"/>
    <x v="43"/>
    <n v="24661.040000000001"/>
    <n v="14773.31"/>
  </r>
  <r>
    <x v="26"/>
    <n v="2"/>
    <x v="43"/>
    <n v="23565.48"/>
    <n v="14407.51"/>
  </r>
  <r>
    <x v="27"/>
    <n v="2"/>
    <x v="43"/>
    <n v="24183.23"/>
    <n v="15146.17"/>
  </r>
  <r>
    <x v="28"/>
    <n v="2"/>
    <x v="43"/>
    <n v="23149.23"/>
    <n v="14897.72"/>
  </r>
  <r>
    <x v="29"/>
    <n v="2"/>
    <x v="43"/>
    <n v="26323.09"/>
    <n v="15957.37"/>
  </r>
  <r>
    <x v="30"/>
    <n v="2"/>
    <x v="43"/>
    <n v="24438.01"/>
    <n v="15040.39"/>
  </r>
  <r>
    <x v="31"/>
    <n v="2"/>
    <x v="43"/>
    <n v="25822.69"/>
    <n v="16100.2"/>
  </r>
  <r>
    <x v="32"/>
    <n v="2"/>
    <x v="43"/>
    <n v="23119.41"/>
    <n v="14967.11"/>
  </r>
  <r>
    <x v="33"/>
    <n v="2"/>
    <x v="43"/>
    <n v="24298.68"/>
    <n v="14995.06"/>
  </r>
  <r>
    <x v="34"/>
    <n v="2"/>
    <x v="43"/>
    <n v="26923.48"/>
    <n v="16217.95"/>
  </r>
  <r>
    <x v="35"/>
    <n v="2"/>
    <x v="43"/>
    <n v="22679.21"/>
    <n v="14592.22"/>
  </r>
  <r>
    <x v="36"/>
    <n v="2"/>
    <x v="43"/>
    <n v="52635.4"/>
    <n v="30098.27"/>
  </r>
  <r>
    <x v="37"/>
    <n v="2"/>
    <x v="43"/>
    <n v="28173.58"/>
    <n v="16497.490000000002"/>
  </r>
  <r>
    <x v="38"/>
    <n v="2"/>
    <x v="43"/>
    <n v="33191.32"/>
    <n v="19845.21"/>
  </r>
  <r>
    <x v="39"/>
    <n v="2"/>
    <x v="43"/>
    <n v="28198.31"/>
    <n v="17179.669999999998"/>
  </r>
  <r>
    <x v="40"/>
    <n v="2"/>
    <x v="43"/>
    <n v="33203.760000000002"/>
    <n v="20209.259999999998"/>
  </r>
  <r>
    <x v="41"/>
    <n v="2"/>
    <x v="43"/>
    <n v="33661.58"/>
    <n v="19266.349999999999"/>
  </r>
  <r>
    <x v="42"/>
    <n v="2"/>
    <x v="43"/>
    <n v="32830.85"/>
    <n v="19105.169999999998"/>
  </r>
  <r>
    <x v="43"/>
    <n v="2"/>
    <x v="43"/>
    <n v="32060.19"/>
    <n v="19595.34"/>
  </r>
  <r>
    <x v="44"/>
    <n v="2"/>
    <x v="43"/>
    <n v="32822.76"/>
    <n v="20233.37"/>
  </r>
  <r>
    <x v="45"/>
    <n v="2"/>
    <x v="43"/>
    <n v="32844.339999999997"/>
    <n v="19822.419999999998"/>
  </r>
  <r>
    <x v="46"/>
    <n v="2"/>
    <x v="43"/>
    <n v="28785.51"/>
    <n v="17354.87"/>
  </r>
  <r>
    <x v="47"/>
    <n v="2"/>
    <x v="43"/>
    <n v="28140.71"/>
    <n v="16640.93"/>
  </r>
  <r>
    <x v="48"/>
    <n v="2"/>
    <x v="43"/>
    <n v="56932"/>
    <n v="33183.96"/>
  </r>
  <r>
    <x v="49"/>
    <n v="2"/>
    <x v="43"/>
    <n v="32735.72"/>
    <n v="18276.2"/>
  </r>
  <r>
    <x v="50"/>
    <n v="2"/>
    <x v="43"/>
    <n v="31071.9"/>
    <n v="18034.27"/>
  </r>
  <r>
    <x v="51"/>
    <n v="2"/>
    <x v="43"/>
    <n v="30938.75"/>
    <n v="18741.919999999998"/>
  </r>
  <r>
    <x v="52"/>
    <n v="2"/>
    <x v="43"/>
    <n v="30652.400000000001"/>
    <n v="18971.45"/>
  </r>
  <r>
    <x v="53"/>
    <n v="2"/>
    <x v="43"/>
    <n v="32914"/>
    <n v="20327.78"/>
  </r>
  <r>
    <x v="54"/>
    <n v="2"/>
    <x v="43"/>
    <n v="26414.92"/>
    <n v="16178.3"/>
  </r>
  <r>
    <x v="55"/>
    <n v="2"/>
    <x v="43"/>
    <n v="32265.78"/>
    <n v="20198.240000000002"/>
  </r>
  <r>
    <x v="56"/>
    <n v="2"/>
    <x v="43"/>
    <n v="32755.94"/>
    <n v="19602.87"/>
  </r>
  <r>
    <x v="57"/>
    <n v="2"/>
    <x v="43"/>
    <n v="34165.99"/>
    <n v="20608.400000000001"/>
  </r>
  <r>
    <x v="58"/>
    <n v="2"/>
    <x v="43"/>
    <n v="31234.32"/>
    <n v="21587.25"/>
  </r>
  <r>
    <x v="59"/>
    <n v="2"/>
    <x v="43"/>
    <n v="30816.76"/>
    <n v="18459.98"/>
  </r>
  <r>
    <x v="60"/>
    <n v="2"/>
    <x v="43"/>
    <n v="48071.48"/>
    <n v="27747.53"/>
  </r>
  <r>
    <x v="61"/>
    <n v="2"/>
    <x v="43"/>
    <n v="31817.33"/>
    <n v="17846.43"/>
  </r>
  <r>
    <x v="62"/>
    <n v="2"/>
    <x v="43"/>
    <n v="33334.61"/>
    <n v="19587.37"/>
  </r>
  <r>
    <x v="63"/>
    <n v="2"/>
    <x v="43"/>
    <n v="29962.79"/>
    <n v="17941.8"/>
  </r>
  <r>
    <x v="64"/>
    <n v="2"/>
    <x v="43"/>
    <n v="34410.82"/>
    <n v="20755.28"/>
  </r>
  <r>
    <x v="65"/>
    <n v="2"/>
    <x v="43"/>
    <n v="35979.410000000003"/>
    <n v="21167.89"/>
  </r>
  <r>
    <x v="66"/>
    <n v="2"/>
    <x v="43"/>
    <n v="31578.880000000001"/>
    <n v="17987.53"/>
  </r>
  <r>
    <x v="67"/>
    <n v="2"/>
    <x v="43"/>
    <n v="35395.61"/>
    <n v="21018.6"/>
  </r>
  <r>
    <x v="68"/>
    <n v="2"/>
    <x v="43"/>
    <n v="29530.959999999999"/>
    <n v="18402.03"/>
  </r>
  <r>
    <x v="69"/>
    <n v="2"/>
    <x v="43"/>
    <n v="33837.550000000003"/>
    <n v="19794.64"/>
  </r>
  <r>
    <x v="70"/>
    <n v="2"/>
    <x v="43"/>
    <n v="36213.06"/>
    <n v="20350.009999999998"/>
  </r>
  <r>
    <x v="71"/>
    <n v="2"/>
    <x v="43"/>
    <n v="33771.370000000003"/>
    <n v="20118.77"/>
  </r>
  <r>
    <x v="72"/>
    <n v="2"/>
    <x v="43"/>
    <n v="1033.8399999999999"/>
    <n v="265.18"/>
  </r>
  <r>
    <x v="73"/>
    <n v="2"/>
    <x v="43"/>
    <n v="863.28"/>
    <n v="225.93"/>
  </r>
  <r>
    <x v="74"/>
    <n v="2"/>
    <x v="43"/>
    <n v="902.28"/>
    <n v="229.03"/>
  </r>
  <r>
    <x v="75"/>
    <n v="2"/>
    <x v="43"/>
    <n v="831.09"/>
    <n v="200.54"/>
  </r>
  <r>
    <x v="76"/>
    <n v="2"/>
    <x v="43"/>
    <n v="845.68"/>
    <n v="195.2"/>
  </r>
  <r>
    <x v="77"/>
    <n v="2"/>
    <x v="43"/>
    <n v="794.51"/>
    <n v="180.04"/>
  </r>
  <r>
    <x v="78"/>
    <n v="2"/>
    <x v="43"/>
    <n v="817.6"/>
    <n v="204.83"/>
  </r>
  <r>
    <x v="79"/>
    <n v="2"/>
    <x v="43"/>
    <n v="946.08"/>
    <n v="423.48"/>
  </r>
  <r>
    <x v="80"/>
    <n v="2"/>
    <x v="43"/>
    <n v="909.36"/>
    <n v="250.75"/>
  </r>
  <r>
    <x v="81"/>
    <n v="2"/>
    <x v="43"/>
    <n v="840.55"/>
    <n v="175.41"/>
  </r>
  <r>
    <x v="82"/>
    <n v="2"/>
    <x v="43"/>
    <n v="1080.54"/>
    <n v="282.64999999999998"/>
  </r>
  <r>
    <x v="83"/>
    <n v="2"/>
    <x v="43"/>
    <n v="870.3"/>
    <n v="169.51"/>
  </r>
  <r>
    <x v="84"/>
    <n v="2"/>
    <x v="43"/>
    <n v="1235.58"/>
    <n v="322.79000000000002"/>
  </r>
  <r>
    <x v="85"/>
    <n v="2"/>
    <x v="43"/>
    <n v="991.26"/>
    <n v="215.1"/>
  </r>
  <r>
    <x v="86"/>
    <n v="2"/>
    <x v="43"/>
    <n v="1152.28"/>
    <n v="335.94"/>
  </r>
  <r>
    <x v="87"/>
    <n v="2"/>
    <x v="43"/>
    <n v="923.53"/>
    <n v="235.23"/>
  </r>
  <r>
    <x v="88"/>
    <n v="2"/>
    <x v="43"/>
    <n v="964.29"/>
    <n v="232.82"/>
  </r>
  <r>
    <x v="89"/>
    <n v="2"/>
    <x v="43"/>
    <n v="1066.57"/>
    <n v="285.68"/>
  </r>
  <r>
    <x v="90"/>
    <n v="2"/>
    <x v="43"/>
    <n v="858"/>
    <n v="163.72999999999999"/>
  </r>
  <r>
    <x v="91"/>
    <n v="2"/>
    <x v="43"/>
    <n v="803.72"/>
    <n v="169.67"/>
  </r>
  <r>
    <x v="92"/>
    <n v="2"/>
    <x v="43"/>
    <n v="867.08"/>
    <n v="205.23"/>
  </r>
  <r>
    <x v="93"/>
    <n v="2"/>
    <x v="43"/>
    <n v="1003.99"/>
    <n v="268.10000000000002"/>
  </r>
  <r>
    <x v="94"/>
    <n v="2"/>
    <x v="43"/>
    <n v="898.04"/>
    <n v="173.74"/>
  </r>
  <r>
    <x v="95"/>
    <n v="2"/>
    <x v="43"/>
    <n v="974.01"/>
    <n v="212.55"/>
  </r>
  <r>
    <x v="0"/>
    <n v="2"/>
    <x v="44"/>
    <n v="30875.119999999999"/>
    <n v="21581.58"/>
  </r>
  <r>
    <x v="1"/>
    <n v="2"/>
    <x v="44"/>
    <n v="21097.64"/>
    <n v="13888.06"/>
  </r>
  <r>
    <x v="2"/>
    <n v="2"/>
    <x v="44"/>
    <n v="20651.39"/>
    <n v="13747.44"/>
  </r>
  <r>
    <x v="3"/>
    <n v="2"/>
    <x v="44"/>
    <n v="20104.63"/>
    <n v="14003.95"/>
  </r>
  <r>
    <x v="4"/>
    <n v="2"/>
    <x v="44"/>
    <n v="20031.05"/>
    <n v="13930.45"/>
  </r>
  <r>
    <x v="5"/>
    <n v="2"/>
    <x v="44"/>
    <n v="20959.54"/>
    <n v="14260.43"/>
  </r>
  <r>
    <x v="6"/>
    <n v="2"/>
    <x v="44"/>
    <n v="18826.060000000001"/>
    <n v="12614.23"/>
  </r>
  <r>
    <x v="7"/>
    <n v="2"/>
    <x v="44"/>
    <n v="21028.799999999999"/>
    <n v="14983.72"/>
  </r>
  <r>
    <x v="8"/>
    <n v="2"/>
    <x v="44"/>
    <n v="20086.86"/>
    <n v="14191.97"/>
  </r>
  <r>
    <x v="9"/>
    <n v="2"/>
    <x v="44"/>
    <n v="19388.12"/>
    <n v="13820.09"/>
  </r>
  <r>
    <x v="10"/>
    <n v="2"/>
    <x v="44"/>
    <n v="19704.97"/>
    <n v="13473.92"/>
  </r>
  <r>
    <x v="11"/>
    <n v="2"/>
    <x v="44"/>
    <n v="17863.240000000002"/>
    <n v="21589.83"/>
  </r>
  <r>
    <x v="12"/>
    <n v="2"/>
    <x v="44"/>
    <n v="20178.72"/>
    <n v="9683.67"/>
  </r>
  <r>
    <x v="13"/>
    <n v="2"/>
    <x v="44"/>
    <n v="11911.39"/>
    <n v="6039.27"/>
  </r>
  <r>
    <x v="14"/>
    <n v="2"/>
    <x v="44"/>
    <n v="12830.09"/>
    <n v="6394.13"/>
  </r>
  <r>
    <x v="15"/>
    <n v="2"/>
    <x v="44"/>
    <n v="13016.35"/>
    <n v="6521.02"/>
  </r>
  <r>
    <x v="16"/>
    <n v="2"/>
    <x v="44"/>
    <n v="12636.57"/>
    <n v="6522.35"/>
  </r>
  <r>
    <x v="17"/>
    <n v="2"/>
    <x v="44"/>
    <n v="13064.56"/>
    <n v="6215.94"/>
  </r>
  <r>
    <x v="18"/>
    <n v="2"/>
    <x v="44"/>
    <n v="12221.59"/>
    <n v="5816.58"/>
  </r>
  <r>
    <x v="19"/>
    <n v="2"/>
    <x v="44"/>
    <n v="13437.62"/>
    <n v="6515.56"/>
  </r>
  <r>
    <x v="20"/>
    <n v="2"/>
    <x v="44"/>
    <n v="13648.69"/>
    <n v="6707.52"/>
  </r>
  <r>
    <x v="21"/>
    <n v="2"/>
    <x v="44"/>
    <n v="13241.86"/>
    <n v="6361.67"/>
  </r>
  <r>
    <x v="22"/>
    <n v="2"/>
    <x v="44"/>
    <n v="12644"/>
    <n v="5941.87"/>
  </r>
  <r>
    <x v="23"/>
    <n v="2"/>
    <x v="44"/>
    <n v="12681.25"/>
    <n v="5848.1"/>
  </r>
  <r>
    <x v="24"/>
    <n v="2"/>
    <x v="44"/>
    <n v="40692.92"/>
    <n v="25410.92"/>
  </r>
  <r>
    <x v="25"/>
    <n v="2"/>
    <x v="44"/>
    <n v="24704.080000000002"/>
    <n v="14797.48"/>
  </r>
  <r>
    <x v="26"/>
    <n v="2"/>
    <x v="44"/>
    <n v="23613.49"/>
    <n v="14433.55"/>
  </r>
  <r>
    <x v="27"/>
    <n v="2"/>
    <x v="44"/>
    <n v="24228.02"/>
    <n v="15172.94"/>
  </r>
  <r>
    <x v="28"/>
    <n v="2"/>
    <x v="44"/>
    <n v="23188.65"/>
    <n v="14917.83"/>
  </r>
  <r>
    <x v="29"/>
    <n v="2"/>
    <x v="44"/>
    <n v="26370.84"/>
    <n v="15981.46"/>
  </r>
  <r>
    <x v="30"/>
    <n v="2"/>
    <x v="44"/>
    <n v="24485.88"/>
    <n v="15062.01"/>
  </r>
  <r>
    <x v="31"/>
    <n v="2"/>
    <x v="44"/>
    <n v="25868.16"/>
    <n v="16121.49"/>
  </r>
  <r>
    <x v="32"/>
    <n v="2"/>
    <x v="44"/>
    <n v="23154.39"/>
    <n v="14986.59"/>
  </r>
  <r>
    <x v="33"/>
    <n v="2"/>
    <x v="44"/>
    <n v="24340.6"/>
    <n v="15017.21"/>
  </r>
  <r>
    <x v="34"/>
    <n v="2"/>
    <x v="44"/>
    <n v="26973.71"/>
    <n v="16239.2"/>
  </r>
  <r>
    <x v="35"/>
    <n v="2"/>
    <x v="44"/>
    <n v="22718.880000000001"/>
    <n v="14617.58"/>
  </r>
  <r>
    <x v="36"/>
    <n v="2"/>
    <x v="44"/>
    <n v="52792.55"/>
    <n v="30181.5"/>
  </r>
  <r>
    <x v="37"/>
    <n v="2"/>
    <x v="44"/>
    <n v="28254.6"/>
    <n v="16535.97"/>
  </r>
  <r>
    <x v="38"/>
    <n v="2"/>
    <x v="44"/>
    <n v="33293.82"/>
    <n v="19890.490000000002"/>
  </r>
  <r>
    <x v="39"/>
    <n v="2"/>
    <x v="44"/>
    <n v="28288.61"/>
    <n v="17220.05"/>
  </r>
  <r>
    <x v="40"/>
    <n v="2"/>
    <x v="44"/>
    <n v="33307.47"/>
    <n v="20256.599999999999"/>
  </r>
  <r>
    <x v="41"/>
    <n v="2"/>
    <x v="44"/>
    <n v="33772.99"/>
    <n v="19314.27"/>
  </r>
  <r>
    <x v="42"/>
    <n v="2"/>
    <x v="44"/>
    <n v="32925.410000000003"/>
    <n v="19150.439999999999"/>
  </r>
  <r>
    <x v="43"/>
    <n v="2"/>
    <x v="44"/>
    <n v="32154.27"/>
    <n v="19640.22"/>
  </r>
  <r>
    <x v="44"/>
    <n v="2"/>
    <x v="44"/>
    <n v="32916.76"/>
    <n v="20277.990000000002"/>
  </r>
  <r>
    <x v="45"/>
    <n v="2"/>
    <x v="44"/>
    <n v="32954.089999999997"/>
    <n v="19868.490000000002"/>
  </r>
  <r>
    <x v="46"/>
    <n v="2"/>
    <x v="44"/>
    <n v="28874.67"/>
    <n v="17393.939999999999"/>
  </r>
  <r>
    <x v="47"/>
    <n v="2"/>
    <x v="44"/>
    <n v="28224.03"/>
    <n v="16682.75"/>
  </r>
  <r>
    <x v="48"/>
    <n v="2"/>
    <x v="44"/>
    <n v="57108.58"/>
    <n v="33273.96"/>
  </r>
  <r>
    <x v="49"/>
    <n v="2"/>
    <x v="44"/>
    <n v="32832.47"/>
    <n v="18320.62"/>
  </r>
  <r>
    <x v="50"/>
    <n v="2"/>
    <x v="44"/>
    <n v="31167.47"/>
    <n v="18075.810000000001"/>
  </r>
  <r>
    <x v="51"/>
    <n v="2"/>
    <x v="44"/>
    <n v="31031.52"/>
    <n v="18789.259999999998"/>
  </r>
  <r>
    <x v="52"/>
    <n v="2"/>
    <x v="44"/>
    <n v="30749.98"/>
    <n v="19019.89"/>
  </r>
  <r>
    <x v="53"/>
    <n v="2"/>
    <x v="44"/>
    <n v="33015.660000000003"/>
    <n v="20381.14"/>
  </r>
  <r>
    <x v="54"/>
    <n v="2"/>
    <x v="44"/>
    <n v="26497.3"/>
    <n v="16216.98"/>
  </r>
  <r>
    <x v="55"/>
    <n v="2"/>
    <x v="44"/>
    <n v="32366.44"/>
    <n v="20250.53"/>
  </r>
  <r>
    <x v="56"/>
    <n v="2"/>
    <x v="44"/>
    <n v="32848.78"/>
    <n v="19652.349999999999"/>
  </r>
  <r>
    <x v="57"/>
    <n v="2"/>
    <x v="44"/>
    <n v="34267.72"/>
    <n v="20659.650000000001"/>
  </r>
  <r>
    <x v="58"/>
    <n v="2"/>
    <x v="44"/>
    <n v="31307.32"/>
    <n v="21641.91"/>
  </r>
  <r>
    <x v="59"/>
    <n v="2"/>
    <x v="44"/>
    <n v="30906.12"/>
    <n v="18511.47"/>
  </r>
  <r>
    <x v="60"/>
    <n v="2"/>
    <x v="44"/>
    <n v="48211.67"/>
    <n v="27827.47"/>
  </r>
  <r>
    <x v="61"/>
    <n v="2"/>
    <x v="44"/>
    <n v="31910.22"/>
    <n v="17891.14"/>
  </r>
  <r>
    <x v="62"/>
    <n v="2"/>
    <x v="44"/>
    <n v="33432.89"/>
    <n v="19634.63"/>
  </r>
  <r>
    <x v="63"/>
    <n v="2"/>
    <x v="44"/>
    <n v="30050.29"/>
    <n v="17987.91"/>
  </r>
  <r>
    <x v="64"/>
    <n v="2"/>
    <x v="44"/>
    <n v="34512.86"/>
    <n v="20807.259999999998"/>
  </r>
  <r>
    <x v="65"/>
    <n v="2"/>
    <x v="44"/>
    <n v="36080.76"/>
    <n v="21222.81"/>
  </r>
  <r>
    <x v="66"/>
    <n v="2"/>
    <x v="44"/>
    <n v="31675.26"/>
    <n v="18035.53"/>
  </r>
  <r>
    <x v="67"/>
    <n v="2"/>
    <x v="44"/>
    <n v="35507.449999999997"/>
    <n v="21067.39"/>
  </r>
  <r>
    <x v="68"/>
    <n v="2"/>
    <x v="44"/>
    <n v="29615.93"/>
    <n v="18448.77"/>
  </r>
  <r>
    <x v="69"/>
    <n v="2"/>
    <x v="44"/>
    <n v="33947.120000000003"/>
    <n v="19841.86"/>
  </r>
  <r>
    <x v="70"/>
    <n v="2"/>
    <x v="44"/>
    <n v="36317.19"/>
    <n v="20397.54"/>
  </r>
  <r>
    <x v="71"/>
    <n v="2"/>
    <x v="44"/>
    <n v="33872.28"/>
    <n v="20172.099999999999"/>
  </r>
  <r>
    <x v="72"/>
    <n v="2"/>
    <x v="44"/>
    <n v="1036.0899999999999"/>
    <n v="265.45999999999998"/>
  </r>
  <r>
    <x v="73"/>
    <n v="2"/>
    <x v="44"/>
    <n v="864.98"/>
    <n v="226.2"/>
  </r>
  <r>
    <x v="74"/>
    <n v="2"/>
    <x v="44"/>
    <n v="904.87"/>
    <n v="229.39"/>
  </r>
  <r>
    <x v="75"/>
    <n v="2"/>
    <x v="44"/>
    <n v="832.51"/>
    <n v="200.63"/>
  </r>
  <r>
    <x v="76"/>
    <n v="2"/>
    <x v="44"/>
    <n v="847.17"/>
    <n v="195.23"/>
  </r>
  <r>
    <x v="77"/>
    <n v="2"/>
    <x v="44"/>
    <n v="796.32"/>
    <n v="180.02"/>
  </r>
  <r>
    <x v="78"/>
    <n v="2"/>
    <x v="44"/>
    <n v="818.5"/>
    <n v="205"/>
  </r>
  <r>
    <x v="79"/>
    <n v="2"/>
    <x v="44"/>
    <n v="947.85"/>
    <n v="424.46"/>
  </r>
  <r>
    <x v="80"/>
    <n v="2"/>
    <x v="44"/>
    <n v="911.25"/>
    <n v="251"/>
  </r>
  <r>
    <x v="81"/>
    <n v="2"/>
    <x v="44"/>
    <n v="842.22"/>
    <n v="175.47"/>
  </r>
  <r>
    <x v="82"/>
    <n v="2"/>
    <x v="44"/>
    <n v="1085.79"/>
    <n v="284.48"/>
  </r>
  <r>
    <x v="83"/>
    <n v="2"/>
    <x v="44"/>
    <n v="871.52"/>
    <n v="169.46"/>
  </r>
  <r>
    <x v="84"/>
    <n v="2"/>
    <x v="44"/>
    <n v="1237.1400000000001"/>
    <n v="322.93"/>
  </r>
  <r>
    <x v="85"/>
    <n v="2"/>
    <x v="44"/>
    <n v="987.83"/>
    <n v="212.73"/>
  </r>
  <r>
    <x v="86"/>
    <n v="2"/>
    <x v="44"/>
    <n v="1153.1300000000001"/>
    <n v="336.04"/>
  </r>
  <r>
    <x v="87"/>
    <n v="2"/>
    <x v="44"/>
    <n v="919.5"/>
    <n v="231.37"/>
  </r>
  <r>
    <x v="88"/>
    <n v="2"/>
    <x v="44"/>
    <n v="965.22"/>
    <n v="232.7"/>
  </r>
  <r>
    <x v="89"/>
    <n v="2"/>
    <x v="44"/>
    <n v="1068.02"/>
    <n v="286.01"/>
  </r>
  <r>
    <x v="90"/>
    <n v="2"/>
    <x v="44"/>
    <n v="859.55"/>
    <n v="163.74"/>
  </r>
  <r>
    <x v="91"/>
    <n v="2"/>
    <x v="44"/>
    <n v="805.58"/>
    <n v="169.66"/>
  </r>
  <r>
    <x v="92"/>
    <n v="2"/>
    <x v="44"/>
    <n v="869.05"/>
    <n v="205.26"/>
  </r>
  <r>
    <x v="93"/>
    <n v="2"/>
    <x v="44"/>
    <n v="1004.93"/>
    <n v="268.13"/>
  </r>
  <r>
    <x v="94"/>
    <n v="2"/>
    <x v="44"/>
    <n v="899.02"/>
    <n v="174.16"/>
  </r>
  <r>
    <x v="95"/>
    <n v="2"/>
    <x v="44"/>
    <n v="975.5"/>
    <n v="212.4"/>
  </r>
  <r>
    <x v="96"/>
    <m/>
    <x v="45"/>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x v="0"/>
    <x v="0"/>
    <n v="38.93"/>
  </r>
  <r>
    <x v="0"/>
    <x v="1"/>
    <x v="0"/>
    <n v="39.155000000000001"/>
  </r>
  <r>
    <x v="0"/>
    <x v="2"/>
    <x v="0"/>
    <n v="39.120000000000005"/>
  </r>
  <r>
    <x v="0"/>
    <x v="3"/>
    <x v="0"/>
    <n v="36.745000000000005"/>
  </r>
  <r>
    <x v="0"/>
    <x v="4"/>
    <x v="0"/>
    <n v="37.894999999999996"/>
  </r>
  <r>
    <x v="0"/>
    <x v="5"/>
    <x v="0"/>
    <n v="38.120000000000005"/>
  </r>
  <r>
    <x v="0"/>
    <x v="6"/>
    <x v="0"/>
    <n v="35.314999999999998"/>
  </r>
  <r>
    <x v="0"/>
    <x v="7"/>
    <x v="0"/>
    <n v="34.799999999999997"/>
  </r>
  <r>
    <x v="0"/>
    <x v="0"/>
    <x v="1"/>
    <n v="11.280000000000001"/>
  </r>
  <r>
    <x v="0"/>
    <x v="1"/>
    <x v="1"/>
    <n v="22.934999999999999"/>
  </r>
  <r>
    <x v="0"/>
    <x v="2"/>
    <x v="1"/>
    <n v="22.074999999999999"/>
  </r>
  <r>
    <x v="0"/>
    <x v="3"/>
    <x v="1"/>
    <n v="29.174999999999997"/>
  </r>
  <r>
    <x v="0"/>
    <x v="4"/>
    <x v="1"/>
    <n v="28.685000000000002"/>
  </r>
  <r>
    <x v="0"/>
    <x v="5"/>
    <x v="1"/>
    <n v="29.564999999999998"/>
  </r>
  <r>
    <x v="0"/>
    <x v="6"/>
    <x v="1"/>
    <n v="30.5"/>
  </r>
  <r>
    <x v="0"/>
    <x v="7"/>
    <x v="1"/>
    <n v="18.37"/>
  </r>
  <r>
    <x v="1"/>
    <x v="0"/>
    <x v="0"/>
    <n v="35.49"/>
  </r>
  <r>
    <x v="1"/>
    <x v="1"/>
    <x v="0"/>
    <n v="36.19"/>
  </r>
  <r>
    <x v="1"/>
    <x v="2"/>
    <x v="0"/>
    <n v="36"/>
  </r>
  <r>
    <x v="1"/>
    <x v="3"/>
    <x v="0"/>
    <n v="33.295000000000002"/>
  </r>
  <r>
    <x v="1"/>
    <x v="4"/>
    <x v="0"/>
    <n v="33.65"/>
  </r>
  <r>
    <x v="1"/>
    <x v="5"/>
    <x v="0"/>
    <n v="33.51"/>
  </r>
  <r>
    <x v="1"/>
    <x v="6"/>
    <x v="0"/>
    <n v="34.57"/>
  </r>
  <r>
    <x v="1"/>
    <x v="7"/>
    <x v="0"/>
    <n v="33.984999999999999"/>
  </r>
  <r>
    <x v="1"/>
    <x v="0"/>
    <x v="1"/>
    <n v="11.815"/>
  </r>
  <r>
    <x v="1"/>
    <x v="1"/>
    <x v="1"/>
    <n v="23.880000000000003"/>
  </r>
  <r>
    <x v="1"/>
    <x v="2"/>
    <x v="1"/>
    <n v="22.45"/>
  </r>
  <r>
    <x v="1"/>
    <x v="3"/>
    <x v="1"/>
    <n v="28.515000000000001"/>
  </r>
  <r>
    <x v="1"/>
    <x v="4"/>
    <x v="1"/>
    <n v="29.060000000000002"/>
  </r>
  <r>
    <x v="1"/>
    <x v="5"/>
    <x v="1"/>
    <n v="30.375"/>
  </r>
  <r>
    <x v="1"/>
    <x v="6"/>
    <x v="1"/>
    <n v="31.970000000000002"/>
  </r>
  <r>
    <x v="1"/>
    <x v="7"/>
    <x v="1"/>
    <n v="0"/>
  </r>
  <r>
    <x v="2"/>
    <x v="0"/>
    <x v="0"/>
    <n v="40.81"/>
  </r>
  <r>
    <x v="2"/>
    <x v="1"/>
    <x v="0"/>
    <n v="38.094999999999999"/>
  </r>
  <r>
    <x v="2"/>
    <x v="2"/>
    <x v="0"/>
    <n v="41.459999999999994"/>
  </r>
  <r>
    <x v="2"/>
    <x v="3"/>
    <x v="0"/>
    <n v="38.74"/>
  </r>
  <r>
    <x v="2"/>
    <x v="4"/>
    <x v="0"/>
    <n v="35.92"/>
  </r>
  <r>
    <x v="2"/>
    <x v="5"/>
    <x v="0"/>
    <n v="36.685000000000002"/>
  </r>
  <r>
    <x v="2"/>
    <x v="6"/>
    <x v="0"/>
    <n v="36.879999999999995"/>
  </r>
  <r>
    <x v="2"/>
    <x v="7"/>
    <x v="0"/>
    <n v="0"/>
  </r>
  <r>
    <x v="2"/>
    <x v="0"/>
    <x v="1"/>
    <n v="12.484999999999999"/>
  </r>
  <r>
    <x v="2"/>
    <x v="1"/>
    <x v="1"/>
    <n v="22.574999999999999"/>
  </r>
  <r>
    <x v="2"/>
    <x v="2"/>
    <x v="1"/>
    <n v="21.54"/>
  </r>
  <r>
    <x v="2"/>
    <x v="3"/>
    <x v="1"/>
    <n v="28.82"/>
  </r>
  <r>
    <x v="2"/>
    <x v="4"/>
    <x v="1"/>
    <n v="28.225000000000001"/>
  </r>
  <r>
    <x v="2"/>
    <x v="5"/>
    <x v="1"/>
    <n v="29.17"/>
  </r>
  <r>
    <x v="2"/>
    <x v="6"/>
    <x v="1"/>
    <n v="32.340000000000003"/>
  </r>
  <r>
    <x v="2"/>
    <x v="7"/>
    <x v="1"/>
    <n v="37.9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2">
  <r>
    <x v="0"/>
    <s v="A03"/>
    <x v="0"/>
    <s v="Internal Control"/>
    <x v="0"/>
    <x v="0"/>
    <x v="0"/>
  </r>
  <r>
    <x v="0"/>
    <s v="A03"/>
    <x v="0"/>
    <s v="Legionella sp."/>
    <x v="0"/>
    <x v="1"/>
    <x v="1"/>
  </r>
  <r>
    <x v="0"/>
    <s v="A04"/>
    <x v="1"/>
    <s v="Internal Control"/>
    <x v="0"/>
    <x v="0"/>
    <x v="2"/>
  </r>
  <r>
    <x v="0"/>
    <s v="A04"/>
    <x v="1"/>
    <s v="Legionella sp."/>
    <x v="0"/>
    <x v="1"/>
    <x v="3"/>
  </r>
  <r>
    <x v="0"/>
    <s v="A05"/>
    <x v="2"/>
    <s v="Internal Control"/>
    <x v="0"/>
    <x v="0"/>
    <x v="4"/>
  </r>
  <r>
    <x v="0"/>
    <s v="A05"/>
    <x v="2"/>
    <s v="Legionella sp."/>
    <x v="0"/>
    <x v="1"/>
    <x v="5"/>
  </r>
  <r>
    <x v="0"/>
    <s v="A06"/>
    <x v="3"/>
    <s v="Internal Control"/>
    <x v="0"/>
    <x v="0"/>
    <x v="6"/>
  </r>
  <r>
    <x v="0"/>
    <s v="A06"/>
    <x v="3"/>
    <s v="Legionella sp."/>
    <x v="0"/>
    <x v="1"/>
    <x v="7"/>
  </r>
  <r>
    <x v="0"/>
    <s v="A07"/>
    <x v="4"/>
    <s v="Internal Control"/>
    <x v="0"/>
    <x v="0"/>
    <x v="8"/>
  </r>
  <r>
    <x v="0"/>
    <s v="A07"/>
    <x v="4"/>
    <s v="Legionella sp."/>
    <x v="0"/>
    <x v="1"/>
    <x v="8"/>
  </r>
  <r>
    <x v="0"/>
    <s v="A08"/>
    <x v="5"/>
    <s v="Internal Control"/>
    <x v="0"/>
    <x v="0"/>
    <x v="8"/>
  </r>
  <r>
    <x v="0"/>
    <s v="A08"/>
    <x v="5"/>
    <s v="Legionella sp."/>
    <x v="0"/>
    <x v="1"/>
    <x v="8"/>
  </r>
  <r>
    <x v="0"/>
    <s v="A09"/>
    <x v="6"/>
    <s v="Internal Control"/>
    <x v="0"/>
    <x v="0"/>
    <x v="8"/>
  </r>
  <r>
    <x v="0"/>
    <s v="A09"/>
    <x v="6"/>
    <s v="Legionella sp."/>
    <x v="0"/>
    <x v="1"/>
    <x v="9"/>
  </r>
  <r>
    <x v="0"/>
    <s v="A10"/>
    <x v="7"/>
    <s v="Internal Control"/>
    <x v="0"/>
    <x v="0"/>
    <x v="10"/>
  </r>
  <r>
    <x v="0"/>
    <s v="A10"/>
    <x v="7"/>
    <s v="Legionella sp."/>
    <x v="0"/>
    <x v="1"/>
    <x v="8"/>
  </r>
  <r>
    <x v="0"/>
    <s v="B03"/>
    <x v="0"/>
    <s v="Internal Control"/>
    <x v="1"/>
    <x v="0"/>
    <x v="11"/>
  </r>
  <r>
    <x v="0"/>
    <s v="B03"/>
    <x v="0"/>
    <s v="Legionella sp."/>
    <x v="1"/>
    <x v="1"/>
    <x v="12"/>
  </r>
  <r>
    <x v="0"/>
    <s v="B04"/>
    <x v="1"/>
    <s v="Internal Control"/>
    <x v="1"/>
    <x v="0"/>
    <x v="13"/>
  </r>
  <r>
    <x v="0"/>
    <s v="B04"/>
    <x v="1"/>
    <s v="Legionella sp."/>
    <x v="1"/>
    <x v="1"/>
    <x v="14"/>
  </r>
  <r>
    <x v="0"/>
    <s v="B05"/>
    <x v="2"/>
    <s v="Internal Control"/>
    <x v="1"/>
    <x v="0"/>
    <x v="15"/>
  </r>
  <r>
    <x v="0"/>
    <s v="B05"/>
    <x v="2"/>
    <s v="Legionella sp."/>
    <x v="1"/>
    <x v="1"/>
    <x v="16"/>
  </r>
  <r>
    <x v="0"/>
    <s v="B06"/>
    <x v="3"/>
    <s v="Internal Control"/>
    <x v="1"/>
    <x v="0"/>
    <x v="17"/>
  </r>
  <r>
    <x v="0"/>
    <s v="B06"/>
    <x v="3"/>
    <s v="Legionella sp."/>
    <x v="1"/>
    <x v="1"/>
    <x v="18"/>
  </r>
  <r>
    <x v="0"/>
    <s v="B07"/>
    <x v="4"/>
    <s v="Internal Control"/>
    <x v="1"/>
    <x v="0"/>
    <x v="19"/>
  </r>
  <r>
    <x v="0"/>
    <s v="B07"/>
    <x v="4"/>
    <s v="Legionella sp."/>
    <x v="1"/>
    <x v="1"/>
    <x v="8"/>
  </r>
  <r>
    <x v="0"/>
    <s v="B08"/>
    <x v="5"/>
    <s v="Internal Control"/>
    <x v="1"/>
    <x v="0"/>
    <x v="20"/>
  </r>
  <r>
    <x v="0"/>
    <s v="B08"/>
    <x v="5"/>
    <s v="Legionella sp."/>
    <x v="1"/>
    <x v="1"/>
    <x v="8"/>
  </r>
  <r>
    <x v="0"/>
    <s v="B09"/>
    <x v="6"/>
    <s v="Internal Control"/>
    <x v="1"/>
    <x v="0"/>
    <x v="21"/>
  </r>
  <r>
    <x v="0"/>
    <s v="B09"/>
    <x v="6"/>
    <s v="Legionella sp."/>
    <x v="1"/>
    <x v="1"/>
    <x v="22"/>
  </r>
  <r>
    <x v="0"/>
    <s v="B10"/>
    <x v="7"/>
    <s v="Internal Control"/>
    <x v="1"/>
    <x v="0"/>
    <x v="23"/>
  </r>
  <r>
    <x v="0"/>
    <s v="B10"/>
    <x v="7"/>
    <s v="Legionella sp."/>
    <x v="1"/>
    <x v="1"/>
    <x v="8"/>
  </r>
  <r>
    <x v="0"/>
    <s v="C03"/>
    <x v="0"/>
    <s v="Internal Control"/>
    <x v="0"/>
    <x v="0"/>
    <x v="8"/>
  </r>
  <r>
    <x v="0"/>
    <s v="C03"/>
    <x v="0"/>
    <s v="Legionella sp."/>
    <x v="0"/>
    <x v="1"/>
    <x v="24"/>
  </r>
  <r>
    <x v="0"/>
    <s v="C04"/>
    <x v="1"/>
    <s v="Internal Control"/>
    <x v="0"/>
    <x v="0"/>
    <x v="25"/>
  </r>
  <r>
    <x v="0"/>
    <s v="C04"/>
    <x v="1"/>
    <s v="Legionella sp."/>
    <x v="0"/>
    <x v="1"/>
    <x v="26"/>
  </r>
  <r>
    <x v="0"/>
    <s v="C05"/>
    <x v="2"/>
    <s v="Internal Control"/>
    <x v="0"/>
    <x v="0"/>
    <x v="27"/>
  </r>
  <r>
    <x v="0"/>
    <s v="C05"/>
    <x v="2"/>
    <s v="Legionella sp."/>
    <x v="0"/>
    <x v="1"/>
    <x v="28"/>
  </r>
  <r>
    <x v="0"/>
    <s v="C06"/>
    <x v="3"/>
    <s v="Internal Control"/>
    <x v="0"/>
    <x v="0"/>
    <x v="29"/>
  </r>
  <r>
    <x v="0"/>
    <s v="C06"/>
    <x v="3"/>
    <s v="Legionella sp."/>
    <x v="0"/>
    <x v="1"/>
    <x v="30"/>
  </r>
  <r>
    <x v="0"/>
    <s v="C07"/>
    <x v="4"/>
    <s v="Internal Control"/>
    <x v="0"/>
    <x v="0"/>
    <x v="8"/>
  </r>
  <r>
    <x v="0"/>
    <s v="C07"/>
    <x v="4"/>
    <s v="Legionella sp."/>
    <x v="0"/>
    <x v="1"/>
    <x v="8"/>
  </r>
  <r>
    <x v="0"/>
    <s v="C08"/>
    <x v="5"/>
    <s v="Internal Control"/>
    <x v="0"/>
    <x v="0"/>
    <x v="8"/>
  </r>
  <r>
    <x v="0"/>
    <s v="C08"/>
    <x v="5"/>
    <s v="Legionella sp."/>
    <x v="0"/>
    <x v="1"/>
    <x v="8"/>
  </r>
  <r>
    <x v="0"/>
    <s v="C09"/>
    <x v="6"/>
    <s v="Internal Control"/>
    <x v="0"/>
    <x v="0"/>
    <x v="31"/>
  </r>
  <r>
    <x v="0"/>
    <s v="C09"/>
    <x v="6"/>
    <s v="Legionella sp."/>
    <x v="0"/>
    <x v="1"/>
    <x v="32"/>
  </r>
  <r>
    <x v="0"/>
    <s v="C10"/>
    <x v="7"/>
    <s v="Internal Control"/>
    <x v="0"/>
    <x v="0"/>
    <x v="8"/>
  </r>
  <r>
    <x v="0"/>
    <s v="C10"/>
    <x v="7"/>
    <s v="Legionella sp."/>
    <x v="0"/>
    <x v="1"/>
    <x v="8"/>
  </r>
  <r>
    <x v="0"/>
    <s v="D03"/>
    <x v="0"/>
    <s v="Internal Control"/>
    <x v="1"/>
    <x v="0"/>
    <x v="33"/>
  </r>
  <r>
    <x v="0"/>
    <s v="D03"/>
    <x v="0"/>
    <s v="Legionella sp."/>
    <x v="1"/>
    <x v="1"/>
    <x v="34"/>
  </r>
  <r>
    <x v="0"/>
    <s v="D04"/>
    <x v="1"/>
    <s v="Internal Control"/>
    <x v="1"/>
    <x v="0"/>
    <x v="35"/>
  </r>
  <r>
    <x v="0"/>
    <s v="D04"/>
    <x v="1"/>
    <s v="Legionella sp."/>
    <x v="1"/>
    <x v="1"/>
    <x v="36"/>
  </r>
  <r>
    <x v="0"/>
    <s v="D05"/>
    <x v="2"/>
    <s v="Internal Control"/>
    <x v="1"/>
    <x v="0"/>
    <x v="37"/>
  </r>
  <r>
    <x v="0"/>
    <s v="D05"/>
    <x v="2"/>
    <s v="Legionella sp."/>
    <x v="1"/>
    <x v="1"/>
    <x v="38"/>
  </r>
  <r>
    <x v="0"/>
    <s v="D06"/>
    <x v="3"/>
    <s v="Internal Control"/>
    <x v="1"/>
    <x v="0"/>
    <x v="39"/>
  </r>
  <r>
    <x v="0"/>
    <s v="D06"/>
    <x v="3"/>
    <s v="Legionella sp."/>
    <x v="1"/>
    <x v="1"/>
    <x v="40"/>
  </r>
  <r>
    <x v="0"/>
    <s v="D07"/>
    <x v="4"/>
    <s v="Internal Control"/>
    <x v="1"/>
    <x v="0"/>
    <x v="41"/>
  </r>
  <r>
    <x v="0"/>
    <s v="D07"/>
    <x v="4"/>
    <s v="Legionella sp."/>
    <x v="1"/>
    <x v="1"/>
    <x v="42"/>
  </r>
  <r>
    <x v="0"/>
    <s v="D08"/>
    <x v="5"/>
    <s v="Internal Control"/>
    <x v="1"/>
    <x v="0"/>
    <x v="43"/>
  </r>
  <r>
    <x v="0"/>
    <s v="D08"/>
    <x v="5"/>
    <s v="Legionella sp."/>
    <x v="1"/>
    <x v="1"/>
    <x v="8"/>
  </r>
  <r>
    <x v="0"/>
    <s v="D09"/>
    <x v="6"/>
    <s v="Internal Control"/>
    <x v="1"/>
    <x v="0"/>
    <x v="44"/>
  </r>
  <r>
    <x v="0"/>
    <s v="D09"/>
    <x v="6"/>
    <s v="Legionella sp."/>
    <x v="1"/>
    <x v="1"/>
    <x v="45"/>
  </r>
  <r>
    <x v="0"/>
    <s v="D10"/>
    <x v="7"/>
    <s v="Internal Control"/>
    <x v="1"/>
    <x v="0"/>
    <x v="46"/>
  </r>
  <r>
    <x v="0"/>
    <s v="D10"/>
    <x v="7"/>
    <s v="Legionella sp."/>
    <x v="1"/>
    <x v="1"/>
    <x v="8"/>
  </r>
  <r>
    <x v="0"/>
    <s v="E03"/>
    <x v="0"/>
    <s v="Internal Control"/>
    <x v="0"/>
    <x v="0"/>
    <x v="47"/>
  </r>
  <r>
    <x v="0"/>
    <s v="E03"/>
    <x v="0"/>
    <s v="Legionella sp."/>
    <x v="0"/>
    <x v="1"/>
    <x v="48"/>
  </r>
  <r>
    <x v="0"/>
    <s v="E04"/>
    <x v="1"/>
    <s v="Internal Control"/>
    <x v="0"/>
    <x v="0"/>
    <x v="49"/>
  </r>
  <r>
    <x v="0"/>
    <s v="E04"/>
    <x v="1"/>
    <s v="Legionella sp."/>
    <x v="0"/>
    <x v="1"/>
    <x v="50"/>
  </r>
  <r>
    <x v="0"/>
    <s v="E05"/>
    <x v="2"/>
    <s v="Internal Control"/>
    <x v="0"/>
    <x v="0"/>
    <x v="51"/>
  </r>
  <r>
    <x v="0"/>
    <s v="E05"/>
    <x v="2"/>
    <s v="Legionella sp."/>
    <x v="0"/>
    <x v="1"/>
    <x v="52"/>
  </r>
  <r>
    <x v="0"/>
    <s v="E06"/>
    <x v="3"/>
    <s v="Internal Control"/>
    <x v="0"/>
    <x v="0"/>
    <x v="53"/>
  </r>
  <r>
    <x v="0"/>
    <s v="E06"/>
    <x v="3"/>
    <s v="Legionella sp."/>
    <x v="0"/>
    <x v="1"/>
    <x v="54"/>
  </r>
  <r>
    <x v="0"/>
    <s v="E07"/>
    <x v="4"/>
    <s v="Internal Control"/>
    <x v="0"/>
    <x v="0"/>
    <x v="55"/>
  </r>
  <r>
    <x v="0"/>
    <s v="E07"/>
    <x v="4"/>
    <s v="Legionella sp."/>
    <x v="0"/>
    <x v="1"/>
    <x v="8"/>
  </r>
  <r>
    <x v="0"/>
    <s v="E08"/>
    <x v="5"/>
    <s v="Internal Control"/>
    <x v="0"/>
    <x v="0"/>
    <x v="56"/>
  </r>
  <r>
    <x v="0"/>
    <s v="E08"/>
    <x v="5"/>
    <s v="Legionella sp."/>
    <x v="0"/>
    <x v="1"/>
    <x v="8"/>
  </r>
  <r>
    <x v="0"/>
    <s v="E09"/>
    <x v="6"/>
    <s v="Internal Control"/>
    <x v="0"/>
    <x v="0"/>
    <x v="57"/>
  </r>
  <r>
    <x v="0"/>
    <s v="E09"/>
    <x v="6"/>
    <s v="Legionella sp."/>
    <x v="0"/>
    <x v="1"/>
    <x v="58"/>
  </r>
  <r>
    <x v="0"/>
    <s v="E10"/>
    <x v="7"/>
    <s v="Internal Control"/>
    <x v="0"/>
    <x v="0"/>
    <x v="8"/>
  </r>
  <r>
    <x v="0"/>
    <s v="E10"/>
    <x v="7"/>
    <s v="Legionella sp."/>
    <x v="0"/>
    <x v="1"/>
    <x v="8"/>
  </r>
  <r>
    <x v="0"/>
    <s v="F03"/>
    <x v="0"/>
    <s v="Internal Control"/>
    <x v="1"/>
    <x v="0"/>
    <x v="59"/>
  </r>
  <r>
    <x v="0"/>
    <s v="F03"/>
    <x v="0"/>
    <s v="Legionella sp."/>
    <x v="1"/>
    <x v="1"/>
    <x v="60"/>
  </r>
  <r>
    <x v="0"/>
    <s v="F04"/>
    <x v="1"/>
    <s v="Internal Control"/>
    <x v="1"/>
    <x v="0"/>
    <x v="61"/>
  </r>
  <r>
    <x v="0"/>
    <s v="F04"/>
    <x v="1"/>
    <s v="Legionella sp."/>
    <x v="1"/>
    <x v="1"/>
    <x v="62"/>
  </r>
  <r>
    <x v="0"/>
    <s v="F05"/>
    <x v="2"/>
    <s v="Internal Control"/>
    <x v="1"/>
    <x v="0"/>
    <x v="63"/>
  </r>
  <r>
    <x v="0"/>
    <s v="F05"/>
    <x v="2"/>
    <s v="Legionella sp."/>
    <x v="1"/>
    <x v="1"/>
    <x v="64"/>
  </r>
  <r>
    <x v="0"/>
    <s v="F06"/>
    <x v="3"/>
    <s v="Internal Control"/>
    <x v="1"/>
    <x v="0"/>
    <x v="65"/>
  </r>
  <r>
    <x v="0"/>
    <s v="F06"/>
    <x v="3"/>
    <s v="Legionella sp."/>
    <x v="1"/>
    <x v="1"/>
    <x v="66"/>
  </r>
  <r>
    <x v="0"/>
    <s v="F07"/>
    <x v="4"/>
    <s v="Internal Control"/>
    <x v="1"/>
    <x v="0"/>
    <x v="67"/>
  </r>
  <r>
    <x v="0"/>
    <s v="F07"/>
    <x v="4"/>
    <s v="Legionella sp."/>
    <x v="1"/>
    <x v="1"/>
    <x v="8"/>
  </r>
  <r>
    <x v="0"/>
    <s v="F08"/>
    <x v="5"/>
    <s v="Internal Control"/>
    <x v="1"/>
    <x v="0"/>
    <x v="41"/>
  </r>
  <r>
    <x v="0"/>
    <s v="F08"/>
    <x v="5"/>
    <s v="Legionella sp."/>
    <x v="1"/>
    <x v="1"/>
    <x v="68"/>
  </r>
  <r>
    <x v="0"/>
    <s v="F09"/>
    <x v="6"/>
    <s v="Internal Control"/>
    <x v="1"/>
    <x v="0"/>
    <x v="69"/>
  </r>
  <r>
    <x v="0"/>
    <s v="F09"/>
    <x v="6"/>
    <s v="Legionella sp."/>
    <x v="1"/>
    <x v="1"/>
    <x v="70"/>
  </r>
  <r>
    <x v="0"/>
    <s v="F10"/>
    <x v="7"/>
    <s v="Internal Control"/>
    <x v="1"/>
    <x v="0"/>
    <x v="71"/>
  </r>
  <r>
    <x v="0"/>
    <s v="F10"/>
    <x v="7"/>
    <s v="Legionella sp."/>
    <x v="1"/>
    <x v="1"/>
    <x v="8"/>
  </r>
  <r>
    <x v="0"/>
    <s v="G03"/>
    <x v="0"/>
    <s v="Internal Control"/>
    <x v="0"/>
    <x v="0"/>
    <x v="72"/>
  </r>
  <r>
    <x v="0"/>
    <s v="G03"/>
    <x v="0"/>
    <s v="Legionella sp."/>
    <x v="0"/>
    <x v="1"/>
    <x v="73"/>
  </r>
  <r>
    <x v="0"/>
    <s v="G04"/>
    <x v="1"/>
    <s v="Internal Control"/>
    <x v="0"/>
    <x v="0"/>
    <x v="74"/>
  </r>
  <r>
    <x v="0"/>
    <s v="G04"/>
    <x v="1"/>
    <s v="Legionella sp."/>
    <x v="0"/>
    <x v="1"/>
    <x v="75"/>
  </r>
  <r>
    <x v="0"/>
    <s v="G05"/>
    <x v="2"/>
    <s v="Internal Control"/>
    <x v="0"/>
    <x v="0"/>
    <x v="76"/>
  </r>
  <r>
    <x v="0"/>
    <s v="G05"/>
    <x v="2"/>
    <s v="Legionella sp."/>
    <x v="0"/>
    <x v="1"/>
    <x v="77"/>
  </r>
  <r>
    <x v="0"/>
    <s v="G06"/>
    <x v="3"/>
    <s v="Internal Control"/>
    <x v="0"/>
    <x v="0"/>
    <x v="78"/>
  </r>
  <r>
    <x v="0"/>
    <s v="G06"/>
    <x v="3"/>
    <s v="Legionella sp."/>
    <x v="0"/>
    <x v="1"/>
    <x v="7"/>
  </r>
  <r>
    <x v="0"/>
    <s v="G07"/>
    <x v="4"/>
    <s v="Internal Control"/>
    <x v="0"/>
    <x v="0"/>
    <x v="79"/>
  </r>
  <r>
    <x v="0"/>
    <s v="G07"/>
    <x v="4"/>
    <s v="Legionella sp."/>
    <x v="0"/>
    <x v="1"/>
    <x v="8"/>
  </r>
  <r>
    <x v="0"/>
    <s v="G08"/>
    <x v="5"/>
    <s v="Internal Control"/>
    <x v="0"/>
    <x v="0"/>
    <x v="80"/>
  </r>
  <r>
    <x v="0"/>
    <s v="G08"/>
    <x v="5"/>
    <s v="Legionella sp."/>
    <x v="0"/>
    <x v="1"/>
    <x v="8"/>
  </r>
  <r>
    <x v="0"/>
    <s v="G09"/>
    <x v="6"/>
    <s v="Internal Control"/>
    <x v="0"/>
    <x v="0"/>
    <x v="8"/>
  </r>
  <r>
    <x v="0"/>
    <s v="G09"/>
    <x v="6"/>
    <s v="Legionella sp."/>
    <x v="0"/>
    <x v="1"/>
    <x v="81"/>
  </r>
  <r>
    <x v="0"/>
    <s v="G10"/>
    <x v="7"/>
    <s v="Internal Control"/>
    <x v="0"/>
    <x v="0"/>
    <x v="82"/>
  </r>
  <r>
    <x v="0"/>
    <s v="G10"/>
    <x v="7"/>
    <s v="Legionella sp."/>
    <x v="0"/>
    <x v="1"/>
    <x v="8"/>
  </r>
  <r>
    <x v="0"/>
    <s v="H03"/>
    <x v="0"/>
    <s v="Internal Control"/>
    <x v="1"/>
    <x v="0"/>
    <x v="83"/>
  </r>
  <r>
    <x v="0"/>
    <s v="H03"/>
    <x v="0"/>
    <s v="Legionella sp."/>
    <x v="1"/>
    <x v="1"/>
    <x v="84"/>
  </r>
  <r>
    <x v="0"/>
    <s v="H04"/>
    <x v="1"/>
    <s v="Internal Control"/>
    <x v="1"/>
    <x v="0"/>
    <x v="85"/>
  </r>
  <r>
    <x v="0"/>
    <s v="H04"/>
    <x v="1"/>
    <s v="Legionella sp."/>
    <x v="1"/>
    <x v="1"/>
    <x v="86"/>
  </r>
  <r>
    <x v="0"/>
    <s v="H05"/>
    <x v="2"/>
    <s v="Internal Control"/>
    <x v="1"/>
    <x v="0"/>
    <x v="87"/>
  </r>
  <r>
    <x v="0"/>
    <s v="H05"/>
    <x v="2"/>
    <s v="Legionella sp."/>
    <x v="1"/>
    <x v="1"/>
    <x v="88"/>
  </r>
  <r>
    <x v="0"/>
    <s v="H06"/>
    <x v="3"/>
    <s v="Internal Control"/>
    <x v="1"/>
    <x v="0"/>
    <x v="89"/>
  </r>
  <r>
    <x v="0"/>
    <s v="H06"/>
    <x v="3"/>
    <s v="Legionella sp."/>
    <x v="1"/>
    <x v="1"/>
    <x v="90"/>
  </r>
  <r>
    <x v="0"/>
    <s v="H07"/>
    <x v="4"/>
    <s v="Internal Control"/>
    <x v="1"/>
    <x v="0"/>
    <x v="91"/>
  </r>
  <r>
    <x v="0"/>
    <s v="H07"/>
    <x v="4"/>
    <s v="Legionella sp."/>
    <x v="1"/>
    <x v="1"/>
    <x v="8"/>
  </r>
  <r>
    <x v="0"/>
    <s v="H08"/>
    <x v="5"/>
    <s v="Internal Control"/>
    <x v="1"/>
    <x v="0"/>
    <x v="92"/>
  </r>
  <r>
    <x v="0"/>
    <s v="H08"/>
    <x v="5"/>
    <s v="Legionella sp."/>
    <x v="1"/>
    <x v="1"/>
    <x v="93"/>
  </r>
  <r>
    <x v="0"/>
    <s v="H09"/>
    <x v="6"/>
    <s v="Internal Control"/>
    <x v="1"/>
    <x v="0"/>
    <x v="94"/>
  </r>
  <r>
    <x v="0"/>
    <s v="H09"/>
    <x v="6"/>
    <s v="Legionella sp."/>
    <x v="1"/>
    <x v="1"/>
    <x v="95"/>
  </r>
  <r>
    <x v="0"/>
    <s v="H10"/>
    <x v="7"/>
    <s v="Internal Control"/>
    <x v="1"/>
    <x v="0"/>
    <x v="96"/>
  </r>
  <r>
    <x v="0"/>
    <s v="H10"/>
    <x v="7"/>
    <s v="Legionella sp."/>
    <x v="1"/>
    <x v="1"/>
    <x v="8"/>
  </r>
  <r>
    <x v="1"/>
    <s v="A01"/>
    <x v="0"/>
    <s v="Internal Control"/>
    <x v="0"/>
    <x v="0"/>
    <x v="97"/>
  </r>
  <r>
    <x v="1"/>
    <s v="A01"/>
    <x v="0"/>
    <s v="Legionella sp"/>
    <x v="0"/>
    <x v="1"/>
    <x v="98"/>
  </r>
  <r>
    <x v="1"/>
    <s v="A02"/>
    <x v="1"/>
    <s v="Internal Control"/>
    <x v="0"/>
    <x v="0"/>
    <x v="99"/>
  </r>
  <r>
    <x v="1"/>
    <s v="A02"/>
    <x v="1"/>
    <s v="Legionella sp"/>
    <x v="0"/>
    <x v="1"/>
    <x v="100"/>
  </r>
  <r>
    <x v="1"/>
    <s v="A03"/>
    <x v="2"/>
    <s v="Internal Control"/>
    <x v="0"/>
    <x v="0"/>
    <x v="101"/>
  </r>
  <r>
    <x v="1"/>
    <s v="A03"/>
    <x v="2"/>
    <s v="Legionella sp"/>
    <x v="0"/>
    <x v="1"/>
    <x v="102"/>
  </r>
  <r>
    <x v="1"/>
    <s v="A04"/>
    <x v="3"/>
    <s v="Internal Control"/>
    <x v="0"/>
    <x v="0"/>
    <x v="103"/>
  </r>
  <r>
    <x v="1"/>
    <s v="A04"/>
    <x v="3"/>
    <s v="Legionella sp"/>
    <x v="0"/>
    <x v="1"/>
    <x v="104"/>
  </r>
  <r>
    <x v="1"/>
    <s v="A05"/>
    <x v="4"/>
    <s v="Internal Control"/>
    <x v="0"/>
    <x v="0"/>
    <x v="105"/>
  </r>
  <r>
    <x v="1"/>
    <s v="A05"/>
    <x v="4"/>
    <s v="Legionella sp"/>
    <x v="0"/>
    <x v="1"/>
    <x v="106"/>
  </r>
  <r>
    <x v="1"/>
    <s v="A06"/>
    <x v="5"/>
    <s v="Internal Control"/>
    <x v="0"/>
    <x v="0"/>
    <x v="107"/>
  </r>
  <r>
    <x v="1"/>
    <s v="A06"/>
    <x v="5"/>
    <s v="Legionella sp"/>
    <x v="0"/>
    <x v="1"/>
    <x v="8"/>
  </r>
  <r>
    <x v="1"/>
    <s v="A07"/>
    <x v="6"/>
    <s v="Internal Control"/>
    <x v="0"/>
    <x v="0"/>
    <x v="51"/>
  </r>
  <r>
    <x v="1"/>
    <s v="A07"/>
    <x v="6"/>
    <s v="Legionella sp"/>
    <x v="0"/>
    <x v="1"/>
    <x v="108"/>
  </r>
  <r>
    <x v="1"/>
    <s v="A08"/>
    <x v="7"/>
    <s v="Internal Control"/>
    <x v="0"/>
    <x v="0"/>
    <x v="109"/>
  </r>
  <r>
    <x v="1"/>
    <s v="A08"/>
    <x v="7"/>
    <s v="Legionella sp"/>
    <x v="0"/>
    <x v="1"/>
    <x v="8"/>
  </r>
  <r>
    <x v="1"/>
    <s v="B01"/>
    <x v="0"/>
    <s v="Internal Control"/>
    <x v="1"/>
    <x v="0"/>
    <x v="110"/>
  </r>
  <r>
    <x v="1"/>
    <s v="B01"/>
    <x v="0"/>
    <s v="Legionella sp"/>
    <x v="1"/>
    <x v="1"/>
    <x v="111"/>
  </r>
  <r>
    <x v="1"/>
    <s v="B02"/>
    <x v="1"/>
    <s v="Internal Control"/>
    <x v="1"/>
    <x v="0"/>
    <x v="112"/>
  </r>
  <r>
    <x v="1"/>
    <s v="B02"/>
    <x v="1"/>
    <s v="Legionella sp"/>
    <x v="1"/>
    <x v="1"/>
    <x v="113"/>
  </r>
  <r>
    <x v="1"/>
    <s v="B03"/>
    <x v="2"/>
    <s v="Internal Control"/>
    <x v="1"/>
    <x v="0"/>
    <x v="114"/>
  </r>
  <r>
    <x v="1"/>
    <s v="B03"/>
    <x v="2"/>
    <s v="Legionella sp"/>
    <x v="1"/>
    <x v="1"/>
    <x v="115"/>
  </r>
  <r>
    <x v="1"/>
    <s v="B04"/>
    <x v="3"/>
    <s v="Internal Control"/>
    <x v="1"/>
    <x v="0"/>
    <x v="116"/>
  </r>
  <r>
    <x v="1"/>
    <s v="B04"/>
    <x v="3"/>
    <s v="Legionella sp"/>
    <x v="1"/>
    <x v="1"/>
    <x v="117"/>
  </r>
  <r>
    <x v="1"/>
    <s v="B05"/>
    <x v="4"/>
    <s v="Internal Control"/>
    <x v="1"/>
    <x v="0"/>
    <x v="118"/>
  </r>
  <r>
    <x v="1"/>
    <s v="B05"/>
    <x v="4"/>
    <s v="Legionella sp"/>
    <x v="1"/>
    <x v="1"/>
    <x v="119"/>
  </r>
  <r>
    <x v="1"/>
    <s v="B06"/>
    <x v="5"/>
    <s v="Internal Control"/>
    <x v="1"/>
    <x v="0"/>
    <x v="120"/>
  </r>
  <r>
    <x v="1"/>
    <s v="B06"/>
    <x v="5"/>
    <s v="Legionella sp"/>
    <x v="1"/>
    <x v="1"/>
    <x v="121"/>
  </r>
  <r>
    <x v="1"/>
    <s v="B07"/>
    <x v="6"/>
    <s v="Internal Control"/>
    <x v="1"/>
    <x v="0"/>
    <x v="122"/>
  </r>
  <r>
    <x v="1"/>
    <s v="B07"/>
    <x v="6"/>
    <s v="Legionella sp"/>
    <x v="1"/>
    <x v="1"/>
    <x v="123"/>
  </r>
  <r>
    <x v="1"/>
    <s v="B08"/>
    <x v="7"/>
    <s v="Internal Control"/>
    <x v="1"/>
    <x v="0"/>
    <x v="124"/>
  </r>
  <r>
    <x v="1"/>
    <s v="B08"/>
    <x v="7"/>
    <s v="Legionella sp"/>
    <x v="1"/>
    <x v="1"/>
    <x v="125"/>
  </r>
  <r>
    <x v="2"/>
    <s v="A1-1"/>
    <x v="0"/>
    <s v=" Legionella sp."/>
    <x v="0"/>
    <x v="1"/>
    <x v="126"/>
  </r>
  <r>
    <x v="2"/>
    <s v="A1-4"/>
    <x v="0"/>
    <s v=" Internal Control"/>
    <x v="0"/>
    <x v="0"/>
    <x v="127"/>
  </r>
  <r>
    <x v="2"/>
    <s v="A2-1"/>
    <x v="1"/>
    <s v=" Legionella sp."/>
    <x v="0"/>
    <x v="1"/>
    <x v="128"/>
  </r>
  <r>
    <x v="2"/>
    <s v="A2-4"/>
    <x v="1"/>
    <s v=" Internal Control"/>
    <x v="0"/>
    <x v="0"/>
    <x v="129"/>
  </r>
  <r>
    <x v="2"/>
    <s v="A3-1"/>
    <x v="2"/>
    <s v=" Legionella sp."/>
    <x v="0"/>
    <x v="1"/>
    <x v="130"/>
  </r>
  <r>
    <x v="2"/>
    <s v="A3-4"/>
    <x v="2"/>
    <s v=" Internal Control"/>
    <x v="0"/>
    <x v="0"/>
    <x v="131"/>
  </r>
  <r>
    <x v="2"/>
    <s v="A4-1"/>
    <x v="3"/>
    <s v=" Legionella sp."/>
    <x v="0"/>
    <x v="1"/>
    <x v="132"/>
  </r>
  <r>
    <x v="2"/>
    <s v="A4-4"/>
    <x v="3"/>
    <s v=" Internal Control"/>
    <x v="0"/>
    <x v="0"/>
    <x v="127"/>
  </r>
  <r>
    <x v="2"/>
    <s v="A5-1"/>
    <x v="4"/>
    <s v=" Legionella sp."/>
    <x v="0"/>
    <x v="1"/>
    <x v="127"/>
  </r>
  <r>
    <x v="2"/>
    <s v="A5-4"/>
    <x v="4"/>
    <s v=" Internal Control"/>
    <x v="0"/>
    <x v="0"/>
    <x v="127"/>
  </r>
  <r>
    <x v="2"/>
    <s v="A6-1"/>
    <x v="5"/>
    <s v=" Legionella sp."/>
    <x v="0"/>
    <x v="1"/>
    <x v="127"/>
  </r>
  <r>
    <x v="2"/>
    <s v="A6-4"/>
    <x v="5"/>
    <s v=" Internal Control"/>
    <x v="0"/>
    <x v="0"/>
    <x v="127"/>
  </r>
  <r>
    <x v="2"/>
    <s v="A7-1"/>
    <x v="6"/>
    <s v=" Legionella sp."/>
    <x v="0"/>
    <x v="1"/>
    <x v="127"/>
  </r>
  <r>
    <x v="2"/>
    <s v="A7-4"/>
    <x v="6"/>
    <s v=" Internal Control"/>
    <x v="0"/>
    <x v="0"/>
    <x v="127"/>
  </r>
  <r>
    <x v="2"/>
    <s v="A8-1"/>
    <x v="7"/>
    <s v=" Legionella sp."/>
    <x v="0"/>
    <x v="1"/>
    <x v="127"/>
  </r>
  <r>
    <x v="2"/>
    <s v="A8-4"/>
    <x v="7"/>
    <s v=" Internal Control"/>
    <x v="0"/>
    <x v="0"/>
    <x v="127"/>
  </r>
  <r>
    <x v="2"/>
    <s v="B1-1"/>
    <x v="0"/>
    <s v=" Legionella sp."/>
    <x v="1"/>
    <x v="1"/>
    <x v="133"/>
  </r>
  <r>
    <x v="2"/>
    <s v="B1-4"/>
    <x v="0"/>
    <s v=" Internal Control"/>
    <x v="1"/>
    <x v="0"/>
    <x v="134"/>
  </r>
  <r>
    <x v="2"/>
    <s v="B2-1"/>
    <x v="1"/>
    <s v=" Legionella sp."/>
    <x v="1"/>
    <x v="1"/>
    <x v="135"/>
  </r>
  <r>
    <x v="2"/>
    <s v="B2-4"/>
    <x v="1"/>
    <s v=" Internal Control"/>
    <x v="1"/>
    <x v="0"/>
    <x v="136"/>
  </r>
  <r>
    <x v="2"/>
    <s v="B3-1"/>
    <x v="2"/>
    <s v=" Legionella sp."/>
    <x v="1"/>
    <x v="1"/>
    <x v="137"/>
  </r>
  <r>
    <x v="2"/>
    <s v="B3-4"/>
    <x v="2"/>
    <s v=" Internal Control"/>
    <x v="1"/>
    <x v="0"/>
    <x v="138"/>
  </r>
  <r>
    <x v="2"/>
    <s v="B4-1"/>
    <x v="3"/>
    <s v=" Legionella sp."/>
    <x v="1"/>
    <x v="1"/>
    <x v="139"/>
  </r>
  <r>
    <x v="2"/>
    <s v="B4-4"/>
    <x v="3"/>
    <s v=" Internal Control"/>
    <x v="1"/>
    <x v="0"/>
    <x v="140"/>
  </r>
  <r>
    <x v="2"/>
    <s v="B5-1"/>
    <x v="4"/>
    <s v=" Legionella sp."/>
    <x v="1"/>
    <x v="1"/>
    <x v="127"/>
  </r>
  <r>
    <x v="2"/>
    <s v="B5-4"/>
    <x v="4"/>
    <s v=" Internal Control"/>
    <x v="1"/>
    <x v="0"/>
    <x v="141"/>
  </r>
  <r>
    <x v="2"/>
    <s v="B6-1"/>
    <x v="5"/>
    <s v=" Legionella sp."/>
    <x v="1"/>
    <x v="1"/>
    <x v="142"/>
  </r>
  <r>
    <x v="2"/>
    <s v="B6-4"/>
    <x v="5"/>
    <s v=" Internal Control"/>
    <x v="1"/>
    <x v="0"/>
    <x v="143"/>
  </r>
  <r>
    <x v="2"/>
    <s v="B7-1"/>
    <x v="6"/>
    <s v=" Legionella sp."/>
    <x v="1"/>
    <x v="1"/>
    <x v="144"/>
  </r>
  <r>
    <x v="2"/>
    <s v="B7-4"/>
    <x v="6"/>
    <s v=" Internal Control"/>
    <x v="1"/>
    <x v="0"/>
    <x v="145"/>
  </r>
  <r>
    <x v="2"/>
    <s v="B8-1"/>
    <x v="7"/>
    <s v=" Legionella sp."/>
    <x v="1"/>
    <x v="1"/>
    <x v="127"/>
  </r>
  <r>
    <x v="2"/>
    <s v="B8-4"/>
    <x v="7"/>
    <s v=" Internal Control"/>
    <x v="1"/>
    <x v="0"/>
    <x v="1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2EF11C-F9F0-40E8-B1EA-4C8961A97617}" name="PivotTable3" cacheId="8" dataOnRows="1" applyNumberFormats="0" applyBorderFormats="0" applyFontFormats="0" applyPatternFormats="0" applyAlignmentFormats="0" applyWidthHeightFormats="1" dataCaption="Data" updatedVersion="7" showMemberPropertyTips="0" useAutoFormatting="1" itemPrintTitles="1" createdVersion="1" indent="0" compact="0" compactData="0" gridDropZones="1" chartFormat="2">
  <location ref="A3:AH123" firstHeaderRow="1" firstDataRow="2" firstDataCol="1"/>
  <pivotFields count="5">
    <pivotField axis="axisCol" compact="0" outline="0" showAll="0" includeNewItemsInFilter="1">
      <items count="98">
        <item h="1" x="0"/>
        <item x="1"/>
        <item x="2"/>
        <item x="3"/>
        <item x="4"/>
        <item x="5"/>
        <item x="6"/>
        <item x="7"/>
        <item x="8"/>
        <item x="9"/>
        <item x="10"/>
        <item h="1" x="11"/>
        <item h="1" x="12"/>
        <item x="13"/>
        <item x="14"/>
        <item x="15"/>
        <item x="16"/>
        <item x="17"/>
        <item x="18"/>
        <item x="19"/>
        <item x="20"/>
        <item x="21"/>
        <item x="22"/>
        <item x="23"/>
        <item h="1" x="24"/>
        <item x="25"/>
        <item x="26"/>
        <item x="27"/>
        <item x="28"/>
        <item x="29"/>
        <item x="30"/>
        <item x="31"/>
        <item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t="default"/>
      </items>
    </pivotField>
    <pivotField axis="axisRow" compact="0" outline="0" showAll="0" includeNewItemsInFilter="1">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compact="0" outline="0" showAll="0" includeNewItemsInFilter="1"/>
    <pivotField dataField="1" compact="0" outline="0" showAll="0" includeNewItemsInFilter="1"/>
    <pivotField compact="0" outline="0" showAll="0" includeNewItemsInFilter="1"/>
  </pivotFields>
  <rowFields count="1">
    <field x="1"/>
  </rowFields>
  <rowItems count="1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t="grand">
      <x/>
    </i>
  </rowItems>
  <colFields count="1">
    <field x="0"/>
  </colFields>
  <colItems count="33">
    <i>
      <x v="1"/>
    </i>
    <i>
      <x v="2"/>
    </i>
    <i>
      <x v="3"/>
    </i>
    <i>
      <x v="4"/>
    </i>
    <i>
      <x v="5"/>
    </i>
    <i>
      <x v="6"/>
    </i>
    <i>
      <x v="7"/>
    </i>
    <i>
      <x v="8"/>
    </i>
    <i>
      <x v="9"/>
    </i>
    <i>
      <x v="10"/>
    </i>
    <i>
      <x v="13"/>
    </i>
    <i>
      <x v="14"/>
    </i>
    <i>
      <x v="15"/>
    </i>
    <i>
      <x v="16"/>
    </i>
    <i>
      <x v="17"/>
    </i>
    <i>
      <x v="18"/>
    </i>
    <i>
      <x v="19"/>
    </i>
    <i>
      <x v="20"/>
    </i>
    <i>
      <x v="21"/>
    </i>
    <i>
      <x v="22"/>
    </i>
    <i>
      <x v="23"/>
    </i>
    <i>
      <x v="25"/>
    </i>
    <i>
      <x v="26"/>
    </i>
    <i>
      <x v="27"/>
    </i>
    <i>
      <x v="28"/>
    </i>
    <i>
      <x v="29"/>
    </i>
    <i>
      <x v="30"/>
    </i>
    <i>
      <x v="31"/>
    </i>
    <i>
      <x v="32"/>
    </i>
    <i>
      <x v="33"/>
    </i>
    <i>
      <x v="34"/>
    </i>
    <i>
      <x v="35"/>
    </i>
    <i t="grand">
      <x/>
    </i>
  </colItems>
  <dataFields count="1">
    <dataField name="Sum of F1" fld="3" baseField="1" baseItem="0"/>
  </dataFields>
  <chartFormats count="32">
    <chartFormat chart="1" format="121" series="1">
      <pivotArea type="data" outline="0" fieldPosition="0">
        <references count="2">
          <reference field="4294967294" count="1" selected="0">
            <x v="0"/>
          </reference>
          <reference field="0" count="1" selected="0">
            <x v="1"/>
          </reference>
        </references>
      </pivotArea>
    </chartFormat>
    <chartFormat chart="1" format="122" series="1">
      <pivotArea type="data" outline="0" fieldPosition="0">
        <references count="2">
          <reference field="4294967294" count="1" selected="0">
            <x v="0"/>
          </reference>
          <reference field="0" count="1" selected="0">
            <x v="2"/>
          </reference>
        </references>
      </pivotArea>
    </chartFormat>
    <chartFormat chart="1" format="123" series="1">
      <pivotArea type="data" outline="0" fieldPosition="0">
        <references count="2">
          <reference field="4294967294" count="1" selected="0">
            <x v="0"/>
          </reference>
          <reference field="0" count="1" selected="0">
            <x v="3"/>
          </reference>
        </references>
      </pivotArea>
    </chartFormat>
    <chartFormat chart="1" format="124" series="1">
      <pivotArea type="data" outline="0" fieldPosition="0">
        <references count="2">
          <reference field="4294967294" count="1" selected="0">
            <x v="0"/>
          </reference>
          <reference field="0" count="1" selected="0">
            <x v="4"/>
          </reference>
        </references>
      </pivotArea>
    </chartFormat>
    <chartFormat chart="1" format="125" series="1">
      <pivotArea type="data" outline="0" fieldPosition="0">
        <references count="2">
          <reference field="4294967294" count="1" selected="0">
            <x v="0"/>
          </reference>
          <reference field="0" count="1" selected="0">
            <x v="5"/>
          </reference>
        </references>
      </pivotArea>
    </chartFormat>
    <chartFormat chart="1" format="126" series="1">
      <pivotArea type="data" outline="0" fieldPosition="0">
        <references count="2">
          <reference field="4294967294" count="1" selected="0">
            <x v="0"/>
          </reference>
          <reference field="0" count="1" selected="0">
            <x v="6"/>
          </reference>
        </references>
      </pivotArea>
    </chartFormat>
    <chartFormat chart="1" format="127" series="1">
      <pivotArea type="data" outline="0" fieldPosition="0">
        <references count="2">
          <reference field="4294967294" count="1" selected="0">
            <x v="0"/>
          </reference>
          <reference field="0" count="1" selected="0">
            <x v="7"/>
          </reference>
        </references>
      </pivotArea>
    </chartFormat>
    <chartFormat chart="1" format="128" series="1">
      <pivotArea type="data" outline="0" fieldPosition="0">
        <references count="2">
          <reference field="4294967294" count="1" selected="0">
            <x v="0"/>
          </reference>
          <reference field="0" count="1" selected="0">
            <x v="8"/>
          </reference>
        </references>
      </pivotArea>
    </chartFormat>
    <chartFormat chart="1" format="129" series="1">
      <pivotArea type="data" outline="0" fieldPosition="0">
        <references count="2">
          <reference field="4294967294" count="1" selected="0">
            <x v="0"/>
          </reference>
          <reference field="0" count="1" selected="0">
            <x v="9"/>
          </reference>
        </references>
      </pivotArea>
    </chartFormat>
    <chartFormat chart="1" format="130" series="1">
      <pivotArea type="data" outline="0" fieldPosition="0">
        <references count="2">
          <reference field="4294967294" count="1" selected="0">
            <x v="0"/>
          </reference>
          <reference field="0" count="1" selected="0">
            <x v="10"/>
          </reference>
        </references>
      </pivotArea>
    </chartFormat>
    <chartFormat chart="1" format="131" series="1">
      <pivotArea type="data" outline="0" fieldPosition="0">
        <references count="2">
          <reference field="4294967294" count="1" selected="0">
            <x v="0"/>
          </reference>
          <reference field="0" count="1" selected="0">
            <x v="13"/>
          </reference>
        </references>
      </pivotArea>
    </chartFormat>
    <chartFormat chart="1" format="132" series="1">
      <pivotArea type="data" outline="0" fieldPosition="0">
        <references count="2">
          <reference field="4294967294" count="1" selected="0">
            <x v="0"/>
          </reference>
          <reference field="0" count="1" selected="0">
            <x v="14"/>
          </reference>
        </references>
      </pivotArea>
    </chartFormat>
    <chartFormat chart="1" format="133" series="1">
      <pivotArea type="data" outline="0" fieldPosition="0">
        <references count="2">
          <reference field="4294967294" count="1" selected="0">
            <x v="0"/>
          </reference>
          <reference field="0" count="1" selected="0">
            <x v="15"/>
          </reference>
        </references>
      </pivotArea>
    </chartFormat>
    <chartFormat chart="1" format="134" series="1">
      <pivotArea type="data" outline="0" fieldPosition="0">
        <references count="2">
          <reference field="4294967294" count="1" selected="0">
            <x v="0"/>
          </reference>
          <reference field="0" count="1" selected="0">
            <x v="16"/>
          </reference>
        </references>
      </pivotArea>
    </chartFormat>
    <chartFormat chart="1" format="135" series="1">
      <pivotArea type="data" outline="0" fieldPosition="0">
        <references count="2">
          <reference field="4294967294" count="1" selected="0">
            <x v="0"/>
          </reference>
          <reference field="0" count="1" selected="0">
            <x v="17"/>
          </reference>
        </references>
      </pivotArea>
    </chartFormat>
    <chartFormat chart="1" format="136" series="1">
      <pivotArea type="data" outline="0" fieldPosition="0">
        <references count="2">
          <reference field="4294967294" count="1" selected="0">
            <x v="0"/>
          </reference>
          <reference field="0" count="1" selected="0">
            <x v="18"/>
          </reference>
        </references>
      </pivotArea>
    </chartFormat>
    <chartFormat chart="1" format="137" series="1">
      <pivotArea type="data" outline="0" fieldPosition="0">
        <references count="2">
          <reference field="4294967294" count="1" selected="0">
            <x v="0"/>
          </reference>
          <reference field="0" count="1" selected="0">
            <x v="19"/>
          </reference>
        </references>
      </pivotArea>
    </chartFormat>
    <chartFormat chart="1" format="138" series="1">
      <pivotArea type="data" outline="0" fieldPosition="0">
        <references count="2">
          <reference field="4294967294" count="1" selected="0">
            <x v="0"/>
          </reference>
          <reference field="0" count="1" selected="0">
            <x v="20"/>
          </reference>
        </references>
      </pivotArea>
    </chartFormat>
    <chartFormat chart="1" format="139" series="1">
      <pivotArea type="data" outline="0" fieldPosition="0">
        <references count="2">
          <reference field="4294967294" count="1" selected="0">
            <x v="0"/>
          </reference>
          <reference field="0" count="1" selected="0">
            <x v="21"/>
          </reference>
        </references>
      </pivotArea>
    </chartFormat>
    <chartFormat chart="1" format="140" series="1">
      <pivotArea type="data" outline="0" fieldPosition="0">
        <references count="2">
          <reference field="4294967294" count="1" selected="0">
            <x v="0"/>
          </reference>
          <reference field="0" count="1" selected="0">
            <x v="22"/>
          </reference>
        </references>
      </pivotArea>
    </chartFormat>
    <chartFormat chart="1" format="141" series="1">
      <pivotArea type="data" outline="0" fieldPosition="0">
        <references count="2">
          <reference field="4294967294" count="1" selected="0">
            <x v="0"/>
          </reference>
          <reference field="0" count="1" selected="0">
            <x v="23"/>
          </reference>
        </references>
      </pivotArea>
    </chartFormat>
    <chartFormat chart="1" format="142" series="1">
      <pivotArea type="data" outline="0" fieldPosition="0">
        <references count="2">
          <reference field="4294967294" count="1" selected="0">
            <x v="0"/>
          </reference>
          <reference field="0" count="1" selected="0">
            <x v="25"/>
          </reference>
        </references>
      </pivotArea>
    </chartFormat>
    <chartFormat chart="1" format="143" series="1">
      <pivotArea type="data" outline="0" fieldPosition="0">
        <references count="2">
          <reference field="4294967294" count="1" selected="0">
            <x v="0"/>
          </reference>
          <reference field="0" count="1" selected="0">
            <x v="26"/>
          </reference>
        </references>
      </pivotArea>
    </chartFormat>
    <chartFormat chart="1" format="144" series="1">
      <pivotArea type="data" outline="0" fieldPosition="0">
        <references count="2">
          <reference field="4294967294" count="1" selected="0">
            <x v="0"/>
          </reference>
          <reference field="0" count="1" selected="0">
            <x v="27"/>
          </reference>
        </references>
      </pivotArea>
    </chartFormat>
    <chartFormat chart="1" format="145" series="1">
      <pivotArea type="data" outline="0" fieldPosition="0">
        <references count="2">
          <reference field="4294967294" count="1" selected="0">
            <x v="0"/>
          </reference>
          <reference field="0" count="1" selected="0">
            <x v="28"/>
          </reference>
        </references>
      </pivotArea>
    </chartFormat>
    <chartFormat chart="1" format="146" series="1">
      <pivotArea type="data" outline="0" fieldPosition="0">
        <references count="2">
          <reference field="4294967294" count="1" selected="0">
            <x v="0"/>
          </reference>
          <reference field="0" count="1" selected="0">
            <x v="29"/>
          </reference>
        </references>
      </pivotArea>
    </chartFormat>
    <chartFormat chart="1" format="147" series="1">
      <pivotArea type="data" outline="0" fieldPosition="0">
        <references count="2">
          <reference field="4294967294" count="1" selected="0">
            <x v="0"/>
          </reference>
          <reference field="0" count="1" selected="0">
            <x v="30"/>
          </reference>
        </references>
      </pivotArea>
    </chartFormat>
    <chartFormat chart="1" format="148" series="1">
      <pivotArea type="data" outline="0" fieldPosition="0">
        <references count="2">
          <reference field="4294967294" count="1" selected="0">
            <x v="0"/>
          </reference>
          <reference field="0" count="1" selected="0">
            <x v="31"/>
          </reference>
        </references>
      </pivotArea>
    </chartFormat>
    <chartFormat chart="1" format="149" series="1">
      <pivotArea type="data" outline="0" fieldPosition="0">
        <references count="2">
          <reference field="4294967294" count="1" selected="0">
            <x v="0"/>
          </reference>
          <reference field="0" count="1" selected="0">
            <x v="32"/>
          </reference>
        </references>
      </pivotArea>
    </chartFormat>
    <chartFormat chart="1" format="150" series="1">
      <pivotArea type="data" outline="0" fieldPosition="0">
        <references count="2">
          <reference field="4294967294" count="1" selected="0">
            <x v="0"/>
          </reference>
          <reference field="0" count="1" selected="0">
            <x v="33"/>
          </reference>
        </references>
      </pivotArea>
    </chartFormat>
    <chartFormat chart="1" format="151" series="1">
      <pivotArea type="data" outline="0" fieldPosition="0">
        <references count="2">
          <reference field="4294967294" count="1" selected="0">
            <x v="0"/>
          </reference>
          <reference field="0" count="1" selected="0">
            <x v="34"/>
          </reference>
        </references>
      </pivotArea>
    </chartFormat>
    <chartFormat chart="1" format="152" series="1">
      <pivotArea type="data" outline="0" fieldPosition="0">
        <references count="2">
          <reference field="4294967294" count="1" selected="0">
            <x v="0"/>
          </reference>
          <reference field="0" count="1" selected="0">
            <x v="35"/>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349C71-041B-434C-A448-3E64595C54E2}" name="PivotTable3" cacheId="8" dataOnRows="1" applyNumberFormats="0" applyBorderFormats="0" applyFontFormats="0" applyPatternFormats="0" applyAlignmentFormats="0" applyWidthHeightFormats="1" dataCaption="Data" updatedVersion="7" showMemberPropertyTips="0" useAutoFormatting="1" itemPrintTitles="1" createdVersion="1" indent="0" compact="0" compactData="0" gridDropZones="1" chartFormat="3">
  <location ref="A3:AI123" firstHeaderRow="1" firstDataRow="2" firstDataCol="1"/>
  <pivotFields count="5">
    <pivotField axis="axisCol" compact="0" outline="0" showAll="0" includeNewItemsInFilter="1">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x="40"/>
        <item x="41"/>
        <item x="42"/>
        <item x="43"/>
        <item x="44"/>
        <item x="45"/>
        <item x="46"/>
        <item x="47"/>
        <item h="1" x="48"/>
        <item x="49"/>
        <item x="50"/>
        <item x="51"/>
        <item x="52"/>
        <item x="53"/>
        <item x="54"/>
        <item x="55"/>
        <item x="56"/>
        <item x="57"/>
        <item x="58"/>
        <item x="59"/>
        <item h="1" x="60"/>
        <item x="61"/>
        <item x="62"/>
        <item x="63"/>
        <item x="64"/>
        <item x="65"/>
        <item x="66"/>
        <item x="67"/>
        <item x="68"/>
        <item x="69"/>
        <item x="70"/>
        <item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t="default"/>
      </items>
    </pivotField>
    <pivotField axis="axisRow" compact="0" outline="0" showAll="0" includeNewItemsInFilter="1">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compact="0" outline="0" showAll="0" includeNewItemsInFilter="1"/>
    <pivotField dataField="1" compact="0" outline="0" showAll="0" includeNewItemsInFilter="1"/>
    <pivotField compact="0" outline="0" showAll="0" includeNewItemsInFilter="1"/>
  </pivotFields>
  <rowFields count="1">
    <field x="1"/>
  </rowFields>
  <rowItems count="1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t="grand">
      <x/>
    </i>
  </rowItems>
  <colFields count="1">
    <field x="0"/>
  </colFields>
  <colItems count="34">
    <i>
      <x v="37"/>
    </i>
    <i>
      <x v="38"/>
    </i>
    <i>
      <x v="39"/>
    </i>
    <i>
      <x v="40"/>
    </i>
    <i>
      <x v="41"/>
    </i>
    <i>
      <x v="42"/>
    </i>
    <i>
      <x v="43"/>
    </i>
    <i>
      <x v="44"/>
    </i>
    <i>
      <x v="45"/>
    </i>
    <i>
      <x v="46"/>
    </i>
    <i>
      <x v="47"/>
    </i>
    <i>
      <x v="49"/>
    </i>
    <i>
      <x v="50"/>
    </i>
    <i>
      <x v="51"/>
    </i>
    <i>
      <x v="52"/>
    </i>
    <i>
      <x v="53"/>
    </i>
    <i>
      <x v="54"/>
    </i>
    <i>
      <x v="55"/>
    </i>
    <i>
      <x v="56"/>
    </i>
    <i>
      <x v="57"/>
    </i>
    <i>
      <x v="58"/>
    </i>
    <i>
      <x v="59"/>
    </i>
    <i>
      <x v="61"/>
    </i>
    <i>
      <x v="62"/>
    </i>
    <i>
      <x v="63"/>
    </i>
    <i>
      <x v="64"/>
    </i>
    <i>
      <x v="65"/>
    </i>
    <i>
      <x v="66"/>
    </i>
    <i>
      <x v="67"/>
    </i>
    <i>
      <x v="68"/>
    </i>
    <i>
      <x v="69"/>
    </i>
    <i>
      <x v="70"/>
    </i>
    <i>
      <x v="71"/>
    </i>
    <i t="grand">
      <x/>
    </i>
  </colItems>
  <dataFields count="1">
    <dataField name="Sum of F1" fld="3" baseField="1" baseItem="0"/>
  </dataFields>
  <chartFormats count="97">
    <chartFormat chart="1" format="121" series="1">
      <pivotArea type="data" outline="0" fieldPosition="0">
        <references count="2">
          <reference field="4294967294" count="1" selected="0">
            <x v="0"/>
          </reference>
          <reference field="0" count="1" selected="0">
            <x v="1"/>
          </reference>
        </references>
      </pivotArea>
    </chartFormat>
    <chartFormat chart="1" format="122" series="1">
      <pivotArea type="data" outline="0" fieldPosition="0">
        <references count="2">
          <reference field="4294967294" count="1" selected="0">
            <x v="0"/>
          </reference>
          <reference field="0" count="1" selected="0">
            <x v="2"/>
          </reference>
        </references>
      </pivotArea>
    </chartFormat>
    <chartFormat chart="1" format="123" series="1">
      <pivotArea type="data" outline="0" fieldPosition="0">
        <references count="2">
          <reference field="4294967294" count="1" selected="0">
            <x v="0"/>
          </reference>
          <reference field="0" count="1" selected="0">
            <x v="3"/>
          </reference>
        </references>
      </pivotArea>
    </chartFormat>
    <chartFormat chart="1" format="124" series="1">
      <pivotArea type="data" outline="0" fieldPosition="0">
        <references count="2">
          <reference field="4294967294" count="1" selected="0">
            <x v="0"/>
          </reference>
          <reference field="0" count="1" selected="0">
            <x v="4"/>
          </reference>
        </references>
      </pivotArea>
    </chartFormat>
    <chartFormat chart="1" format="125" series="1">
      <pivotArea type="data" outline="0" fieldPosition="0">
        <references count="2">
          <reference field="4294967294" count="1" selected="0">
            <x v="0"/>
          </reference>
          <reference field="0" count="1" selected="0">
            <x v="5"/>
          </reference>
        </references>
      </pivotArea>
    </chartFormat>
    <chartFormat chart="1" format="126" series="1">
      <pivotArea type="data" outline="0" fieldPosition="0">
        <references count="2">
          <reference field="4294967294" count="1" selected="0">
            <x v="0"/>
          </reference>
          <reference field="0" count="1" selected="0">
            <x v="6"/>
          </reference>
        </references>
      </pivotArea>
    </chartFormat>
    <chartFormat chart="1" format="127" series="1">
      <pivotArea type="data" outline="0" fieldPosition="0">
        <references count="2">
          <reference field="4294967294" count="1" selected="0">
            <x v="0"/>
          </reference>
          <reference field="0" count="1" selected="0">
            <x v="7"/>
          </reference>
        </references>
      </pivotArea>
    </chartFormat>
    <chartFormat chart="1" format="128" series="1">
      <pivotArea type="data" outline="0" fieldPosition="0">
        <references count="2">
          <reference field="4294967294" count="1" selected="0">
            <x v="0"/>
          </reference>
          <reference field="0" count="1" selected="0">
            <x v="8"/>
          </reference>
        </references>
      </pivotArea>
    </chartFormat>
    <chartFormat chart="1" format="129" series="1">
      <pivotArea type="data" outline="0" fieldPosition="0">
        <references count="2">
          <reference field="4294967294" count="1" selected="0">
            <x v="0"/>
          </reference>
          <reference field="0" count="1" selected="0">
            <x v="9"/>
          </reference>
        </references>
      </pivotArea>
    </chartFormat>
    <chartFormat chart="1" format="130" series="1">
      <pivotArea type="data" outline="0" fieldPosition="0">
        <references count="2">
          <reference field="4294967294" count="1" selected="0">
            <x v="0"/>
          </reference>
          <reference field="0" count="1" selected="0">
            <x v="10"/>
          </reference>
        </references>
      </pivotArea>
    </chartFormat>
    <chartFormat chart="1" format="131" series="1">
      <pivotArea type="data" outline="0" fieldPosition="0">
        <references count="2">
          <reference field="4294967294" count="1" selected="0">
            <x v="0"/>
          </reference>
          <reference field="0" count="1" selected="0">
            <x v="13"/>
          </reference>
        </references>
      </pivotArea>
    </chartFormat>
    <chartFormat chart="1" format="132" series="1">
      <pivotArea type="data" outline="0" fieldPosition="0">
        <references count="2">
          <reference field="4294967294" count="1" selected="0">
            <x v="0"/>
          </reference>
          <reference field="0" count="1" selected="0">
            <x v="14"/>
          </reference>
        </references>
      </pivotArea>
    </chartFormat>
    <chartFormat chart="1" format="133" series="1">
      <pivotArea type="data" outline="0" fieldPosition="0">
        <references count="2">
          <reference field="4294967294" count="1" selected="0">
            <x v="0"/>
          </reference>
          <reference field="0" count="1" selected="0">
            <x v="15"/>
          </reference>
        </references>
      </pivotArea>
    </chartFormat>
    <chartFormat chart="1" format="134" series="1">
      <pivotArea type="data" outline="0" fieldPosition="0">
        <references count="2">
          <reference field="4294967294" count="1" selected="0">
            <x v="0"/>
          </reference>
          <reference field="0" count="1" selected="0">
            <x v="16"/>
          </reference>
        </references>
      </pivotArea>
    </chartFormat>
    <chartFormat chart="1" format="135" series="1">
      <pivotArea type="data" outline="0" fieldPosition="0">
        <references count="2">
          <reference field="4294967294" count="1" selected="0">
            <x v="0"/>
          </reference>
          <reference field="0" count="1" selected="0">
            <x v="17"/>
          </reference>
        </references>
      </pivotArea>
    </chartFormat>
    <chartFormat chart="1" format="136" series="1">
      <pivotArea type="data" outline="0" fieldPosition="0">
        <references count="2">
          <reference field="4294967294" count="1" selected="0">
            <x v="0"/>
          </reference>
          <reference field="0" count="1" selected="0">
            <x v="18"/>
          </reference>
        </references>
      </pivotArea>
    </chartFormat>
    <chartFormat chart="1" format="137" series="1">
      <pivotArea type="data" outline="0" fieldPosition="0">
        <references count="2">
          <reference field="4294967294" count="1" selected="0">
            <x v="0"/>
          </reference>
          <reference field="0" count="1" selected="0">
            <x v="19"/>
          </reference>
        </references>
      </pivotArea>
    </chartFormat>
    <chartFormat chart="1" format="138" series="1">
      <pivotArea type="data" outline="0" fieldPosition="0">
        <references count="2">
          <reference field="4294967294" count="1" selected="0">
            <x v="0"/>
          </reference>
          <reference field="0" count="1" selected="0">
            <x v="20"/>
          </reference>
        </references>
      </pivotArea>
    </chartFormat>
    <chartFormat chart="1" format="139" series="1">
      <pivotArea type="data" outline="0" fieldPosition="0">
        <references count="2">
          <reference field="4294967294" count="1" selected="0">
            <x v="0"/>
          </reference>
          <reference field="0" count="1" selected="0">
            <x v="21"/>
          </reference>
        </references>
      </pivotArea>
    </chartFormat>
    <chartFormat chart="1" format="140" series="1">
      <pivotArea type="data" outline="0" fieldPosition="0">
        <references count="2">
          <reference field="4294967294" count="1" selected="0">
            <x v="0"/>
          </reference>
          <reference field="0" count="1" selected="0">
            <x v="22"/>
          </reference>
        </references>
      </pivotArea>
    </chartFormat>
    <chartFormat chart="1" format="141" series="1">
      <pivotArea type="data" outline="0" fieldPosition="0">
        <references count="2">
          <reference field="4294967294" count="1" selected="0">
            <x v="0"/>
          </reference>
          <reference field="0" count="1" selected="0">
            <x v="23"/>
          </reference>
        </references>
      </pivotArea>
    </chartFormat>
    <chartFormat chart="1" format="142" series="1">
      <pivotArea type="data" outline="0" fieldPosition="0">
        <references count="2">
          <reference field="4294967294" count="1" selected="0">
            <x v="0"/>
          </reference>
          <reference field="0" count="1" selected="0">
            <x v="25"/>
          </reference>
        </references>
      </pivotArea>
    </chartFormat>
    <chartFormat chart="1" format="143" series="1">
      <pivotArea type="data" outline="0" fieldPosition="0">
        <references count="2">
          <reference field="4294967294" count="1" selected="0">
            <x v="0"/>
          </reference>
          <reference field="0" count="1" selected="0">
            <x v="26"/>
          </reference>
        </references>
      </pivotArea>
    </chartFormat>
    <chartFormat chart="1" format="144" series="1">
      <pivotArea type="data" outline="0" fieldPosition="0">
        <references count="2">
          <reference field="4294967294" count="1" selected="0">
            <x v="0"/>
          </reference>
          <reference field="0" count="1" selected="0">
            <x v="27"/>
          </reference>
        </references>
      </pivotArea>
    </chartFormat>
    <chartFormat chart="1" format="145" series="1">
      <pivotArea type="data" outline="0" fieldPosition="0">
        <references count="2">
          <reference field="4294967294" count="1" selected="0">
            <x v="0"/>
          </reference>
          <reference field="0" count="1" selected="0">
            <x v="28"/>
          </reference>
        </references>
      </pivotArea>
    </chartFormat>
    <chartFormat chart="1" format="146" series="1">
      <pivotArea type="data" outline="0" fieldPosition="0">
        <references count="2">
          <reference field="4294967294" count="1" selected="0">
            <x v="0"/>
          </reference>
          <reference field="0" count="1" selected="0">
            <x v="29"/>
          </reference>
        </references>
      </pivotArea>
    </chartFormat>
    <chartFormat chart="1" format="147" series="1">
      <pivotArea type="data" outline="0" fieldPosition="0">
        <references count="2">
          <reference field="4294967294" count="1" selected="0">
            <x v="0"/>
          </reference>
          <reference field="0" count="1" selected="0">
            <x v="30"/>
          </reference>
        </references>
      </pivotArea>
    </chartFormat>
    <chartFormat chart="1" format="148" series="1">
      <pivotArea type="data" outline="0" fieldPosition="0">
        <references count="2">
          <reference field="4294967294" count="1" selected="0">
            <x v="0"/>
          </reference>
          <reference field="0" count="1" selected="0">
            <x v="31"/>
          </reference>
        </references>
      </pivotArea>
    </chartFormat>
    <chartFormat chart="1" format="149" series="1">
      <pivotArea type="data" outline="0" fieldPosition="0">
        <references count="2">
          <reference field="4294967294" count="1" selected="0">
            <x v="0"/>
          </reference>
          <reference field="0" count="1" selected="0">
            <x v="32"/>
          </reference>
        </references>
      </pivotArea>
    </chartFormat>
    <chartFormat chart="1" format="150" series="1">
      <pivotArea type="data" outline="0" fieldPosition="0">
        <references count="2">
          <reference field="4294967294" count="1" selected="0">
            <x v="0"/>
          </reference>
          <reference field="0" count="1" selected="0">
            <x v="33"/>
          </reference>
        </references>
      </pivotArea>
    </chartFormat>
    <chartFormat chart="1" format="151" series="1">
      <pivotArea type="data" outline="0" fieldPosition="0">
        <references count="2">
          <reference field="4294967294" count="1" selected="0">
            <x v="0"/>
          </reference>
          <reference field="0" count="1" selected="0">
            <x v="34"/>
          </reference>
        </references>
      </pivotArea>
    </chartFormat>
    <chartFormat chart="1" format="152" series="1">
      <pivotArea type="data" outline="0" fieldPosition="0">
        <references count="2">
          <reference field="4294967294" count="1" selected="0">
            <x v="0"/>
          </reference>
          <reference field="0" count="1" selected="0">
            <x v="35"/>
          </reference>
        </references>
      </pivotArea>
    </chartFormat>
    <chartFormat chart="2" format="153" series="1">
      <pivotArea type="data" outline="0" fieldPosition="0">
        <references count="2">
          <reference field="4294967294" count="1" selected="0">
            <x v="0"/>
          </reference>
          <reference field="0" count="1" selected="0">
            <x v="1"/>
          </reference>
        </references>
      </pivotArea>
    </chartFormat>
    <chartFormat chart="2" format="154" series="1">
      <pivotArea type="data" outline="0" fieldPosition="0">
        <references count="2">
          <reference field="4294967294" count="1" selected="0">
            <x v="0"/>
          </reference>
          <reference field="0" count="1" selected="0">
            <x v="2"/>
          </reference>
        </references>
      </pivotArea>
    </chartFormat>
    <chartFormat chart="2" format="155" series="1">
      <pivotArea type="data" outline="0" fieldPosition="0">
        <references count="2">
          <reference field="4294967294" count="1" selected="0">
            <x v="0"/>
          </reference>
          <reference field="0" count="1" selected="0">
            <x v="3"/>
          </reference>
        </references>
      </pivotArea>
    </chartFormat>
    <chartFormat chart="2" format="156" series="1">
      <pivotArea type="data" outline="0" fieldPosition="0">
        <references count="2">
          <reference field="4294967294" count="1" selected="0">
            <x v="0"/>
          </reference>
          <reference field="0" count="1" selected="0">
            <x v="4"/>
          </reference>
        </references>
      </pivotArea>
    </chartFormat>
    <chartFormat chart="2" format="157" series="1">
      <pivotArea type="data" outline="0" fieldPosition="0">
        <references count="2">
          <reference field="4294967294" count="1" selected="0">
            <x v="0"/>
          </reference>
          <reference field="0" count="1" selected="0">
            <x v="5"/>
          </reference>
        </references>
      </pivotArea>
    </chartFormat>
    <chartFormat chart="2" format="158" series="1">
      <pivotArea type="data" outline="0" fieldPosition="0">
        <references count="2">
          <reference field="4294967294" count="1" selected="0">
            <x v="0"/>
          </reference>
          <reference field="0" count="1" selected="0">
            <x v="6"/>
          </reference>
        </references>
      </pivotArea>
    </chartFormat>
    <chartFormat chart="2" format="159" series="1">
      <pivotArea type="data" outline="0" fieldPosition="0">
        <references count="2">
          <reference field="4294967294" count="1" selected="0">
            <x v="0"/>
          </reference>
          <reference field="0" count="1" selected="0">
            <x v="7"/>
          </reference>
        </references>
      </pivotArea>
    </chartFormat>
    <chartFormat chart="2" format="160" series="1">
      <pivotArea type="data" outline="0" fieldPosition="0">
        <references count="2">
          <reference field="4294967294" count="1" selected="0">
            <x v="0"/>
          </reference>
          <reference field="0" count="1" selected="0">
            <x v="8"/>
          </reference>
        </references>
      </pivotArea>
    </chartFormat>
    <chartFormat chart="2" format="161" series="1">
      <pivotArea type="data" outline="0" fieldPosition="0">
        <references count="2">
          <reference field="4294967294" count="1" selected="0">
            <x v="0"/>
          </reference>
          <reference field="0" count="1" selected="0">
            <x v="9"/>
          </reference>
        </references>
      </pivotArea>
    </chartFormat>
    <chartFormat chart="2" format="162" series="1">
      <pivotArea type="data" outline="0" fieldPosition="0">
        <references count="2">
          <reference field="4294967294" count="1" selected="0">
            <x v="0"/>
          </reference>
          <reference field="0" count="1" selected="0">
            <x v="10"/>
          </reference>
        </references>
      </pivotArea>
    </chartFormat>
    <chartFormat chart="2" format="163" series="1">
      <pivotArea type="data" outline="0" fieldPosition="0">
        <references count="2">
          <reference field="4294967294" count="1" selected="0">
            <x v="0"/>
          </reference>
          <reference field="0" count="1" selected="0">
            <x v="13"/>
          </reference>
        </references>
      </pivotArea>
    </chartFormat>
    <chartFormat chart="2" format="164" series="1">
      <pivotArea type="data" outline="0" fieldPosition="0">
        <references count="2">
          <reference field="4294967294" count="1" selected="0">
            <x v="0"/>
          </reference>
          <reference field="0" count="1" selected="0">
            <x v="14"/>
          </reference>
        </references>
      </pivotArea>
    </chartFormat>
    <chartFormat chart="2" format="165" series="1">
      <pivotArea type="data" outline="0" fieldPosition="0">
        <references count="2">
          <reference field="4294967294" count="1" selected="0">
            <x v="0"/>
          </reference>
          <reference field="0" count="1" selected="0">
            <x v="15"/>
          </reference>
        </references>
      </pivotArea>
    </chartFormat>
    <chartFormat chart="2" format="166" series="1">
      <pivotArea type="data" outline="0" fieldPosition="0">
        <references count="2">
          <reference field="4294967294" count="1" selected="0">
            <x v="0"/>
          </reference>
          <reference field="0" count="1" selected="0">
            <x v="16"/>
          </reference>
        </references>
      </pivotArea>
    </chartFormat>
    <chartFormat chart="2" format="167" series="1">
      <pivotArea type="data" outline="0" fieldPosition="0">
        <references count="2">
          <reference field="4294967294" count="1" selected="0">
            <x v="0"/>
          </reference>
          <reference field="0" count="1" selected="0">
            <x v="17"/>
          </reference>
        </references>
      </pivotArea>
    </chartFormat>
    <chartFormat chart="2" format="168" series="1">
      <pivotArea type="data" outline="0" fieldPosition="0">
        <references count="2">
          <reference field="4294967294" count="1" selected="0">
            <x v="0"/>
          </reference>
          <reference field="0" count="1" selected="0">
            <x v="18"/>
          </reference>
        </references>
      </pivotArea>
    </chartFormat>
    <chartFormat chart="2" format="169" series="1">
      <pivotArea type="data" outline="0" fieldPosition="0">
        <references count="2">
          <reference field="4294967294" count="1" selected="0">
            <x v="0"/>
          </reference>
          <reference field="0" count="1" selected="0">
            <x v="19"/>
          </reference>
        </references>
      </pivotArea>
    </chartFormat>
    <chartFormat chart="2" format="170" series="1">
      <pivotArea type="data" outline="0" fieldPosition="0">
        <references count="2">
          <reference field="4294967294" count="1" selected="0">
            <x v="0"/>
          </reference>
          <reference field="0" count="1" selected="0">
            <x v="20"/>
          </reference>
        </references>
      </pivotArea>
    </chartFormat>
    <chartFormat chart="2" format="171" series="1">
      <pivotArea type="data" outline="0" fieldPosition="0">
        <references count="2">
          <reference field="4294967294" count="1" selected="0">
            <x v="0"/>
          </reference>
          <reference field="0" count="1" selected="0">
            <x v="21"/>
          </reference>
        </references>
      </pivotArea>
    </chartFormat>
    <chartFormat chart="2" format="172" series="1">
      <pivotArea type="data" outline="0" fieldPosition="0">
        <references count="2">
          <reference field="4294967294" count="1" selected="0">
            <x v="0"/>
          </reference>
          <reference field="0" count="1" selected="0">
            <x v="22"/>
          </reference>
        </references>
      </pivotArea>
    </chartFormat>
    <chartFormat chart="2" format="173" series="1">
      <pivotArea type="data" outline="0" fieldPosition="0">
        <references count="2">
          <reference field="4294967294" count="1" selected="0">
            <x v="0"/>
          </reference>
          <reference field="0" count="1" selected="0">
            <x v="23"/>
          </reference>
        </references>
      </pivotArea>
    </chartFormat>
    <chartFormat chart="2" format="174" series="1">
      <pivotArea type="data" outline="0" fieldPosition="0">
        <references count="2">
          <reference field="4294967294" count="1" selected="0">
            <x v="0"/>
          </reference>
          <reference field="0" count="1" selected="0">
            <x v="25"/>
          </reference>
        </references>
      </pivotArea>
    </chartFormat>
    <chartFormat chart="2" format="175" series="1">
      <pivotArea type="data" outline="0" fieldPosition="0">
        <references count="2">
          <reference field="4294967294" count="1" selected="0">
            <x v="0"/>
          </reference>
          <reference field="0" count="1" selected="0">
            <x v="26"/>
          </reference>
        </references>
      </pivotArea>
    </chartFormat>
    <chartFormat chart="2" format="176" series="1">
      <pivotArea type="data" outline="0" fieldPosition="0">
        <references count="2">
          <reference field="4294967294" count="1" selected="0">
            <x v="0"/>
          </reference>
          <reference field="0" count="1" selected="0">
            <x v="27"/>
          </reference>
        </references>
      </pivotArea>
    </chartFormat>
    <chartFormat chart="2" format="177" series="1">
      <pivotArea type="data" outline="0" fieldPosition="0">
        <references count="2">
          <reference field="4294967294" count="1" selected="0">
            <x v="0"/>
          </reference>
          <reference field="0" count="1" selected="0">
            <x v="28"/>
          </reference>
        </references>
      </pivotArea>
    </chartFormat>
    <chartFormat chart="2" format="178" series="1">
      <pivotArea type="data" outline="0" fieldPosition="0">
        <references count="2">
          <reference field="4294967294" count="1" selected="0">
            <x v="0"/>
          </reference>
          <reference field="0" count="1" selected="0">
            <x v="29"/>
          </reference>
        </references>
      </pivotArea>
    </chartFormat>
    <chartFormat chart="2" format="179" series="1">
      <pivotArea type="data" outline="0" fieldPosition="0">
        <references count="2">
          <reference field="4294967294" count="1" selected="0">
            <x v="0"/>
          </reference>
          <reference field="0" count="1" selected="0">
            <x v="30"/>
          </reference>
        </references>
      </pivotArea>
    </chartFormat>
    <chartFormat chart="2" format="180" series="1">
      <pivotArea type="data" outline="0" fieldPosition="0">
        <references count="2">
          <reference field="4294967294" count="1" selected="0">
            <x v="0"/>
          </reference>
          <reference field="0" count="1" selected="0">
            <x v="31"/>
          </reference>
        </references>
      </pivotArea>
    </chartFormat>
    <chartFormat chart="2" format="181" series="1">
      <pivotArea type="data" outline="0" fieldPosition="0">
        <references count="2">
          <reference field="4294967294" count="1" selected="0">
            <x v="0"/>
          </reference>
          <reference field="0" count="1" selected="0">
            <x v="32"/>
          </reference>
        </references>
      </pivotArea>
    </chartFormat>
    <chartFormat chart="2" format="182" series="1">
      <pivotArea type="data" outline="0" fieldPosition="0">
        <references count="2">
          <reference field="4294967294" count="1" selected="0">
            <x v="0"/>
          </reference>
          <reference field="0" count="1" selected="0">
            <x v="33"/>
          </reference>
        </references>
      </pivotArea>
    </chartFormat>
    <chartFormat chart="2" format="183" series="1">
      <pivotArea type="data" outline="0" fieldPosition="0">
        <references count="2">
          <reference field="4294967294" count="1" selected="0">
            <x v="0"/>
          </reference>
          <reference field="0" count="1" selected="0">
            <x v="34"/>
          </reference>
        </references>
      </pivotArea>
    </chartFormat>
    <chartFormat chart="2" format="184" series="1">
      <pivotArea type="data" outline="0" fieldPosition="0">
        <references count="2">
          <reference field="4294967294" count="1" selected="0">
            <x v="0"/>
          </reference>
          <reference field="0" count="1" selected="0">
            <x v="35"/>
          </reference>
        </references>
      </pivotArea>
    </chartFormat>
    <chartFormat chart="2" format="185" series="1">
      <pivotArea type="data" outline="0" fieldPosition="0">
        <references count="2">
          <reference field="4294967294" count="1" selected="0">
            <x v="0"/>
          </reference>
          <reference field="0" count="1" selected="0">
            <x v="71"/>
          </reference>
        </references>
      </pivotArea>
    </chartFormat>
    <chartFormat chart="2" format="186" series="1">
      <pivotArea type="data" outline="0" fieldPosition="0">
        <references count="2">
          <reference field="4294967294" count="1" selected="0">
            <x v="0"/>
          </reference>
          <reference field="0" count="1" selected="0">
            <x v="37"/>
          </reference>
        </references>
      </pivotArea>
    </chartFormat>
    <chartFormat chart="2" format="187" series="1">
      <pivotArea type="data" outline="0" fieldPosition="0">
        <references count="2">
          <reference field="4294967294" count="1" selected="0">
            <x v="0"/>
          </reference>
          <reference field="0" count="1" selected="0">
            <x v="38"/>
          </reference>
        </references>
      </pivotArea>
    </chartFormat>
    <chartFormat chart="2" format="188" series="1">
      <pivotArea type="data" outline="0" fieldPosition="0">
        <references count="2">
          <reference field="4294967294" count="1" selected="0">
            <x v="0"/>
          </reference>
          <reference field="0" count="1" selected="0">
            <x v="39"/>
          </reference>
        </references>
      </pivotArea>
    </chartFormat>
    <chartFormat chart="2" format="189" series="1">
      <pivotArea type="data" outline="0" fieldPosition="0">
        <references count="2">
          <reference field="4294967294" count="1" selected="0">
            <x v="0"/>
          </reference>
          <reference field="0" count="1" selected="0">
            <x v="40"/>
          </reference>
        </references>
      </pivotArea>
    </chartFormat>
    <chartFormat chart="2" format="190" series="1">
      <pivotArea type="data" outline="0" fieldPosition="0">
        <references count="2">
          <reference field="4294967294" count="1" selected="0">
            <x v="0"/>
          </reference>
          <reference field="0" count="1" selected="0">
            <x v="41"/>
          </reference>
        </references>
      </pivotArea>
    </chartFormat>
    <chartFormat chart="2" format="191" series="1">
      <pivotArea type="data" outline="0" fieldPosition="0">
        <references count="2">
          <reference field="4294967294" count="1" selected="0">
            <x v="0"/>
          </reference>
          <reference field="0" count="1" selected="0">
            <x v="42"/>
          </reference>
        </references>
      </pivotArea>
    </chartFormat>
    <chartFormat chart="2" format="192" series="1">
      <pivotArea type="data" outline="0" fieldPosition="0">
        <references count="2">
          <reference field="4294967294" count="1" selected="0">
            <x v="0"/>
          </reference>
          <reference field="0" count="1" selected="0">
            <x v="43"/>
          </reference>
        </references>
      </pivotArea>
    </chartFormat>
    <chartFormat chart="2" format="193" series="1">
      <pivotArea type="data" outline="0" fieldPosition="0">
        <references count="2">
          <reference field="4294967294" count="1" selected="0">
            <x v="0"/>
          </reference>
          <reference field="0" count="1" selected="0">
            <x v="44"/>
          </reference>
        </references>
      </pivotArea>
    </chartFormat>
    <chartFormat chart="2" format="194" series="1">
      <pivotArea type="data" outline="0" fieldPosition="0">
        <references count="2">
          <reference field="4294967294" count="1" selected="0">
            <x v="0"/>
          </reference>
          <reference field="0" count="1" selected="0">
            <x v="45"/>
          </reference>
        </references>
      </pivotArea>
    </chartFormat>
    <chartFormat chart="2" format="195" series="1">
      <pivotArea type="data" outline="0" fieldPosition="0">
        <references count="2">
          <reference field="4294967294" count="1" selected="0">
            <x v="0"/>
          </reference>
          <reference field="0" count="1" selected="0">
            <x v="46"/>
          </reference>
        </references>
      </pivotArea>
    </chartFormat>
    <chartFormat chart="2" format="196" series="1">
      <pivotArea type="data" outline="0" fieldPosition="0">
        <references count="2">
          <reference field="4294967294" count="1" selected="0">
            <x v="0"/>
          </reference>
          <reference field="0" count="1" selected="0">
            <x v="47"/>
          </reference>
        </references>
      </pivotArea>
    </chartFormat>
    <chartFormat chart="2" format="197" series="1">
      <pivotArea type="data" outline="0" fieldPosition="0">
        <references count="2">
          <reference field="4294967294" count="1" selected="0">
            <x v="0"/>
          </reference>
          <reference field="0" count="1" selected="0">
            <x v="49"/>
          </reference>
        </references>
      </pivotArea>
    </chartFormat>
    <chartFormat chart="2" format="198" series="1">
      <pivotArea type="data" outline="0" fieldPosition="0">
        <references count="2">
          <reference field="4294967294" count="1" selected="0">
            <x v="0"/>
          </reference>
          <reference field="0" count="1" selected="0">
            <x v="50"/>
          </reference>
        </references>
      </pivotArea>
    </chartFormat>
    <chartFormat chart="2" format="199" series="1">
      <pivotArea type="data" outline="0" fieldPosition="0">
        <references count="2">
          <reference field="4294967294" count="1" selected="0">
            <x v="0"/>
          </reference>
          <reference field="0" count="1" selected="0">
            <x v="51"/>
          </reference>
        </references>
      </pivotArea>
    </chartFormat>
    <chartFormat chart="2" format="200" series="1">
      <pivotArea type="data" outline="0" fieldPosition="0">
        <references count="2">
          <reference field="4294967294" count="1" selected="0">
            <x v="0"/>
          </reference>
          <reference field="0" count="1" selected="0">
            <x v="52"/>
          </reference>
        </references>
      </pivotArea>
    </chartFormat>
    <chartFormat chart="2" format="201" series="1">
      <pivotArea type="data" outline="0" fieldPosition="0">
        <references count="2">
          <reference field="4294967294" count="1" selected="0">
            <x v="0"/>
          </reference>
          <reference field="0" count="1" selected="0">
            <x v="53"/>
          </reference>
        </references>
      </pivotArea>
    </chartFormat>
    <chartFormat chart="2" format="202" series="1">
      <pivotArea type="data" outline="0" fieldPosition="0">
        <references count="2">
          <reference field="4294967294" count="1" selected="0">
            <x v="0"/>
          </reference>
          <reference field="0" count="1" selected="0">
            <x v="54"/>
          </reference>
        </references>
      </pivotArea>
    </chartFormat>
    <chartFormat chart="2" format="203" series="1">
      <pivotArea type="data" outline="0" fieldPosition="0">
        <references count="2">
          <reference field="4294967294" count="1" selected="0">
            <x v="0"/>
          </reference>
          <reference field="0" count="1" selected="0">
            <x v="55"/>
          </reference>
        </references>
      </pivotArea>
    </chartFormat>
    <chartFormat chart="2" format="204" series="1">
      <pivotArea type="data" outline="0" fieldPosition="0">
        <references count="2">
          <reference field="4294967294" count="1" selected="0">
            <x v="0"/>
          </reference>
          <reference field="0" count="1" selected="0">
            <x v="56"/>
          </reference>
        </references>
      </pivotArea>
    </chartFormat>
    <chartFormat chart="2" format="205" series="1">
      <pivotArea type="data" outline="0" fieldPosition="0">
        <references count="2">
          <reference field="4294967294" count="1" selected="0">
            <x v="0"/>
          </reference>
          <reference field="0" count="1" selected="0">
            <x v="57"/>
          </reference>
        </references>
      </pivotArea>
    </chartFormat>
    <chartFormat chart="2" format="206" series="1">
      <pivotArea type="data" outline="0" fieldPosition="0">
        <references count="2">
          <reference field="4294967294" count="1" selected="0">
            <x v="0"/>
          </reference>
          <reference field="0" count="1" selected="0">
            <x v="58"/>
          </reference>
        </references>
      </pivotArea>
    </chartFormat>
    <chartFormat chart="2" format="207" series="1">
      <pivotArea type="data" outline="0" fieldPosition="0">
        <references count="2">
          <reference field="4294967294" count="1" selected="0">
            <x v="0"/>
          </reference>
          <reference field="0" count="1" selected="0">
            <x v="59"/>
          </reference>
        </references>
      </pivotArea>
    </chartFormat>
    <chartFormat chart="2" format="208" series="1">
      <pivotArea type="data" outline="0" fieldPosition="0">
        <references count="2">
          <reference field="4294967294" count="1" selected="0">
            <x v="0"/>
          </reference>
          <reference field="0" count="1" selected="0">
            <x v="61"/>
          </reference>
        </references>
      </pivotArea>
    </chartFormat>
    <chartFormat chart="2" format="209" series="1">
      <pivotArea type="data" outline="0" fieldPosition="0">
        <references count="2">
          <reference field="4294967294" count="1" selected="0">
            <x v="0"/>
          </reference>
          <reference field="0" count="1" selected="0">
            <x v="62"/>
          </reference>
        </references>
      </pivotArea>
    </chartFormat>
    <chartFormat chart="2" format="210" series="1">
      <pivotArea type="data" outline="0" fieldPosition="0">
        <references count="2">
          <reference field="4294967294" count="1" selected="0">
            <x v="0"/>
          </reference>
          <reference field="0" count="1" selected="0">
            <x v="63"/>
          </reference>
        </references>
      </pivotArea>
    </chartFormat>
    <chartFormat chart="2" format="211" series="1">
      <pivotArea type="data" outline="0" fieldPosition="0">
        <references count="2">
          <reference field="4294967294" count="1" selected="0">
            <x v="0"/>
          </reference>
          <reference field="0" count="1" selected="0">
            <x v="64"/>
          </reference>
        </references>
      </pivotArea>
    </chartFormat>
    <chartFormat chart="2" format="212" series="1">
      <pivotArea type="data" outline="0" fieldPosition="0">
        <references count="2">
          <reference field="4294967294" count="1" selected="0">
            <x v="0"/>
          </reference>
          <reference field="0" count="1" selected="0">
            <x v="65"/>
          </reference>
        </references>
      </pivotArea>
    </chartFormat>
    <chartFormat chart="2" format="213" series="1">
      <pivotArea type="data" outline="0" fieldPosition="0">
        <references count="2">
          <reference field="4294967294" count="1" selected="0">
            <x v="0"/>
          </reference>
          <reference field="0" count="1" selected="0">
            <x v="66"/>
          </reference>
        </references>
      </pivotArea>
    </chartFormat>
    <chartFormat chart="2" format="214" series="1">
      <pivotArea type="data" outline="0" fieldPosition="0">
        <references count="2">
          <reference field="4294967294" count="1" selected="0">
            <x v="0"/>
          </reference>
          <reference field="0" count="1" selected="0">
            <x v="67"/>
          </reference>
        </references>
      </pivotArea>
    </chartFormat>
    <chartFormat chart="2" format="215" series="1">
      <pivotArea type="data" outline="0" fieldPosition="0">
        <references count="2">
          <reference field="4294967294" count="1" selected="0">
            <x v="0"/>
          </reference>
          <reference field="0" count="1" selected="0">
            <x v="68"/>
          </reference>
        </references>
      </pivotArea>
    </chartFormat>
    <chartFormat chart="2" format="216" series="1">
      <pivotArea type="data" outline="0" fieldPosition="0">
        <references count="2">
          <reference field="4294967294" count="1" selected="0">
            <x v="0"/>
          </reference>
          <reference field="0" count="1" selected="0">
            <x v="69"/>
          </reference>
        </references>
      </pivotArea>
    </chartFormat>
    <chartFormat chart="2" format="217" series="1">
      <pivotArea type="data" outline="0" fieldPosition="0">
        <references count="2">
          <reference field="4294967294" count="1" selected="0">
            <x v="0"/>
          </reference>
          <reference field="0" count="1" selected="0">
            <x v="7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EFEF69-A875-4640-9239-0843059AF6B2}" name="PivotTable8" cacheId="9" dataOnRows="1" applyNumberFormats="0" applyBorderFormats="0" applyFontFormats="0" applyPatternFormats="0" applyAlignmentFormats="0" applyWidthHeightFormats="1" dataCaption="Data" updatedVersion="7" showMemberPropertyTips="0" useAutoFormatting="1" itemPrintTitles="1" createdVersion="1" indent="0" compact="0" compactData="0" gridDropZones="1" chartFormat="2">
  <location ref="A3:AH50" firstHeaderRow="1" firstDataRow="2" firstDataCol="1"/>
  <pivotFields count="5">
    <pivotField axis="axisCol" compact="0" outline="0" showAll="0" includeNewItemsInFilter="1">
      <items count="98">
        <item h="1" x="0"/>
        <item x="1"/>
        <item x="2"/>
        <item x="3"/>
        <item x="4"/>
        <item x="5"/>
        <item x="6"/>
        <item x="7"/>
        <item x="8"/>
        <item x="9"/>
        <item x="10"/>
        <item h="1" x="11"/>
        <item h="1" x="12"/>
        <item x="13"/>
        <item x="14"/>
        <item x="15"/>
        <item x="16"/>
        <item x="17"/>
        <item x="18"/>
        <item x="19"/>
        <item x="20"/>
        <item x="21"/>
        <item x="22"/>
        <item x="23"/>
        <item h="1" x="24"/>
        <item x="25"/>
        <item x="26"/>
        <item x="27"/>
        <item x="28"/>
        <item x="29"/>
        <item x="30"/>
        <item x="31"/>
        <item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t="default"/>
      </items>
    </pivotField>
    <pivotField compact="0" outline="0" showAll="0" includeNewItemsInFilter="1"/>
    <pivotField axis="axisRow" compact="0" outline="0" showAll="0" includeNewItemsInFilter="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compact="0" outline="0" showAll="0" includeNewItemsInFilter="1"/>
    <pivotField dataField="1" compact="0" outline="0" showAll="0" includeNewItemsInFilter="1"/>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3">
    <i>
      <x v="1"/>
    </i>
    <i>
      <x v="2"/>
    </i>
    <i>
      <x v="3"/>
    </i>
    <i>
      <x v="4"/>
    </i>
    <i>
      <x v="5"/>
    </i>
    <i>
      <x v="6"/>
    </i>
    <i>
      <x v="7"/>
    </i>
    <i>
      <x v="8"/>
    </i>
    <i>
      <x v="9"/>
    </i>
    <i>
      <x v="10"/>
    </i>
    <i>
      <x v="13"/>
    </i>
    <i>
      <x v="14"/>
    </i>
    <i>
      <x v="15"/>
    </i>
    <i>
      <x v="16"/>
    </i>
    <i>
      <x v="17"/>
    </i>
    <i>
      <x v="18"/>
    </i>
    <i>
      <x v="19"/>
    </i>
    <i>
      <x v="20"/>
    </i>
    <i>
      <x v="21"/>
    </i>
    <i>
      <x v="22"/>
    </i>
    <i>
      <x v="23"/>
    </i>
    <i>
      <x v="25"/>
    </i>
    <i>
      <x v="26"/>
    </i>
    <i>
      <x v="27"/>
    </i>
    <i>
      <x v="28"/>
    </i>
    <i>
      <x v="29"/>
    </i>
    <i>
      <x v="30"/>
    </i>
    <i>
      <x v="31"/>
    </i>
    <i>
      <x v="32"/>
    </i>
    <i>
      <x v="33"/>
    </i>
    <i>
      <x v="34"/>
    </i>
    <i>
      <x v="35"/>
    </i>
    <i t="grand">
      <x/>
    </i>
  </colItems>
  <dataFields count="1">
    <dataField name="Sum of F4" fld="4" baseField="0" baseItem="0"/>
  </dataFields>
  <chartFormats count="32">
    <chartFormat chart="1" format="194" series="1">
      <pivotArea type="data" outline="0" fieldPosition="0">
        <references count="2">
          <reference field="4294967294" count="1" selected="0">
            <x v="0"/>
          </reference>
          <reference field="0" count="1" selected="0">
            <x v="1"/>
          </reference>
        </references>
      </pivotArea>
    </chartFormat>
    <chartFormat chart="1" format="195" series="1">
      <pivotArea type="data" outline="0" fieldPosition="0">
        <references count="2">
          <reference field="4294967294" count="1" selected="0">
            <x v="0"/>
          </reference>
          <reference field="0" count="1" selected="0">
            <x v="2"/>
          </reference>
        </references>
      </pivotArea>
    </chartFormat>
    <chartFormat chart="1" format="196" series="1">
      <pivotArea type="data" outline="0" fieldPosition="0">
        <references count="2">
          <reference field="4294967294" count="1" selected="0">
            <x v="0"/>
          </reference>
          <reference field="0" count="1" selected="0">
            <x v="3"/>
          </reference>
        </references>
      </pivotArea>
    </chartFormat>
    <chartFormat chart="1" format="197" series="1">
      <pivotArea type="data" outline="0" fieldPosition="0">
        <references count="2">
          <reference field="4294967294" count="1" selected="0">
            <x v="0"/>
          </reference>
          <reference field="0" count="1" selected="0">
            <x v="4"/>
          </reference>
        </references>
      </pivotArea>
    </chartFormat>
    <chartFormat chart="1" format="198" series="1">
      <pivotArea type="data" outline="0" fieldPosition="0">
        <references count="2">
          <reference field="4294967294" count="1" selected="0">
            <x v="0"/>
          </reference>
          <reference field="0" count="1" selected="0">
            <x v="5"/>
          </reference>
        </references>
      </pivotArea>
    </chartFormat>
    <chartFormat chart="1" format="199" series="1">
      <pivotArea type="data" outline="0" fieldPosition="0">
        <references count="2">
          <reference field="4294967294" count="1" selected="0">
            <x v="0"/>
          </reference>
          <reference field="0" count="1" selected="0">
            <x v="6"/>
          </reference>
        </references>
      </pivotArea>
    </chartFormat>
    <chartFormat chart="1" format="200" series="1">
      <pivotArea type="data" outline="0" fieldPosition="0">
        <references count="2">
          <reference field="4294967294" count="1" selected="0">
            <x v="0"/>
          </reference>
          <reference field="0" count="1" selected="0">
            <x v="7"/>
          </reference>
        </references>
      </pivotArea>
    </chartFormat>
    <chartFormat chart="1" format="201" series="1">
      <pivotArea type="data" outline="0" fieldPosition="0">
        <references count="2">
          <reference field="4294967294" count="1" selected="0">
            <x v="0"/>
          </reference>
          <reference field="0" count="1" selected="0">
            <x v="8"/>
          </reference>
        </references>
      </pivotArea>
    </chartFormat>
    <chartFormat chart="1" format="202" series="1">
      <pivotArea type="data" outline="0" fieldPosition="0">
        <references count="2">
          <reference field="4294967294" count="1" selected="0">
            <x v="0"/>
          </reference>
          <reference field="0" count="1" selected="0">
            <x v="9"/>
          </reference>
        </references>
      </pivotArea>
    </chartFormat>
    <chartFormat chart="1" format="203" series="1">
      <pivotArea type="data" outline="0" fieldPosition="0">
        <references count="2">
          <reference field="4294967294" count="1" selected="0">
            <x v="0"/>
          </reference>
          <reference field="0" count="1" selected="0">
            <x v="10"/>
          </reference>
        </references>
      </pivotArea>
    </chartFormat>
    <chartFormat chart="1" format="204" series="1">
      <pivotArea type="data" outline="0" fieldPosition="0">
        <references count="2">
          <reference field="4294967294" count="1" selected="0">
            <x v="0"/>
          </reference>
          <reference field="0" count="1" selected="0">
            <x v="13"/>
          </reference>
        </references>
      </pivotArea>
    </chartFormat>
    <chartFormat chart="1" format="205" series="1">
      <pivotArea type="data" outline="0" fieldPosition="0">
        <references count="2">
          <reference field="4294967294" count="1" selected="0">
            <x v="0"/>
          </reference>
          <reference field="0" count="1" selected="0">
            <x v="14"/>
          </reference>
        </references>
      </pivotArea>
    </chartFormat>
    <chartFormat chart="1" format="206" series="1">
      <pivotArea type="data" outline="0" fieldPosition="0">
        <references count="2">
          <reference field="4294967294" count="1" selected="0">
            <x v="0"/>
          </reference>
          <reference field="0" count="1" selected="0">
            <x v="15"/>
          </reference>
        </references>
      </pivotArea>
    </chartFormat>
    <chartFormat chart="1" format="207" series="1">
      <pivotArea type="data" outline="0" fieldPosition="0">
        <references count="2">
          <reference field="4294967294" count="1" selected="0">
            <x v="0"/>
          </reference>
          <reference field="0" count="1" selected="0">
            <x v="16"/>
          </reference>
        </references>
      </pivotArea>
    </chartFormat>
    <chartFormat chart="1" format="208" series="1">
      <pivotArea type="data" outline="0" fieldPosition="0">
        <references count="2">
          <reference field="4294967294" count="1" selected="0">
            <x v="0"/>
          </reference>
          <reference field="0" count="1" selected="0">
            <x v="17"/>
          </reference>
        </references>
      </pivotArea>
    </chartFormat>
    <chartFormat chart="1" format="209" series="1">
      <pivotArea type="data" outline="0" fieldPosition="0">
        <references count="2">
          <reference field="4294967294" count="1" selected="0">
            <x v="0"/>
          </reference>
          <reference field="0" count="1" selected="0">
            <x v="18"/>
          </reference>
        </references>
      </pivotArea>
    </chartFormat>
    <chartFormat chart="1" format="210" series="1">
      <pivotArea type="data" outline="0" fieldPosition="0">
        <references count="2">
          <reference field="4294967294" count="1" selected="0">
            <x v="0"/>
          </reference>
          <reference field="0" count="1" selected="0">
            <x v="19"/>
          </reference>
        </references>
      </pivotArea>
    </chartFormat>
    <chartFormat chart="1" format="211" series="1">
      <pivotArea type="data" outline="0" fieldPosition="0">
        <references count="2">
          <reference field="4294967294" count="1" selected="0">
            <x v="0"/>
          </reference>
          <reference field="0" count="1" selected="0">
            <x v="20"/>
          </reference>
        </references>
      </pivotArea>
    </chartFormat>
    <chartFormat chart="1" format="212" series="1">
      <pivotArea type="data" outline="0" fieldPosition="0">
        <references count="2">
          <reference field="4294967294" count="1" selected="0">
            <x v="0"/>
          </reference>
          <reference field="0" count="1" selected="0">
            <x v="21"/>
          </reference>
        </references>
      </pivotArea>
    </chartFormat>
    <chartFormat chart="1" format="213" series="1">
      <pivotArea type="data" outline="0" fieldPosition="0">
        <references count="2">
          <reference field="4294967294" count="1" selected="0">
            <x v="0"/>
          </reference>
          <reference field="0" count="1" selected="0">
            <x v="22"/>
          </reference>
        </references>
      </pivotArea>
    </chartFormat>
    <chartFormat chart="1" format="214" series="1">
      <pivotArea type="data" outline="0" fieldPosition="0">
        <references count="2">
          <reference field="4294967294" count="1" selected="0">
            <x v="0"/>
          </reference>
          <reference field="0" count="1" selected="0">
            <x v="23"/>
          </reference>
        </references>
      </pivotArea>
    </chartFormat>
    <chartFormat chart="1" format="215" series="1">
      <pivotArea type="data" outline="0" fieldPosition="0">
        <references count="2">
          <reference field="4294967294" count="1" selected="0">
            <x v="0"/>
          </reference>
          <reference field="0" count="1" selected="0">
            <x v="25"/>
          </reference>
        </references>
      </pivotArea>
    </chartFormat>
    <chartFormat chart="1" format="216" series="1">
      <pivotArea type="data" outline="0" fieldPosition="0">
        <references count="2">
          <reference field="4294967294" count="1" selected="0">
            <x v="0"/>
          </reference>
          <reference field="0" count="1" selected="0">
            <x v="26"/>
          </reference>
        </references>
      </pivotArea>
    </chartFormat>
    <chartFormat chart="1" format="217" series="1">
      <pivotArea type="data" outline="0" fieldPosition="0">
        <references count="2">
          <reference field="4294967294" count="1" selected="0">
            <x v="0"/>
          </reference>
          <reference field="0" count="1" selected="0">
            <x v="27"/>
          </reference>
        </references>
      </pivotArea>
    </chartFormat>
    <chartFormat chart="1" format="218" series="1">
      <pivotArea type="data" outline="0" fieldPosition="0">
        <references count="2">
          <reference field="4294967294" count="1" selected="0">
            <x v="0"/>
          </reference>
          <reference field="0" count="1" selected="0">
            <x v="28"/>
          </reference>
        </references>
      </pivotArea>
    </chartFormat>
    <chartFormat chart="1" format="219" series="1">
      <pivotArea type="data" outline="0" fieldPosition="0">
        <references count="2">
          <reference field="4294967294" count="1" selected="0">
            <x v="0"/>
          </reference>
          <reference field="0" count="1" selected="0">
            <x v="29"/>
          </reference>
        </references>
      </pivotArea>
    </chartFormat>
    <chartFormat chart="1" format="220" series="1">
      <pivotArea type="data" outline="0" fieldPosition="0">
        <references count="2">
          <reference field="4294967294" count="1" selected="0">
            <x v="0"/>
          </reference>
          <reference field="0" count="1" selected="0">
            <x v="30"/>
          </reference>
        </references>
      </pivotArea>
    </chartFormat>
    <chartFormat chart="1" format="221" series="1">
      <pivotArea type="data" outline="0" fieldPosition="0">
        <references count="2">
          <reference field="4294967294" count="1" selected="0">
            <x v="0"/>
          </reference>
          <reference field="0" count="1" selected="0">
            <x v="31"/>
          </reference>
        </references>
      </pivotArea>
    </chartFormat>
    <chartFormat chart="1" format="222" series="1">
      <pivotArea type="data" outline="0" fieldPosition="0">
        <references count="2">
          <reference field="4294967294" count="1" selected="0">
            <x v="0"/>
          </reference>
          <reference field="0" count="1" selected="0">
            <x v="32"/>
          </reference>
        </references>
      </pivotArea>
    </chartFormat>
    <chartFormat chart="1" format="223" series="1">
      <pivotArea type="data" outline="0" fieldPosition="0">
        <references count="2">
          <reference field="4294967294" count="1" selected="0">
            <x v="0"/>
          </reference>
          <reference field="0" count="1" selected="0">
            <x v="33"/>
          </reference>
        </references>
      </pivotArea>
    </chartFormat>
    <chartFormat chart="1" format="224" series="1">
      <pivotArea type="data" outline="0" fieldPosition="0">
        <references count="2">
          <reference field="4294967294" count="1" selected="0">
            <x v="0"/>
          </reference>
          <reference field="0" count="1" selected="0">
            <x v="34"/>
          </reference>
        </references>
      </pivotArea>
    </chartFormat>
    <chartFormat chart="1" format="225" series="1">
      <pivotArea type="data" outline="0" fieldPosition="0">
        <references count="2">
          <reference field="4294967294" count="1" selected="0">
            <x v="0"/>
          </reference>
          <reference field="0" count="1" selected="0">
            <x v="35"/>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468C0E-209A-4B33-A8E8-F696CE0637E7}" name="PivotTable8" cacheId="9" dataOnRows="1" applyNumberFormats="0" applyBorderFormats="0" applyFontFormats="0" applyPatternFormats="0" applyAlignmentFormats="0" applyWidthHeightFormats="1" dataCaption="Data" updatedVersion="7" showMemberPropertyTips="0" useAutoFormatting="1" itemPrintTitles="1" createdVersion="1" indent="0" compact="0" compactData="0" gridDropZones="1" chartFormat="3">
  <location ref="A3:AI50" firstHeaderRow="1" firstDataRow="2" firstDataCol="1"/>
  <pivotFields count="5">
    <pivotField axis="axisCol" compact="0" outline="0" showAll="0" includeNewItemsInFilter="1">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x="40"/>
        <item x="41"/>
        <item x="42"/>
        <item x="43"/>
        <item x="44"/>
        <item x="45"/>
        <item x="46"/>
        <item x="47"/>
        <item h="1" x="48"/>
        <item x="49"/>
        <item x="50"/>
        <item x="51"/>
        <item x="52"/>
        <item x="53"/>
        <item x="54"/>
        <item x="55"/>
        <item x="56"/>
        <item x="57"/>
        <item x="58"/>
        <item x="59"/>
        <item h="1" x="60"/>
        <item x="61"/>
        <item x="62"/>
        <item x="63"/>
        <item x="64"/>
        <item x="65"/>
        <item x="66"/>
        <item x="67"/>
        <item x="68"/>
        <item x="69"/>
        <item x="70"/>
        <item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t="default"/>
      </items>
    </pivotField>
    <pivotField compact="0" outline="0" showAll="0" includeNewItemsInFilter="1"/>
    <pivotField axis="axisRow" compact="0" outline="0" showAll="0" includeNewItemsInFilter="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compact="0" outline="0" showAll="0" includeNewItemsInFilter="1"/>
    <pivotField dataField="1" compact="0" outline="0" showAll="0" includeNewItemsInFilter="1"/>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4">
    <i>
      <x v="37"/>
    </i>
    <i>
      <x v="38"/>
    </i>
    <i>
      <x v="39"/>
    </i>
    <i>
      <x v="40"/>
    </i>
    <i>
      <x v="41"/>
    </i>
    <i>
      <x v="42"/>
    </i>
    <i>
      <x v="43"/>
    </i>
    <i>
      <x v="44"/>
    </i>
    <i>
      <x v="45"/>
    </i>
    <i>
      <x v="46"/>
    </i>
    <i>
      <x v="47"/>
    </i>
    <i>
      <x v="49"/>
    </i>
    <i>
      <x v="50"/>
    </i>
    <i>
      <x v="51"/>
    </i>
    <i>
      <x v="52"/>
    </i>
    <i>
      <x v="53"/>
    </i>
    <i>
      <x v="54"/>
    </i>
    <i>
      <x v="55"/>
    </i>
    <i>
      <x v="56"/>
    </i>
    <i>
      <x v="57"/>
    </i>
    <i>
      <x v="58"/>
    </i>
    <i>
      <x v="59"/>
    </i>
    <i>
      <x v="61"/>
    </i>
    <i>
      <x v="62"/>
    </i>
    <i>
      <x v="63"/>
    </i>
    <i>
      <x v="64"/>
    </i>
    <i>
      <x v="65"/>
    </i>
    <i>
      <x v="66"/>
    </i>
    <i>
      <x v="67"/>
    </i>
    <i>
      <x v="68"/>
    </i>
    <i>
      <x v="69"/>
    </i>
    <i>
      <x v="70"/>
    </i>
    <i>
      <x v="71"/>
    </i>
    <i t="grand">
      <x/>
    </i>
  </colItems>
  <dataFields count="1">
    <dataField name="Sum of F4" fld="4" baseField="0" baseItem="0"/>
  </dataFields>
  <chartFormats count="97">
    <chartFormat chart="1" format="194" series="1">
      <pivotArea type="data" outline="0" fieldPosition="0">
        <references count="2">
          <reference field="4294967294" count="1" selected="0">
            <x v="0"/>
          </reference>
          <reference field="0" count="1" selected="0">
            <x v="1"/>
          </reference>
        </references>
      </pivotArea>
    </chartFormat>
    <chartFormat chart="1" format="195" series="1">
      <pivotArea type="data" outline="0" fieldPosition="0">
        <references count="2">
          <reference field="4294967294" count="1" selected="0">
            <x v="0"/>
          </reference>
          <reference field="0" count="1" selected="0">
            <x v="2"/>
          </reference>
        </references>
      </pivotArea>
    </chartFormat>
    <chartFormat chart="1" format="196" series="1">
      <pivotArea type="data" outline="0" fieldPosition="0">
        <references count="2">
          <reference field="4294967294" count="1" selected="0">
            <x v="0"/>
          </reference>
          <reference field="0" count="1" selected="0">
            <x v="3"/>
          </reference>
        </references>
      </pivotArea>
    </chartFormat>
    <chartFormat chart="1" format="197" series="1">
      <pivotArea type="data" outline="0" fieldPosition="0">
        <references count="2">
          <reference field="4294967294" count="1" selected="0">
            <x v="0"/>
          </reference>
          <reference field="0" count="1" selected="0">
            <x v="4"/>
          </reference>
        </references>
      </pivotArea>
    </chartFormat>
    <chartFormat chart="1" format="198" series="1">
      <pivotArea type="data" outline="0" fieldPosition="0">
        <references count="2">
          <reference field="4294967294" count="1" selected="0">
            <x v="0"/>
          </reference>
          <reference field="0" count="1" selected="0">
            <x v="5"/>
          </reference>
        </references>
      </pivotArea>
    </chartFormat>
    <chartFormat chart="1" format="199" series="1">
      <pivotArea type="data" outline="0" fieldPosition="0">
        <references count="2">
          <reference field="4294967294" count="1" selected="0">
            <x v="0"/>
          </reference>
          <reference field="0" count="1" selected="0">
            <x v="6"/>
          </reference>
        </references>
      </pivotArea>
    </chartFormat>
    <chartFormat chart="1" format="200" series="1">
      <pivotArea type="data" outline="0" fieldPosition="0">
        <references count="2">
          <reference field="4294967294" count="1" selected="0">
            <x v="0"/>
          </reference>
          <reference field="0" count="1" selected="0">
            <x v="7"/>
          </reference>
        </references>
      </pivotArea>
    </chartFormat>
    <chartFormat chart="1" format="201" series="1">
      <pivotArea type="data" outline="0" fieldPosition="0">
        <references count="2">
          <reference field="4294967294" count="1" selected="0">
            <x v="0"/>
          </reference>
          <reference field="0" count="1" selected="0">
            <x v="8"/>
          </reference>
        </references>
      </pivotArea>
    </chartFormat>
    <chartFormat chart="1" format="202" series="1">
      <pivotArea type="data" outline="0" fieldPosition="0">
        <references count="2">
          <reference field="4294967294" count="1" selected="0">
            <x v="0"/>
          </reference>
          <reference field="0" count="1" selected="0">
            <x v="9"/>
          </reference>
        </references>
      </pivotArea>
    </chartFormat>
    <chartFormat chart="1" format="203" series="1">
      <pivotArea type="data" outline="0" fieldPosition="0">
        <references count="2">
          <reference field="4294967294" count="1" selected="0">
            <x v="0"/>
          </reference>
          <reference field="0" count="1" selected="0">
            <x v="10"/>
          </reference>
        </references>
      </pivotArea>
    </chartFormat>
    <chartFormat chart="1" format="204" series="1">
      <pivotArea type="data" outline="0" fieldPosition="0">
        <references count="2">
          <reference field="4294967294" count="1" selected="0">
            <x v="0"/>
          </reference>
          <reference field="0" count="1" selected="0">
            <x v="13"/>
          </reference>
        </references>
      </pivotArea>
    </chartFormat>
    <chartFormat chart="1" format="205" series="1">
      <pivotArea type="data" outline="0" fieldPosition="0">
        <references count="2">
          <reference field="4294967294" count="1" selected="0">
            <x v="0"/>
          </reference>
          <reference field="0" count="1" selected="0">
            <x v="14"/>
          </reference>
        </references>
      </pivotArea>
    </chartFormat>
    <chartFormat chart="1" format="206" series="1">
      <pivotArea type="data" outline="0" fieldPosition="0">
        <references count="2">
          <reference field="4294967294" count="1" selected="0">
            <x v="0"/>
          </reference>
          <reference field="0" count="1" selected="0">
            <x v="15"/>
          </reference>
        </references>
      </pivotArea>
    </chartFormat>
    <chartFormat chart="1" format="207" series="1">
      <pivotArea type="data" outline="0" fieldPosition="0">
        <references count="2">
          <reference field="4294967294" count="1" selected="0">
            <x v="0"/>
          </reference>
          <reference field="0" count="1" selected="0">
            <x v="16"/>
          </reference>
        </references>
      </pivotArea>
    </chartFormat>
    <chartFormat chart="1" format="208" series="1">
      <pivotArea type="data" outline="0" fieldPosition="0">
        <references count="2">
          <reference field="4294967294" count="1" selected="0">
            <x v="0"/>
          </reference>
          <reference field="0" count="1" selected="0">
            <x v="17"/>
          </reference>
        </references>
      </pivotArea>
    </chartFormat>
    <chartFormat chart="1" format="209" series="1">
      <pivotArea type="data" outline="0" fieldPosition="0">
        <references count="2">
          <reference field="4294967294" count="1" selected="0">
            <x v="0"/>
          </reference>
          <reference field="0" count="1" selected="0">
            <x v="18"/>
          </reference>
        </references>
      </pivotArea>
    </chartFormat>
    <chartFormat chart="1" format="210" series="1">
      <pivotArea type="data" outline="0" fieldPosition="0">
        <references count="2">
          <reference field="4294967294" count="1" selected="0">
            <x v="0"/>
          </reference>
          <reference field="0" count="1" selected="0">
            <x v="19"/>
          </reference>
        </references>
      </pivotArea>
    </chartFormat>
    <chartFormat chart="1" format="211" series="1">
      <pivotArea type="data" outline="0" fieldPosition="0">
        <references count="2">
          <reference field="4294967294" count="1" selected="0">
            <x v="0"/>
          </reference>
          <reference field="0" count="1" selected="0">
            <x v="20"/>
          </reference>
        </references>
      </pivotArea>
    </chartFormat>
    <chartFormat chart="1" format="212" series="1">
      <pivotArea type="data" outline="0" fieldPosition="0">
        <references count="2">
          <reference field="4294967294" count="1" selected="0">
            <x v="0"/>
          </reference>
          <reference field="0" count="1" selected="0">
            <x v="21"/>
          </reference>
        </references>
      </pivotArea>
    </chartFormat>
    <chartFormat chart="1" format="213" series="1">
      <pivotArea type="data" outline="0" fieldPosition="0">
        <references count="2">
          <reference field="4294967294" count="1" selected="0">
            <x v="0"/>
          </reference>
          <reference field="0" count="1" selected="0">
            <x v="22"/>
          </reference>
        </references>
      </pivotArea>
    </chartFormat>
    <chartFormat chart="1" format="214" series="1">
      <pivotArea type="data" outline="0" fieldPosition="0">
        <references count="2">
          <reference field="4294967294" count="1" selected="0">
            <x v="0"/>
          </reference>
          <reference field="0" count="1" selected="0">
            <x v="23"/>
          </reference>
        </references>
      </pivotArea>
    </chartFormat>
    <chartFormat chart="1" format="215" series="1">
      <pivotArea type="data" outline="0" fieldPosition="0">
        <references count="2">
          <reference field="4294967294" count="1" selected="0">
            <x v="0"/>
          </reference>
          <reference field="0" count="1" selected="0">
            <x v="25"/>
          </reference>
        </references>
      </pivotArea>
    </chartFormat>
    <chartFormat chart="1" format="216" series="1">
      <pivotArea type="data" outline="0" fieldPosition="0">
        <references count="2">
          <reference field="4294967294" count="1" selected="0">
            <x v="0"/>
          </reference>
          <reference field="0" count="1" selected="0">
            <x v="26"/>
          </reference>
        </references>
      </pivotArea>
    </chartFormat>
    <chartFormat chart="1" format="217" series="1">
      <pivotArea type="data" outline="0" fieldPosition="0">
        <references count="2">
          <reference field="4294967294" count="1" selected="0">
            <x v="0"/>
          </reference>
          <reference field="0" count="1" selected="0">
            <x v="27"/>
          </reference>
        </references>
      </pivotArea>
    </chartFormat>
    <chartFormat chart="1" format="218" series="1">
      <pivotArea type="data" outline="0" fieldPosition="0">
        <references count="2">
          <reference field="4294967294" count="1" selected="0">
            <x v="0"/>
          </reference>
          <reference field="0" count="1" selected="0">
            <x v="28"/>
          </reference>
        </references>
      </pivotArea>
    </chartFormat>
    <chartFormat chart="1" format="219" series="1">
      <pivotArea type="data" outline="0" fieldPosition="0">
        <references count="2">
          <reference field="4294967294" count="1" selected="0">
            <x v="0"/>
          </reference>
          <reference field="0" count="1" selected="0">
            <x v="29"/>
          </reference>
        </references>
      </pivotArea>
    </chartFormat>
    <chartFormat chart="1" format="220" series="1">
      <pivotArea type="data" outline="0" fieldPosition="0">
        <references count="2">
          <reference field="4294967294" count="1" selected="0">
            <x v="0"/>
          </reference>
          <reference field="0" count="1" selected="0">
            <x v="30"/>
          </reference>
        </references>
      </pivotArea>
    </chartFormat>
    <chartFormat chart="1" format="221" series="1">
      <pivotArea type="data" outline="0" fieldPosition="0">
        <references count="2">
          <reference field="4294967294" count="1" selected="0">
            <x v="0"/>
          </reference>
          <reference field="0" count="1" selected="0">
            <x v="31"/>
          </reference>
        </references>
      </pivotArea>
    </chartFormat>
    <chartFormat chart="1" format="222" series="1">
      <pivotArea type="data" outline="0" fieldPosition="0">
        <references count="2">
          <reference field="4294967294" count="1" selected="0">
            <x v="0"/>
          </reference>
          <reference field="0" count="1" selected="0">
            <x v="32"/>
          </reference>
        </references>
      </pivotArea>
    </chartFormat>
    <chartFormat chart="1" format="223" series="1">
      <pivotArea type="data" outline="0" fieldPosition="0">
        <references count="2">
          <reference field="4294967294" count="1" selected="0">
            <x v="0"/>
          </reference>
          <reference field="0" count="1" selected="0">
            <x v="33"/>
          </reference>
        </references>
      </pivotArea>
    </chartFormat>
    <chartFormat chart="1" format="224" series="1">
      <pivotArea type="data" outline="0" fieldPosition="0">
        <references count="2">
          <reference field="4294967294" count="1" selected="0">
            <x v="0"/>
          </reference>
          <reference field="0" count="1" selected="0">
            <x v="34"/>
          </reference>
        </references>
      </pivotArea>
    </chartFormat>
    <chartFormat chart="1" format="225" series="1">
      <pivotArea type="data" outline="0" fieldPosition="0">
        <references count="2">
          <reference field="4294967294" count="1" selected="0">
            <x v="0"/>
          </reference>
          <reference field="0" count="1" selected="0">
            <x v="35"/>
          </reference>
        </references>
      </pivotArea>
    </chartFormat>
    <chartFormat chart="2" format="226" series="1">
      <pivotArea type="data" outline="0" fieldPosition="0">
        <references count="2">
          <reference field="4294967294" count="1" selected="0">
            <x v="0"/>
          </reference>
          <reference field="0" count="1" selected="0">
            <x v="1"/>
          </reference>
        </references>
      </pivotArea>
    </chartFormat>
    <chartFormat chart="2" format="227" series="1">
      <pivotArea type="data" outline="0" fieldPosition="0">
        <references count="2">
          <reference field="4294967294" count="1" selected="0">
            <x v="0"/>
          </reference>
          <reference field="0" count="1" selected="0">
            <x v="2"/>
          </reference>
        </references>
      </pivotArea>
    </chartFormat>
    <chartFormat chart="2" format="228" series="1">
      <pivotArea type="data" outline="0" fieldPosition="0">
        <references count="2">
          <reference field="4294967294" count="1" selected="0">
            <x v="0"/>
          </reference>
          <reference field="0" count="1" selected="0">
            <x v="3"/>
          </reference>
        </references>
      </pivotArea>
    </chartFormat>
    <chartFormat chart="2" format="229" series="1">
      <pivotArea type="data" outline="0" fieldPosition="0">
        <references count="2">
          <reference field="4294967294" count="1" selected="0">
            <x v="0"/>
          </reference>
          <reference field="0" count="1" selected="0">
            <x v="4"/>
          </reference>
        </references>
      </pivotArea>
    </chartFormat>
    <chartFormat chart="2" format="230" series="1">
      <pivotArea type="data" outline="0" fieldPosition="0">
        <references count="2">
          <reference field="4294967294" count="1" selected="0">
            <x v="0"/>
          </reference>
          <reference field="0" count="1" selected="0">
            <x v="5"/>
          </reference>
        </references>
      </pivotArea>
    </chartFormat>
    <chartFormat chart="2" format="231" series="1">
      <pivotArea type="data" outline="0" fieldPosition="0">
        <references count="2">
          <reference field="4294967294" count="1" selected="0">
            <x v="0"/>
          </reference>
          <reference field="0" count="1" selected="0">
            <x v="6"/>
          </reference>
        </references>
      </pivotArea>
    </chartFormat>
    <chartFormat chart="2" format="232" series="1">
      <pivotArea type="data" outline="0" fieldPosition="0">
        <references count="2">
          <reference field="4294967294" count="1" selected="0">
            <x v="0"/>
          </reference>
          <reference field="0" count="1" selected="0">
            <x v="7"/>
          </reference>
        </references>
      </pivotArea>
    </chartFormat>
    <chartFormat chart="2" format="233" series="1">
      <pivotArea type="data" outline="0" fieldPosition="0">
        <references count="2">
          <reference field="4294967294" count="1" selected="0">
            <x v="0"/>
          </reference>
          <reference field="0" count="1" selected="0">
            <x v="8"/>
          </reference>
        </references>
      </pivotArea>
    </chartFormat>
    <chartFormat chart="2" format="234" series="1">
      <pivotArea type="data" outline="0" fieldPosition="0">
        <references count="2">
          <reference field="4294967294" count="1" selected="0">
            <x v="0"/>
          </reference>
          <reference field="0" count="1" selected="0">
            <x v="9"/>
          </reference>
        </references>
      </pivotArea>
    </chartFormat>
    <chartFormat chart="2" format="235" series="1">
      <pivotArea type="data" outline="0" fieldPosition="0">
        <references count="2">
          <reference field="4294967294" count="1" selected="0">
            <x v="0"/>
          </reference>
          <reference field="0" count="1" selected="0">
            <x v="10"/>
          </reference>
        </references>
      </pivotArea>
    </chartFormat>
    <chartFormat chart="2" format="236" series="1">
      <pivotArea type="data" outline="0" fieldPosition="0">
        <references count="2">
          <reference field="4294967294" count="1" selected="0">
            <x v="0"/>
          </reference>
          <reference field="0" count="1" selected="0">
            <x v="13"/>
          </reference>
        </references>
      </pivotArea>
    </chartFormat>
    <chartFormat chart="2" format="237" series="1">
      <pivotArea type="data" outline="0" fieldPosition="0">
        <references count="2">
          <reference field="4294967294" count="1" selected="0">
            <x v="0"/>
          </reference>
          <reference field="0" count="1" selected="0">
            <x v="14"/>
          </reference>
        </references>
      </pivotArea>
    </chartFormat>
    <chartFormat chart="2" format="238" series="1">
      <pivotArea type="data" outline="0" fieldPosition="0">
        <references count="2">
          <reference field="4294967294" count="1" selected="0">
            <x v="0"/>
          </reference>
          <reference field="0" count="1" selected="0">
            <x v="15"/>
          </reference>
        </references>
      </pivotArea>
    </chartFormat>
    <chartFormat chart="2" format="239" series="1">
      <pivotArea type="data" outline="0" fieldPosition="0">
        <references count="2">
          <reference field="4294967294" count="1" selected="0">
            <x v="0"/>
          </reference>
          <reference field="0" count="1" selected="0">
            <x v="16"/>
          </reference>
        </references>
      </pivotArea>
    </chartFormat>
    <chartFormat chart="2" format="240" series="1">
      <pivotArea type="data" outline="0" fieldPosition="0">
        <references count="2">
          <reference field="4294967294" count="1" selected="0">
            <x v="0"/>
          </reference>
          <reference field="0" count="1" selected="0">
            <x v="17"/>
          </reference>
        </references>
      </pivotArea>
    </chartFormat>
    <chartFormat chart="2" format="241" series="1">
      <pivotArea type="data" outline="0" fieldPosition="0">
        <references count="2">
          <reference field="4294967294" count="1" selected="0">
            <x v="0"/>
          </reference>
          <reference field="0" count="1" selected="0">
            <x v="18"/>
          </reference>
        </references>
      </pivotArea>
    </chartFormat>
    <chartFormat chart="2" format="242" series="1">
      <pivotArea type="data" outline="0" fieldPosition="0">
        <references count="2">
          <reference field="4294967294" count="1" selected="0">
            <x v="0"/>
          </reference>
          <reference field="0" count="1" selected="0">
            <x v="19"/>
          </reference>
        </references>
      </pivotArea>
    </chartFormat>
    <chartFormat chart="2" format="243" series="1">
      <pivotArea type="data" outline="0" fieldPosition="0">
        <references count="2">
          <reference field="4294967294" count="1" selected="0">
            <x v="0"/>
          </reference>
          <reference field="0" count="1" selected="0">
            <x v="20"/>
          </reference>
        </references>
      </pivotArea>
    </chartFormat>
    <chartFormat chart="2" format="244" series="1">
      <pivotArea type="data" outline="0" fieldPosition="0">
        <references count="2">
          <reference field="4294967294" count="1" selected="0">
            <x v="0"/>
          </reference>
          <reference field="0" count="1" selected="0">
            <x v="21"/>
          </reference>
        </references>
      </pivotArea>
    </chartFormat>
    <chartFormat chart="2" format="245" series="1">
      <pivotArea type="data" outline="0" fieldPosition="0">
        <references count="2">
          <reference field="4294967294" count="1" selected="0">
            <x v="0"/>
          </reference>
          <reference field="0" count="1" selected="0">
            <x v="22"/>
          </reference>
        </references>
      </pivotArea>
    </chartFormat>
    <chartFormat chart="2" format="246" series="1">
      <pivotArea type="data" outline="0" fieldPosition="0">
        <references count="2">
          <reference field="4294967294" count="1" selected="0">
            <x v="0"/>
          </reference>
          <reference field="0" count="1" selected="0">
            <x v="23"/>
          </reference>
        </references>
      </pivotArea>
    </chartFormat>
    <chartFormat chart="2" format="247" series="1">
      <pivotArea type="data" outline="0" fieldPosition="0">
        <references count="2">
          <reference field="4294967294" count="1" selected="0">
            <x v="0"/>
          </reference>
          <reference field="0" count="1" selected="0">
            <x v="25"/>
          </reference>
        </references>
      </pivotArea>
    </chartFormat>
    <chartFormat chart="2" format="248" series="1">
      <pivotArea type="data" outline="0" fieldPosition="0">
        <references count="2">
          <reference field="4294967294" count="1" selected="0">
            <x v="0"/>
          </reference>
          <reference field="0" count="1" selected="0">
            <x v="26"/>
          </reference>
        </references>
      </pivotArea>
    </chartFormat>
    <chartFormat chart="2" format="249" series="1">
      <pivotArea type="data" outline="0" fieldPosition="0">
        <references count="2">
          <reference field="4294967294" count="1" selected="0">
            <x v="0"/>
          </reference>
          <reference field="0" count="1" selected="0">
            <x v="27"/>
          </reference>
        </references>
      </pivotArea>
    </chartFormat>
    <chartFormat chart="2" format="250" series="1">
      <pivotArea type="data" outline="0" fieldPosition="0">
        <references count="2">
          <reference field="4294967294" count="1" selected="0">
            <x v="0"/>
          </reference>
          <reference field="0" count="1" selected="0">
            <x v="28"/>
          </reference>
        </references>
      </pivotArea>
    </chartFormat>
    <chartFormat chart="2" format="251" series="1">
      <pivotArea type="data" outline="0" fieldPosition="0">
        <references count="2">
          <reference field="4294967294" count="1" selected="0">
            <x v="0"/>
          </reference>
          <reference field="0" count="1" selected="0">
            <x v="29"/>
          </reference>
        </references>
      </pivotArea>
    </chartFormat>
    <chartFormat chart="2" format="252" series="1">
      <pivotArea type="data" outline="0" fieldPosition="0">
        <references count="2">
          <reference field="4294967294" count="1" selected="0">
            <x v="0"/>
          </reference>
          <reference field="0" count="1" selected="0">
            <x v="30"/>
          </reference>
        </references>
      </pivotArea>
    </chartFormat>
    <chartFormat chart="2" format="253" series="1">
      <pivotArea type="data" outline="0" fieldPosition="0">
        <references count="2">
          <reference field="4294967294" count="1" selected="0">
            <x v="0"/>
          </reference>
          <reference field="0" count="1" selected="0">
            <x v="31"/>
          </reference>
        </references>
      </pivotArea>
    </chartFormat>
    <chartFormat chart="2" format="254" series="1">
      <pivotArea type="data" outline="0" fieldPosition="0">
        <references count="2">
          <reference field="4294967294" count="1" selected="0">
            <x v="0"/>
          </reference>
          <reference field="0" count="1" selected="0">
            <x v="32"/>
          </reference>
        </references>
      </pivotArea>
    </chartFormat>
    <chartFormat chart="2" format="255" series="1">
      <pivotArea type="data" outline="0" fieldPosition="0">
        <references count="2">
          <reference field="4294967294" count="1" selected="0">
            <x v="0"/>
          </reference>
          <reference field="0" count="1" selected="0">
            <x v="33"/>
          </reference>
        </references>
      </pivotArea>
    </chartFormat>
    <chartFormat chart="2" format="256" series="1">
      <pivotArea type="data" outline="0" fieldPosition="0">
        <references count="2">
          <reference field="4294967294" count="1" selected="0">
            <x v="0"/>
          </reference>
          <reference field="0" count="1" selected="0">
            <x v="34"/>
          </reference>
        </references>
      </pivotArea>
    </chartFormat>
    <chartFormat chart="2" format="257" series="1">
      <pivotArea type="data" outline="0" fieldPosition="0">
        <references count="2">
          <reference field="4294967294" count="1" selected="0">
            <x v="0"/>
          </reference>
          <reference field="0" count="1" selected="0">
            <x v="35"/>
          </reference>
        </references>
      </pivotArea>
    </chartFormat>
    <chartFormat chart="2" format="258" series="1">
      <pivotArea type="data" outline="0" fieldPosition="0">
        <references count="2">
          <reference field="4294967294" count="1" selected="0">
            <x v="0"/>
          </reference>
          <reference field="0" count="1" selected="0">
            <x v="71"/>
          </reference>
        </references>
      </pivotArea>
    </chartFormat>
    <chartFormat chart="2" format="259" series="1">
      <pivotArea type="data" outline="0" fieldPosition="0">
        <references count="2">
          <reference field="4294967294" count="1" selected="0">
            <x v="0"/>
          </reference>
          <reference field="0" count="1" selected="0">
            <x v="37"/>
          </reference>
        </references>
      </pivotArea>
    </chartFormat>
    <chartFormat chart="2" format="260" series="1">
      <pivotArea type="data" outline="0" fieldPosition="0">
        <references count="2">
          <reference field="4294967294" count="1" selected="0">
            <x v="0"/>
          </reference>
          <reference field="0" count="1" selected="0">
            <x v="38"/>
          </reference>
        </references>
      </pivotArea>
    </chartFormat>
    <chartFormat chart="2" format="261" series="1">
      <pivotArea type="data" outline="0" fieldPosition="0">
        <references count="2">
          <reference field="4294967294" count="1" selected="0">
            <x v="0"/>
          </reference>
          <reference field="0" count="1" selected="0">
            <x v="39"/>
          </reference>
        </references>
      </pivotArea>
    </chartFormat>
    <chartFormat chart="2" format="262" series="1">
      <pivotArea type="data" outline="0" fieldPosition="0">
        <references count="2">
          <reference field="4294967294" count="1" selected="0">
            <x v="0"/>
          </reference>
          <reference field="0" count="1" selected="0">
            <x v="40"/>
          </reference>
        </references>
      </pivotArea>
    </chartFormat>
    <chartFormat chart="2" format="263" series="1">
      <pivotArea type="data" outline="0" fieldPosition="0">
        <references count="2">
          <reference field="4294967294" count="1" selected="0">
            <x v="0"/>
          </reference>
          <reference field="0" count="1" selected="0">
            <x v="41"/>
          </reference>
        </references>
      </pivotArea>
    </chartFormat>
    <chartFormat chart="2" format="264" series="1">
      <pivotArea type="data" outline="0" fieldPosition="0">
        <references count="2">
          <reference field="4294967294" count="1" selected="0">
            <x v="0"/>
          </reference>
          <reference field="0" count="1" selected="0">
            <x v="42"/>
          </reference>
        </references>
      </pivotArea>
    </chartFormat>
    <chartFormat chart="2" format="265" series="1">
      <pivotArea type="data" outline="0" fieldPosition="0">
        <references count="2">
          <reference field="4294967294" count="1" selected="0">
            <x v="0"/>
          </reference>
          <reference field="0" count="1" selected="0">
            <x v="43"/>
          </reference>
        </references>
      </pivotArea>
    </chartFormat>
    <chartFormat chart="2" format="266" series="1">
      <pivotArea type="data" outline="0" fieldPosition="0">
        <references count="2">
          <reference field="4294967294" count="1" selected="0">
            <x v="0"/>
          </reference>
          <reference field="0" count="1" selected="0">
            <x v="44"/>
          </reference>
        </references>
      </pivotArea>
    </chartFormat>
    <chartFormat chart="2" format="267" series="1">
      <pivotArea type="data" outline="0" fieldPosition="0">
        <references count="2">
          <reference field="4294967294" count="1" selected="0">
            <x v="0"/>
          </reference>
          <reference field="0" count="1" selected="0">
            <x v="45"/>
          </reference>
        </references>
      </pivotArea>
    </chartFormat>
    <chartFormat chart="2" format="268" series="1">
      <pivotArea type="data" outline="0" fieldPosition="0">
        <references count="2">
          <reference field="4294967294" count="1" selected="0">
            <x v="0"/>
          </reference>
          <reference field="0" count="1" selected="0">
            <x v="46"/>
          </reference>
        </references>
      </pivotArea>
    </chartFormat>
    <chartFormat chart="2" format="269" series="1">
      <pivotArea type="data" outline="0" fieldPosition="0">
        <references count="2">
          <reference field="4294967294" count="1" selected="0">
            <x v="0"/>
          </reference>
          <reference field="0" count="1" selected="0">
            <x v="47"/>
          </reference>
        </references>
      </pivotArea>
    </chartFormat>
    <chartFormat chart="2" format="270" series="1">
      <pivotArea type="data" outline="0" fieldPosition="0">
        <references count="2">
          <reference field="4294967294" count="1" selected="0">
            <x v="0"/>
          </reference>
          <reference field="0" count="1" selected="0">
            <x v="49"/>
          </reference>
        </references>
      </pivotArea>
    </chartFormat>
    <chartFormat chart="2" format="271" series="1">
      <pivotArea type="data" outline="0" fieldPosition="0">
        <references count="2">
          <reference field="4294967294" count="1" selected="0">
            <x v="0"/>
          </reference>
          <reference field="0" count="1" selected="0">
            <x v="50"/>
          </reference>
        </references>
      </pivotArea>
    </chartFormat>
    <chartFormat chart="2" format="272" series="1">
      <pivotArea type="data" outline="0" fieldPosition="0">
        <references count="2">
          <reference field="4294967294" count="1" selected="0">
            <x v="0"/>
          </reference>
          <reference field="0" count="1" selected="0">
            <x v="51"/>
          </reference>
        </references>
      </pivotArea>
    </chartFormat>
    <chartFormat chart="2" format="273" series="1">
      <pivotArea type="data" outline="0" fieldPosition="0">
        <references count="2">
          <reference field="4294967294" count="1" selected="0">
            <x v="0"/>
          </reference>
          <reference field="0" count="1" selected="0">
            <x v="52"/>
          </reference>
        </references>
      </pivotArea>
    </chartFormat>
    <chartFormat chart="2" format="274" series="1">
      <pivotArea type="data" outline="0" fieldPosition="0">
        <references count="2">
          <reference field="4294967294" count="1" selected="0">
            <x v="0"/>
          </reference>
          <reference field="0" count="1" selected="0">
            <x v="53"/>
          </reference>
        </references>
      </pivotArea>
    </chartFormat>
    <chartFormat chart="2" format="275" series="1">
      <pivotArea type="data" outline="0" fieldPosition="0">
        <references count="2">
          <reference field="4294967294" count="1" selected="0">
            <x v="0"/>
          </reference>
          <reference field="0" count="1" selected="0">
            <x v="54"/>
          </reference>
        </references>
      </pivotArea>
    </chartFormat>
    <chartFormat chart="2" format="276" series="1">
      <pivotArea type="data" outline="0" fieldPosition="0">
        <references count="2">
          <reference field="4294967294" count="1" selected="0">
            <x v="0"/>
          </reference>
          <reference field="0" count="1" selected="0">
            <x v="55"/>
          </reference>
        </references>
      </pivotArea>
    </chartFormat>
    <chartFormat chart="2" format="277" series="1">
      <pivotArea type="data" outline="0" fieldPosition="0">
        <references count="2">
          <reference field="4294967294" count="1" selected="0">
            <x v="0"/>
          </reference>
          <reference field="0" count="1" selected="0">
            <x v="56"/>
          </reference>
        </references>
      </pivotArea>
    </chartFormat>
    <chartFormat chart="2" format="278" series="1">
      <pivotArea type="data" outline="0" fieldPosition="0">
        <references count="2">
          <reference field="4294967294" count="1" selected="0">
            <x v="0"/>
          </reference>
          <reference field="0" count="1" selected="0">
            <x v="57"/>
          </reference>
        </references>
      </pivotArea>
    </chartFormat>
    <chartFormat chart="2" format="279" series="1">
      <pivotArea type="data" outline="0" fieldPosition="0">
        <references count="2">
          <reference field="4294967294" count="1" selected="0">
            <x v="0"/>
          </reference>
          <reference field="0" count="1" selected="0">
            <x v="58"/>
          </reference>
        </references>
      </pivotArea>
    </chartFormat>
    <chartFormat chart="2" format="280" series="1">
      <pivotArea type="data" outline="0" fieldPosition="0">
        <references count="2">
          <reference field="4294967294" count="1" selected="0">
            <x v="0"/>
          </reference>
          <reference field="0" count="1" selected="0">
            <x v="59"/>
          </reference>
        </references>
      </pivotArea>
    </chartFormat>
    <chartFormat chart="2" format="281" series="1">
      <pivotArea type="data" outline="0" fieldPosition="0">
        <references count="2">
          <reference field="4294967294" count="1" selected="0">
            <x v="0"/>
          </reference>
          <reference field="0" count="1" selected="0">
            <x v="61"/>
          </reference>
        </references>
      </pivotArea>
    </chartFormat>
    <chartFormat chart="2" format="282" series="1">
      <pivotArea type="data" outline="0" fieldPosition="0">
        <references count="2">
          <reference field="4294967294" count="1" selected="0">
            <x v="0"/>
          </reference>
          <reference field="0" count="1" selected="0">
            <x v="62"/>
          </reference>
        </references>
      </pivotArea>
    </chartFormat>
    <chartFormat chart="2" format="283" series="1">
      <pivotArea type="data" outline="0" fieldPosition="0">
        <references count="2">
          <reference field="4294967294" count="1" selected="0">
            <x v="0"/>
          </reference>
          <reference field="0" count="1" selected="0">
            <x v="63"/>
          </reference>
        </references>
      </pivotArea>
    </chartFormat>
    <chartFormat chart="2" format="284" series="1">
      <pivotArea type="data" outline="0" fieldPosition="0">
        <references count="2">
          <reference field="4294967294" count="1" selected="0">
            <x v="0"/>
          </reference>
          <reference field="0" count="1" selected="0">
            <x v="64"/>
          </reference>
        </references>
      </pivotArea>
    </chartFormat>
    <chartFormat chart="2" format="285" series="1">
      <pivotArea type="data" outline="0" fieldPosition="0">
        <references count="2">
          <reference field="4294967294" count="1" selected="0">
            <x v="0"/>
          </reference>
          <reference field="0" count="1" selected="0">
            <x v="65"/>
          </reference>
        </references>
      </pivotArea>
    </chartFormat>
    <chartFormat chart="2" format="286" series="1">
      <pivotArea type="data" outline="0" fieldPosition="0">
        <references count="2">
          <reference field="4294967294" count="1" selected="0">
            <x v="0"/>
          </reference>
          <reference field="0" count="1" selected="0">
            <x v="66"/>
          </reference>
        </references>
      </pivotArea>
    </chartFormat>
    <chartFormat chart="2" format="287" series="1">
      <pivotArea type="data" outline="0" fieldPosition="0">
        <references count="2">
          <reference field="4294967294" count="1" selected="0">
            <x v="0"/>
          </reference>
          <reference field="0" count="1" selected="0">
            <x v="67"/>
          </reference>
        </references>
      </pivotArea>
    </chartFormat>
    <chartFormat chart="2" format="288" series="1">
      <pivotArea type="data" outline="0" fieldPosition="0">
        <references count="2">
          <reference field="4294967294" count="1" selected="0">
            <x v="0"/>
          </reference>
          <reference field="0" count="1" selected="0">
            <x v="68"/>
          </reference>
        </references>
      </pivotArea>
    </chartFormat>
    <chartFormat chart="2" format="289" series="1">
      <pivotArea type="data" outline="0" fieldPosition="0">
        <references count="2">
          <reference field="4294967294" count="1" selected="0">
            <x v="0"/>
          </reference>
          <reference field="0" count="1" selected="0">
            <x v="69"/>
          </reference>
        </references>
      </pivotArea>
    </chartFormat>
    <chartFormat chart="2" format="290" series="1">
      <pivotArea type="data" outline="0" fieldPosition="0">
        <references count="2">
          <reference field="4294967294" count="1" selected="0">
            <x v="0"/>
          </reference>
          <reference field="0" count="1" selected="0">
            <x v="7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BE4C4D-F537-4DB9-B531-BAD6E8482CA0}" name="PivotTable4"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J13" firstHeaderRow="1" firstDataRow="2" firstDataCol="1"/>
  <pivotFields count="4">
    <pivotField axis="axisRow" showAll="0">
      <items count="4">
        <item x="0"/>
        <item x="1"/>
        <item x="2"/>
        <item t="default"/>
      </items>
    </pivotField>
    <pivotField axis="axisCol" showAll="0">
      <items count="9">
        <item x="0"/>
        <item x="1"/>
        <item x="2"/>
        <item x="3"/>
        <item x="4"/>
        <item x="5"/>
        <item x="6"/>
        <item x="7"/>
        <item t="default"/>
      </items>
    </pivotField>
    <pivotField axis="axisRow" showAll="0" sortType="descending">
      <items count="3">
        <item x="1"/>
        <item x="0"/>
        <item t="default"/>
      </items>
    </pivotField>
    <pivotField dataField="1" showAll="0"/>
  </pivotFields>
  <rowFields count="2">
    <field x="2"/>
    <field x="0"/>
  </rowFields>
  <rowItems count="9">
    <i>
      <x/>
    </i>
    <i r="1">
      <x/>
    </i>
    <i r="1">
      <x v="1"/>
    </i>
    <i r="1">
      <x v="2"/>
    </i>
    <i>
      <x v="1"/>
    </i>
    <i r="1">
      <x/>
    </i>
    <i r="1">
      <x v="1"/>
    </i>
    <i r="1">
      <x v="2"/>
    </i>
    <i t="grand">
      <x/>
    </i>
  </rowItems>
  <colFields count="1">
    <field x="1"/>
  </colFields>
  <colItems count="9">
    <i>
      <x/>
    </i>
    <i>
      <x v="1"/>
    </i>
    <i>
      <x v="2"/>
    </i>
    <i>
      <x v="3"/>
    </i>
    <i>
      <x v="4"/>
    </i>
    <i>
      <x v="5"/>
    </i>
    <i>
      <x v="6"/>
    </i>
    <i>
      <x v="7"/>
    </i>
    <i t="grand">
      <x/>
    </i>
  </colItems>
  <dataFields count="1">
    <dataField name="Sum of Ct_AVG" fld="3" baseField="0" baseItem="0"/>
  </dataFields>
  <chartFormats count="17">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0"/>
          </reference>
        </references>
      </pivotArea>
    </chartFormat>
    <chartFormat chart="0" format="9" series="1">
      <pivotArea type="data" outline="0" fieldPosition="0">
        <references count="2">
          <reference field="4294967294" count="1" selected="0">
            <x v="0"/>
          </reference>
          <reference field="1" count="1" selected="0">
            <x v="1"/>
          </reference>
        </references>
      </pivotArea>
    </chartFormat>
    <chartFormat chart="6" format="10" series="1">
      <pivotArea type="data" outline="0" fieldPosition="0">
        <references count="2">
          <reference field="4294967294" count="1" selected="0">
            <x v="0"/>
          </reference>
          <reference field="1" count="1" selected="0">
            <x v="0"/>
          </reference>
        </references>
      </pivotArea>
    </chartFormat>
    <chartFormat chart="6" format="11" series="1">
      <pivotArea type="data" outline="0" fieldPosition="0">
        <references count="2">
          <reference field="4294967294" count="1" selected="0">
            <x v="0"/>
          </reference>
          <reference field="1" count="1" selected="0">
            <x v="1"/>
          </reference>
        </references>
      </pivotArea>
    </chartFormat>
    <chartFormat chart="6" format="12" series="1">
      <pivotArea type="data" outline="0" fieldPosition="0">
        <references count="2">
          <reference field="4294967294" count="1" selected="0">
            <x v="0"/>
          </reference>
          <reference field="1" count="1" selected="0">
            <x v="2"/>
          </reference>
        </references>
      </pivotArea>
    </chartFormat>
    <chartFormat chart="6" format="13" series="1">
      <pivotArea type="data" outline="0" fieldPosition="0">
        <references count="2">
          <reference field="4294967294" count="1" selected="0">
            <x v="0"/>
          </reference>
          <reference field="1" count="1" selected="0">
            <x v="3"/>
          </reference>
        </references>
      </pivotArea>
    </chartFormat>
    <chartFormat chart="6" format="14" series="1">
      <pivotArea type="data" outline="0" fieldPosition="0">
        <references count="2">
          <reference field="4294967294" count="1" selected="0">
            <x v="0"/>
          </reference>
          <reference field="1" count="1" selected="0">
            <x v="4"/>
          </reference>
        </references>
      </pivotArea>
    </chartFormat>
    <chartFormat chart="6" format="15" series="1">
      <pivotArea type="data" outline="0" fieldPosition="0">
        <references count="2">
          <reference field="4294967294" count="1" selected="0">
            <x v="0"/>
          </reference>
          <reference field="1" count="1" selected="0">
            <x v="5"/>
          </reference>
        </references>
      </pivotArea>
    </chartFormat>
    <chartFormat chart="6" format="16" series="1">
      <pivotArea type="data" outline="0" fieldPosition="0">
        <references count="2">
          <reference field="4294967294" count="1" selected="0">
            <x v="0"/>
          </reference>
          <reference field="1" count="1" selected="0">
            <x v="6"/>
          </reference>
        </references>
      </pivotArea>
    </chartFormat>
    <chartFormat chart="6" format="17"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8C75EE-75A6-4CBC-AD79-75195D4281AF}" name="PivotTable5"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3:H13" firstHeaderRow="1" firstDataRow="2" firstDataCol="1" rowPageCount="1" colPageCount="1"/>
  <pivotFields count="7">
    <pivotField axis="axisRow" showAll="0">
      <items count="4">
        <item x="1"/>
        <item x="2"/>
        <item x="0"/>
        <item t="default"/>
      </items>
    </pivotField>
    <pivotField showAll="0"/>
    <pivotField axis="axisCol" showAll="0" sortType="descending">
      <items count="9">
        <item h="1" x="6"/>
        <item h="1" x="7"/>
        <item x="0"/>
        <item x="1"/>
        <item x="2"/>
        <item x="3"/>
        <item x="4"/>
        <item x="5"/>
        <item t="default"/>
      </items>
    </pivotField>
    <pivotField showAll="0"/>
    <pivotField axis="axisRow" showAll="0">
      <items count="3">
        <item x="1"/>
        <item x="0"/>
        <item t="default"/>
      </items>
    </pivotField>
    <pivotField axis="axisPage" multipleItemSelectionAllowed="1" showAll="0">
      <items count="3">
        <item h="1" x="0"/>
        <item x="1"/>
        <item t="default"/>
      </items>
    </pivotField>
    <pivotField dataField="1" showAll="0">
      <items count="148">
        <item x="111"/>
        <item x="12"/>
        <item x="133"/>
        <item x="60"/>
        <item x="34"/>
        <item x="84"/>
        <item x="48"/>
        <item x="98"/>
        <item x="1"/>
        <item x="14"/>
        <item x="62"/>
        <item x="73"/>
        <item x="95"/>
        <item x="36"/>
        <item x="24"/>
        <item x="126"/>
        <item x="26"/>
        <item x="86"/>
        <item x="113"/>
        <item x="45"/>
        <item x="70"/>
        <item x="123"/>
        <item x="75"/>
        <item x="50"/>
        <item x="22"/>
        <item x="3"/>
        <item x="32"/>
        <item x="58"/>
        <item x="135"/>
        <item x="100"/>
        <item x="108"/>
        <item x="128"/>
        <item x="38"/>
        <item x="64"/>
        <item x="88"/>
        <item x="9"/>
        <item x="16"/>
        <item x="115"/>
        <item x="81"/>
        <item x="77"/>
        <item x="144"/>
        <item x="52"/>
        <item x="5"/>
        <item x="28"/>
        <item x="102"/>
        <item x="137"/>
        <item x="130"/>
        <item x="89"/>
        <item x="65"/>
        <item x="120"/>
        <item x="91"/>
        <item x="46"/>
        <item x="20"/>
        <item x="67"/>
        <item x="23"/>
        <item x="43"/>
        <item x="96"/>
        <item x="118"/>
        <item x="39"/>
        <item x="124"/>
        <item x="41"/>
        <item x="92"/>
        <item x="116"/>
        <item x="17"/>
        <item x="19"/>
        <item x="71"/>
        <item x="37"/>
        <item x="114"/>
        <item x="87"/>
        <item x="122"/>
        <item x="141"/>
        <item x="140"/>
        <item x="63"/>
        <item x="143"/>
        <item x="90"/>
        <item x="69"/>
        <item x="21"/>
        <item x="94"/>
        <item x="138"/>
        <item x="15"/>
        <item x="44"/>
        <item x="40"/>
        <item x="146"/>
        <item x="110"/>
        <item x="30"/>
        <item x="145"/>
        <item x="66"/>
        <item x="54"/>
        <item x="136"/>
        <item x="131"/>
        <item x="18"/>
        <item x="59"/>
        <item x="11"/>
        <item x="61"/>
        <item x="7"/>
        <item x="129"/>
        <item x="117"/>
        <item x="53"/>
        <item x="85"/>
        <item x="104"/>
        <item x="112"/>
        <item x="31"/>
        <item x="25"/>
        <item x="103"/>
        <item x="78"/>
        <item x="13"/>
        <item x="97"/>
        <item x="57"/>
        <item x="82"/>
        <item x="35"/>
        <item x="109"/>
        <item x="27"/>
        <item x="76"/>
        <item x="10"/>
        <item x="51"/>
        <item x="80"/>
        <item x="2"/>
        <item x="101"/>
        <item x="139"/>
        <item x="119"/>
        <item x="6"/>
        <item x="4"/>
        <item x="132"/>
        <item x="105"/>
        <item x="56"/>
        <item x="99"/>
        <item x="74"/>
        <item x="49"/>
        <item x="55"/>
        <item x="107"/>
        <item x="68"/>
        <item x="83"/>
        <item x="121"/>
        <item x="79"/>
        <item x="125"/>
        <item x="29"/>
        <item x="0"/>
        <item x="42"/>
        <item x="47"/>
        <item x="134"/>
        <item x="142"/>
        <item x="72"/>
        <item x="93"/>
        <item x="106"/>
        <item x="33"/>
        <item x="8"/>
        <item x="127"/>
        <item t="default"/>
      </items>
    </pivotField>
  </pivotFields>
  <rowFields count="2">
    <field x="4"/>
    <field x="0"/>
  </rowFields>
  <rowItems count="9">
    <i>
      <x/>
    </i>
    <i r="1">
      <x/>
    </i>
    <i r="1">
      <x v="1"/>
    </i>
    <i r="1">
      <x v="2"/>
    </i>
    <i>
      <x v="1"/>
    </i>
    <i r="1">
      <x/>
    </i>
    <i r="1">
      <x v="1"/>
    </i>
    <i r="1">
      <x v="2"/>
    </i>
    <i t="grand">
      <x/>
    </i>
  </rowItems>
  <colFields count="1">
    <field x="2"/>
  </colFields>
  <colItems count="7">
    <i>
      <x v="2"/>
    </i>
    <i>
      <x v="3"/>
    </i>
    <i>
      <x v="4"/>
    </i>
    <i>
      <x v="5"/>
    </i>
    <i>
      <x v="6"/>
    </i>
    <i>
      <x v="7"/>
    </i>
    <i t="grand">
      <x/>
    </i>
  </colItems>
  <pageFields count="1">
    <pageField fld="5" hier="-1"/>
  </pageFields>
  <dataFields count="1">
    <dataField name="Average of Ct" fld="6" subtotal="average"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6"/>
          </reference>
        </references>
      </pivotArea>
    </chartFormat>
    <chartFormat chart="0" format="2" series="1">
      <pivotArea type="data" outline="0" fieldPosition="0">
        <references count="2">
          <reference field="4294967294" count="1" selected="0">
            <x v="0"/>
          </reference>
          <reference field="2" count="1" selected="0">
            <x v="5"/>
          </reference>
        </references>
      </pivotArea>
    </chartFormat>
    <chartFormat chart="0" format="3" series="1">
      <pivotArea type="data" outline="0" fieldPosition="0">
        <references count="2">
          <reference field="4294967294" count="1" selected="0">
            <x v="0"/>
          </reference>
          <reference field="2" count="1" selected="0">
            <x v="4"/>
          </reference>
        </references>
      </pivotArea>
    </chartFormat>
    <chartFormat chart="0" format="4" series="1">
      <pivotArea type="data" outline="0" fieldPosition="0">
        <references count="2">
          <reference field="4294967294" count="1" selected="0">
            <x v="0"/>
          </reference>
          <reference field="2" count="1" selected="0">
            <x v="3"/>
          </reference>
        </references>
      </pivotArea>
    </chartFormat>
    <chartFormat chart="0" format="5" series="1">
      <pivotArea type="data" outline="0" fieldPosition="0">
        <references count="2">
          <reference field="4294967294" count="1" selected="0">
            <x v="0"/>
          </reference>
          <reference field="2" count="1" selected="0">
            <x v="2"/>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DC7316-7556-4264-B324-6CE39408DAC6}" name="PivotTable5"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H13" firstHeaderRow="1" firstDataRow="2" firstDataCol="1" rowPageCount="1" colPageCount="1"/>
  <pivotFields count="7">
    <pivotField axis="axisRow" showAll="0">
      <items count="4">
        <item x="1"/>
        <item x="2"/>
        <item x="0"/>
        <item t="default"/>
      </items>
    </pivotField>
    <pivotField showAll="0"/>
    <pivotField axis="axisCol" showAll="0" sortType="descending">
      <items count="9">
        <item h="1" x="6"/>
        <item h="1" x="7"/>
        <item x="0"/>
        <item x="1"/>
        <item x="2"/>
        <item x="3"/>
        <item x="4"/>
        <item x="5"/>
        <item t="default"/>
      </items>
    </pivotField>
    <pivotField showAll="0"/>
    <pivotField axis="axisRow" showAll="0">
      <items count="3">
        <item x="1"/>
        <item x="0"/>
        <item t="default"/>
      </items>
    </pivotField>
    <pivotField axis="axisPage" multipleItemSelectionAllowed="1" showAll="0">
      <items count="3">
        <item x="0"/>
        <item h="1" x="1"/>
        <item t="default"/>
      </items>
    </pivotField>
    <pivotField dataField="1" showAll="0">
      <items count="148">
        <item x="111"/>
        <item x="12"/>
        <item x="133"/>
        <item x="60"/>
        <item x="34"/>
        <item x="84"/>
        <item x="48"/>
        <item x="98"/>
        <item x="1"/>
        <item x="14"/>
        <item x="62"/>
        <item x="73"/>
        <item x="95"/>
        <item x="36"/>
        <item x="24"/>
        <item x="126"/>
        <item x="26"/>
        <item x="86"/>
        <item x="113"/>
        <item x="45"/>
        <item x="70"/>
        <item x="123"/>
        <item x="75"/>
        <item x="50"/>
        <item x="22"/>
        <item x="3"/>
        <item x="32"/>
        <item x="58"/>
        <item x="135"/>
        <item x="100"/>
        <item x="108"/>
        <item x="128"/>
        <item x="38"/>
        <item x="64"/>
        <item x="88"/>
        <item x="9"/>
        <item x="16"/>
        <item x="115"/>
        <item x="81"/>
        <item x="77"/>
        <item x="144"/>
        <item x="52"/>
        <item x="5"/>
        <item x="28"/>
        <item x="102"/>
        <item x="137"/>
        <item x="130"/>
        <item x="89"/>
        <item x="65"/>
        <item x="120"/>
        <item x="91"/>
        <item x="46"/>
        <item x="20"/>
        <item x="67"/>
        <item x="23"/>
        <item x="43"/>
        <item x="96"/>
        <item x="118"/>
        <item x="39"/>
        <item x="124"/>
        <item x="41"/>
        <item x="92"/>
        <item x="116"/>
        <item x="17"/>
        <item x="19"/>
        <item x="71"/>
        <item x="37"/>
        <item x="114"/>
        <item x="87"/>
        <item x="122"/>
        <item x="141"/>
        <item x="140"/>
        <item x="63"/>
        <item x="143"/>
        <item x="90"/>
        <item x="69"/>
        <item x="21"/>
        <item x="94"/>
        <item x="138"/>
        <item x="15"/>
        <item x="44"/>
        <item x="40"/>
        <item x="146"/>
        <item x="110"/>
        <item x="30"/>
        <item x="145"/>
        <item x="66"/>
        <item x="54"/>
        <item x="136"/>
        <item x="131"/>
        <item x="18"/>
        <item x="59"/>
        <item x="11"/>
        <item x="61"/>
        <item x="7"/>
        <item x="129"/>
        <item x="117"/>
        <item x="53"/>
        <item x="85"/>
        <item x="104"/>
        <item x="112"/>
        <item x="31"/>
        <item x="25"/>
        <item x="103"/>
        <item x="78"/>
        <item x="13"/>
        <item x="97"/>
        <item x="57"/>
        <item x="82"/>
        <item x="35"/>
        <item x="109"/>
        <item x="27"/>
        <item x="76"/>
        <item x="10"/>
        <item x="51"/>
        <item x="80"/>
        <item x="2"/>
        <item x="101"/>
        <item x="139"/>
        <item x="119"/>
        <item x="6"/>
        <item x="4"/>
        <item x="132"/>
        <item x="105"/>
        <item x="56"/>
        <item x="99"/>
        <item x="74"/>
        <item x="49"/>
        <item x="55"/>
        <item x="107"/>
        <item x="68"/>
        <item x="83"/>
        <item x="121"/>
        <item x="79"/>
        <item x="125"/>
        <item x="29"/>
        <item x="0"/>
        <item x="42"/>
        <item x="47"/>
        <item x="134"/>
        <item x="142"/>
        <item x="72"/>
        <item x="93"/>
        <item x="106"/>
        <item x="33"/>
        <item x="8"/>
        <item x="127"/>
        <item t="default"/>
      </items>
    </pivotField>
  </pivotFields>
  <rowFields count="2">
    <field x="4"/>
    <field x="0"/>
  </rowFields>
  <rowItems count="9">
    <i>
      <x/>
    </i>
    <i r="1">
      <x/>
    </i>
    <i r="1">
      <x v="1"/>
    </i>
    <i r="1">
      <x v="2"/>
    </i>
    <i>
      <x v="1"/>
    </i>
    <i r="1">
      <x/>
    </i>
    <i r="1">
      <x v="1"/>
    </i>
    <i r="1">
      <x v="2"/>
    </i>
    <i t="grand">
      <x/>
    </i>
  </rowItems>
  <colFields count="1">
    <field x="2"/>
  </colFields>
  <colItems count="7">
    <i>
      <x v="2"/>
    </i>
    <i>
      <x v="3"/>
    </i>
    <i>
      <x v="4"/>
    </i>
    <i>
      <x v="5"/>
    </i>
    <i>
      <x v="6"/>
    </i>
    <i>
      <x v="7"/>
    </i>
    <i t="grand">
      <x/>
    </i>
  </colItems>
  <pageFields count="1">
    <pageField fld="5" hier="-1"/>
  </pageFields>
  <dataFields count="1">
    <dataField name="Max of Ct" fld="6" subtotal="max" baseField="0" baseItem="0"/>
  </dataFields>
  <chartFormats count="4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6"/>
          </reference>
        </references>
      </pivotArea>
    </chartFormat>
    <chartFormat chart="0" format="2" series="1">
      <pivotArea type="data" outline="0" fieldPosition="0">
        <references count="2">
          <reference field="4294967294" count="1" selected="0">
            <x v="0"/>
          </reference>
          <reference field="2" count="1" selected="0">
            <x v="5"/>
          </reference>
        </references>
      </pivotArea>
    </chartFormat>
    <chartFormat chart="0" format="3" series="1">
      <pivotArea type="data" outline="0" fieldPosition="0">
        <references count="2">
          <reference field="4294967294" count="1" selected="0">
            <x v="0"/>
          </reference>
          <reference field="2" count="1" selected="0">
            <x v="4"/>
          </reference>
        </references>
      </pivotArea>
    </chartFormat>
    <chartFormat chart="0" format="4" series="1">
      <pivotArea type="data" outline="0" fieldPosition="0">
        <references count="2">
          <reference field="4294967294" count="1" selected="0">
            <x v="0"/>
          </reference>
          <reference field="2" count="1" selected="0">
            <x v="3"/>
          </reference>
        </references>
      </pivotArea>
    </chartFormat>
    <chartFormat chart="0" format="5" series="1">
      <pivotArea type="data" outline="0" fieldPosition="0">
        <references count="2">
          <reference field="4294967294" count="1" selected="0">
            <x v="0"/>
          </reference>
          <reference field="2" count="1" selected="0">
            <x v="2"/>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 chart="4" format="9" series="1">
      <pivotArea type="data" outline="0" fieldPosition="0">
        <references count="2">
          <reference field="4294967294" count="1" selected="0">
            <x v="0"/>
          </reference>
          <reference field="2" count="1" selected="0">
            <x v="3"/>
          </reference>
        </references>
      </pivotArea>
    </chartFormat>
    <chartFormat chart="4" format="10" series="1">
      <pivotArea type="data" outline="0" fieldPosition="0">
        <references count="2">
          <reference field="4294967294" count="1" selected="0">
            <x v="0"/>
          </reference>
          <reference field="2" count="1" selected="0">
            <x v="4"/>
          </reference>
        </references>
      </pivotArea>
    </chartFormat>
    <chartFormat chart="4" format="11" series="1">
      <pivotArea type="data" outline="0" fieldPosition="0">
        <references count="2">
          <reference field="4294967294" count="1" selected="0">
            <x v="0"/>
          </reference>
          <reference field="2" count="1" selected="0">
            <x v="5"/>
          </reference>
        </references>
      </pivotArea>
    </chartFormat>
    <chartFormat chart="4" format="12" series="1">
      <pivotArea type="data" outline="0" fieldPosition="0">
        <references count="2">
          <reference field="4294967294" count="1" selected="0">
            <x v="0"/>
          </reference>
          <reference field="2" count="1" selected="0">
            <x v="6"/>
          </reference>
        </references>
      </pivotArea>
    </chartFormat>
    <chartFormat chart="4" format="13" series="1">
      <pivotArea type="data" outline="0" fieldPosition="0">
        <references count="2">
          <reference field="4294967294" count="1" selected="0">
            <x v="0"/>
          </reference>
          <reference field="2" count="1" selected="0">
            <x v="7"/>
          </reference>
        </references>
      </pivotArea>
    </chartFormat>
    <chartFormat chart="5" format="14" series="1">
      <pivotArea type="data" outline="0" fieldPosition="0">
        <references count="2">
          <reference field="4294967294" count="1" selected="0">
            <x v="0"/>
          </reference>
          <reference field="2" count="1" selected="0">
            <x v="2"/>
          </reference>
        </references>
      </pivotArea>
    </chartFormat>
    <chartFormat chart="5" format="15" series="1">
      <pivotArea type="data" outline="0" fieldPosition="0">
        <references count="2">
          <reference field="4294967294" count="1" selected="0">
            <x v="0"/>
          </reference>
          <reference field="2" count="1" selected="0">
            <x v="3"/>
          </reference>
        </references>
      </pivotArea>
    </chartFormat>
    <chartFormat chart="5" format="16" series="1">
      <pivotArea type="data" outline="0" fieldPosition="0">
        <references count="2">
          <reference field="4294967294" count="1" selected="0">
            <x v="0"/>
          </reference>
          <reference field="2" count="1" selected="0">
            <x v="4"/>
          </reference>
        </references>
      </pivotArea>
    </chartFormat>
    <chartFormat chart="5" format="17" series="1">
      <pivotArea type="data" outline="0" fieldPosition="0">
        <references count="2">
          <reference field="4294967294" count="1" selected="0">
            <x v="0"/>
          </reference>
          <reference field="2" count="1" selected="0">
            <x v="5"/>
          </reference>
        </references>
      </pivotArea>
    </chartFormat>
    <chartFormat chart="5" format="18" series="1">
      <pivotArea type="data" outline="0" fieldPosition="0">
        <references count="2">
          <reference field="4294967294" count="1" selected="0">
            <x v="0"/>
          </reference>
          <reference field="2" count="1" selected="0">
            <x v="6"/>
          </reference>
        </references>
      </pivotArea>
    </chartFormat>
    <chartFormat chart="5" format="19" series="1">
      <pivotArea type="data" outline="0" fieldPosition="0">
        <references count="2">
          <reference field="4294967294" count="1" selected="0">
            <x v="0"/>
          </reference>
          <reference field="2" count="1" selected="0">
            <x v="7"/>
          </reference>
        </references>
      </pivotArea>
    </chartFormat>
    <chartFormat chart="6" format="8" series="1">
      <pivotArea type="data" outline="0" fieldPosition="0">
        <references count="2">
          <reference field="4294967294" count="1" selected="0">
            <x v="0"/>
          </reference>
          <reference field="2" count="1" selected="0">
            <x v="2"/>
          </reference>
        </references>
      </pivotArea>
    </chartFormat>
    <chartFormat chart="6" format="9" series="1">
      <pivotArea type="data" outline="0" fieldPosition="0">
        <references count="2">
          <reference field="4294967294" count="1" selected="0">
            <x v="0"/>
          </reference>
          <reference field="2" count="1" selected="0">
            <x v="3"/>
          </reference>
        </references>
      </pivotArea>
    </chartFormat>
    <chartFormat chart="6" format="10" series="1">
      <pivotArea type="data" outline="0" fieldPosition="0">
        <references count="2">
          <reference field="4294967294" count="1" selected="0">
            <x v="0"/>
          </reference>
          <reference field="2" count="1" selected="0">
            <x v="4"/>
          </reference>
        </references>
      </pivotArea>
    </chartFormat>
    <chartFormat chart="6" format="11" series="1">
      <pivotArea type="data" outline="0" fieldPosition="0">
        <references count="2">
          <reference field="4294967294" count="1" selected="0">
            <x v="0"/>
          </reference>
          <reference field="2" count="1" selected="0">
            <x v="5"/>
          </reference>
        </references>
      </pivotArea>
    </chartFormat>
    <chartFormat chart="6" format="12" series="1">
      <pivotArea type="data" outline="0" fieldPosition="0">
        <references count="2">
          <reference field="4294967294" count="1" selected="0">
            <x v="0"/>
          </reference>
          <reference field="2" count="1" selected="0">
            <x v="6"/>
          </reference>
        </references>
      </pivotArea>
    </chartFormat>
    <chartFormat chart="6" format="13" series="1">
      <pivotArea type="data" outline="0" fieldPosition="0">
        <references count="2">
          <reference field="4294967294" count="1" selected="0">
            <x v="0"/>
          </reference>
          <reference field="2" count="1" selected="0">
            <x v="7"/>
          </reference>
        </references>
      </pivotArea>
    </chartFormat>
    <chartFormat chart="7" format="14" series="1">
      <pivotArea type="data" outline="0" fieldPosition="0">
        <references count="2">
          <reference field="4294967294" count="1" selected="0">
            <x v="0"/>
          </reference>
          <reference field="2" count="1" selected="0">
            <x v="2"/>
          </reference>
        </references>
      </pivotArea>
    </chartFormat>
    <chartFormat chart="7" format="15" series="1">
      <pivotArea type="data" outline="0" fieldPosition="0">
        <references count="2">
          <reference field="4294967294" count="1" selected="0">
            <x v="0"/>
          </reference>
          <reference field="2" count="1" selected="0">
            <x v="3"/>
          </reference>
        </references>
      </pivotArea>
    </chartFormat>
    <chartFormat chart="7" format="16" series="1">
      <pivotArea type="data" outline="0" fieldPosition="0">
        <references count="2">
          <reference field="4294967294" count="1" selected="0">
            <x v="0"/>
          </reference>
          <reference field="2" count="1" selected="0">
            <x v="4"/>
          </reference>
        </references>
      </pivotArea>
    </chartFormat>
    <chartFormat chart="7" format="17" series="1">
      <pivotArea type="data" outline="0" fieldPosition="0">
        <references count="2">
          <reference field="4294967294" count="1" selected="0">
            <x v="0"/>
          </reference>
          <reference field="2" count="1" selected="0">
            <x v="5"/>
          </reference>
        </references>
      </pivotArea>
    </chartFormat>
    <chartFormat chart="7" format="18" series="1">
      <pivotArea type="data" outline="0" fieldPosition="0">
        <references count="2">
          <reference field="4294967294" count="1" selected="0">
            <x v="0"/>
          </reference>
          <reference field="2" count="1" selected="0">
            <x v="6"/>
          </reference>
        </references>
      </pivotArea>
    </chartFormat>
    <chartFormat chart="7" format="19" series="1">
      <pivotArea type="data" outline="0" fieldPosition="0">
        <references count="2">
          <reference field="4294967294" count="1" selected="0">
            <x v="0"/>
          </reference>
          <reference field="2" count="1" selected="0">
            <x v="7"/>
          </reference>
        </references>
      </pivotArea>
    </chartFormat>
    <chartFormat chart="8" format="20" series="1">
      <pivotArea type="data" outline="0" fieldPosition="0">
        <references count="2">
          <reference field="4294967294" count="1" selected="0">
            <x v="0"/>
          </reference>
          <reference field="2" count="1" selected="0">
            <x v="2"/>
          </reference>
        </references>
      </pivotArea>
    </chartFormat>
    <chartFormat chart="8" format="21" series="1">
      <pivotArea type="data" outline="0" fieldPosition="0">
        <references count="2">
          <reference field="4294967294" count="1" selected="0">
            <x v="0"/>
          </reference>
          <reference field="2" count="1" selected="0">
            <x v="3"/>
          </reference>
        </references>
      </pivotArea>
    </chartFormat>
    <chartFormat chart="8" format="22" series="1">
      <pivotArea type="data" outline="0" fieldPosition="0">
        <references count="2">
          <reference field="4294967294" count="1" selected="0">
            <x v="0"/>
          </reference>
          <reference field="2" count="1" selected="0">
            <x v="4"/>
          </reference>
        </references>
      </pivotArea>
    </chartFormat>
    <chartFormat chart="8" format="23" series="1">
      <pivotArea type="data" outline="0" fieldPosition="0">
        <references count="2">
          <reference field="4294967294" count="1" selected="0">
            <x v="0"/>
          </reference>
          <reference field="2" count="1" selected="0">
            <x v="5"/>
          </reference>
        </references>
      </pivotArea>
    </chartFormat>
    <chartFormat chart="8" format="24" series="1">
      <pivotArea type="data" outline="0" fieldPosition="0">
        <references count="2">
          <reference field="4294967294" count="1" selected="0">
            <x v="0"/>
          </reference>
          <reference field="2" count="1" selected="0">
            <x v="6"/>
          </reference>
        </references>
      </pivotArea>
    </chartFormat>
    <chartFormat chart="8" format="25" series="1">
      <pivotArea type="data" outline="0" fieldPosition="0">
        <references count="2">
          <reference field="4294967294" count="1" selected="0">
            <x v="0"/>
          </reference>
          <reference field="2" count="1" selected="0">
            <x v="7"/>
          </reference>
        </references>
      </pivotArea>
    </chartFormat>
    <chartFormat chart="11" format="14" series="1">
      <pivotArea type="data" outline="0" fieldPosition="0">
        <references count="2">
          <reference field="4294967294" count="1" selected="0">
            <x v="0"/>
          </reference>
          <reference field="2" count="1" selected="0">
            <x v="2"/>
          </reference>
        </references>
      </pivotArea>
    </chartFormat>
    <chartFormat chart="11" format="15" series="1">
      <pivotArea type="data" outline="0" fieldPosition="0">
        <references count="2">
          <reference field="4294967294" count="1" selected="0">
            <x v="0"/>
          </reference>
          <reference field="2" count="1" selected="0">
            <x v="3"/>
          </reference>
        </references>
      </pivotArea>
    </chartFormat>
    <chartFormat chart="11" format="16" series="1">
      <pivotArea type="data" outline="0" fieldPosition="0">
        <references count="2">
          <reference field="4294967294" count="1" selected="0">
            <x v="0"/>
          </reference>
          <reference field="2" count="1" selected="0">
            <x v="4"/>
          </reference>
        </references>
      </pivotArea>
    </chartFormat>
    <chartFormat chart="11" format="17" series="1">
      <pivotArea type="data" outline="0" fieldPosition="0">
        <references count="2">
          <reference field="4294967294" count="1" selected="0">
            <x v="0"/>
          </reference>
          <reference field="2" count="1" selected="0">
            <x v="5"/>
          </reference>
        </references>
      </pivotArea>
    </chartFormat>
    <chartFormat chart="11" format="18" series="1">
      <pivotArea type="data" outline="0" fieldPosition="0">
        <references count="2">
          <reference field="4294967294" count="1" selected="0">
            <x v="0"/>
          </reference>
          <reference field="2" count="1" selected="0">
            <x v="6"/>
          </reference>
        </references>
      </pivotArea>
    </chartFormat>
    <chartFormat chart="11" format="19"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186012-8E55-401D-8D4D-EAE171F376DC}" name="PivotTable5"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H13" firstHeaderRow="1" firstDataRow="2" firstDataCol="1" rowPageCount="1" colPageCount="1"/>
  <pivotFields count="7">
    <pivotField axis="axisRow" showAll="0">
      <items count="4">
        <item x="1"/>
        <item x="2"/>
        <item x="0"/>
        <item t="default"/>
      </items>
    </pivotField>
    <pivotField showAll="0"/>
    <pivotField axis="axisCol" showAll="0" sortType="descending">
      <items count="9">
        <item h="1" x="6"/>
        <item h="1" x="7"/>
        <item x="0"/>
        <item x="1"/>
        <item x="2"/>
        <item x="3"/>
        <item x="4"/>
        <item x="5"/>
        <item t="default"/>
      </items>
    </pivotField>
    <pivotField showAll="0"/>
    <pivotField axis="axisRow" showAll="0">
      <items count="3">
        <item x="1"/>
        <item x="0"/>
        <item t="default"/>
      </items>
    </pivotField>
    <pivotField axis="axisPage" multipleItemSelectionAllowed="1" showAll="0">
      <items count="3">
        <item x="0"/>
        <item h="1" x="1"/>
        <item t="default"/>
      </items>
    </pivotField>
    <pivotField dataField="1" showAll="0">
      <items count="148">
        <item x="111"/>
        <item x="12"/>
        <item x="133"/>
        <item x="60"/>
        <item x="34"/>
        <item x="84"/>
        <item x="48"/>
        <item x="98"/>
        <item x="1"/>
        <item x="14"/>
        <item x="62"/>
        <item x="73"/>
        <item x="95"/>
        <item x="36"/>
        <item x="24"/>
        <item x="126"/>
        <item x="26"/>
        <item x="86"/>
        <item x="113"/>
        <item x="45"/>
        <item x="70"/>
        <item x="123"/>
        <item x="75"/>
        <item x="50"/>
        <item x="22"/>
        <item x="3"/>
        <item x="32"/>
        <item x="58"/>
        <item x="135"/>
        <item x="100"/>
        <item x="108"/>
        <item x="128"/>
        <item x="38"/>
        <item x="64"/>
        <item x="88"/>
        <item x="9"/>
        <item x="16"/>
        <item x="115"/>
        <item x="81"/>
        <item x="77"/>
        <item x="144"/>
        <item x="52"/>
        <item x="5"/>
        <item x="28"/>
        <item x="102"/>
        <item x="137"/>
        <item x="130"/>
        <item x="89"/>
        <item x="65"/>
        <item x="120"/>
        <item x="91"/>
        <item x="46"/>
        <item x="20"/>
        <item x="67"/>
        <item x="23"/>
        <item x="43"/>
        <item x="96"/>
        <item x="118"/>
        <item x="39"/>
        <item x="124"/>
        <item x="41"/>
        <item x="92"/>
        <item x="116"/>
        <item x="17"/>
        <item x="19"/>
        <item x="71"/>
        <item x="37"/>
        <item x="114"/>
        <item x="87"/>
        <item x="122"/>
        <item x="141"/>
        <item x="140"/>
        <item x="63"/>
        <item x="143"/>
        <item x="90"/>
        <item x="69"/>
        <item x="21"/>
        <item x="94"/>
        <item x="138"/>
        <item x="15"/>
        <item x="44"/>
        <item x="40"/>
        <item x="146"/>
        <item x="110"/>
        <item x="30"/>
        <item x="145"/>
        <item x="66"/>
        <item x="54"/>
        <item x="136"/>
        <item x="131"/>
        <item x="18"/>
        <item x="59"/>
        <item x="11"/>
        <item x="61"/>
        <item x="7"/>
        <item x="129"/>
        <item x="117"/>
        <item x="53"/>
        <item x="85"/>
        <item x="104"/>
        <item x="112"/>
        <item x="31"/>
        <item x="25"/>
        <item x="103"/>
        <item x="78"/>
        <item x="13"/>
        <item x="97"/>
        <item x="57"/>
        <item x="82"/>
        <item x="35"/>
        <item x="109"/>
        <item x="27"/>
        <item x="76"/>
        <item x="10"/>
        <item x="51"/>
        <item x="80"/>
        <item x="2"/>
        <item x="101"/>
        <item x="139"/>
        <item x="119"/>
        <item x="6"/>
        <item x="4"/>
        <item x="132"/>
        <item x="105"/>
        <item x="56"/>
        <item x="99"/>
        <item x="74"/>
        <item x="49"/>
        <item x="55"/>
        <item x="107"/>
        <item x="68"/>
        <item x="83"/>
        <item x="121"/>
        <item x="79"/>
        <item x="125"/>
        <item x="29"/>
        <item x="0"/>
        <item x="42"/>
        <item x="47"/>
        <item x="134"/>
        <item x="142"/>
        <item x="72"/>
        <item x="93"/>
        <item x="106"/>
        <item x="33"/>
        <item x="8"/>
        <item x="127"/>
        <item t="default"/>
      </items>
    </pivotField>
  </pivotFields>
  <rowFields count="2">
    <field x="4"/>
    <field x="0"/>
  </rowFields>
  <rowItems count="9">
    <i>
      <x/>
    </i>
    <i r="1">
      <x/>
    </i>
    <i r="1">
      <x v="1"/>
    </i>
    <i r="1">
      <x v="2"/>
    </i>
    <i>
      <x v="1"/>
    </i>
    <i r="1">
      <x/>
    </i>
    <i r="1">
      <x v="1"/>
    </i>
    <i r="1">
      <x v="2"/>
    </i>
    <i t="grand">
      <x/>
    </i>
  </rowItems>
  <colFields count="1">
    <field x="2"/>
  </colFields>
  <colItems count="7">
    <i>
      <x v="2"/>
    </i>
    <i>
      <x v="3"/>
    </i>
    <i>
      <x v="4"/>
    </i>
    <i>
      <x v="5"/>
    </i>
    <i>
      <x v="6"/>
    </i>
    <i>
      <x v="7"/>
    </i>
    <i t="grand">
      <x/>
    </i>
  </colItems>
  <pageFields count="1">
    <pageField fld="5" hier="-1"/>
  </pageFields>
  <dataFields count="1">
    <dataField name="Max of Ct" fld="6" subtotal="max" baseField="0" baseItem="0"/>
  </dataFields>
  <chartFormats count="3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6"/>
          </reference>
        </references>
      </pivotArea>
    </chartFormat>
    <chartFormat chart="0" format="2" series="1">
      <pivotArea type="data" outline="0" fieldPosition="0">
        <references count="2">
          <reference field="4294967294" count="1" selected="0">
            <x v="0"/>
          </reference>
          <reference field="2" count="1" selected="0">
            <x v="5"/>
          </reference>
        </references>
      </pivotArea>
    </chartFormat>
    <chartFormat chart="0" format="3" series="1">
      <pivotArea type="data" outline="0" fieldPosition="0">
        <references count="2">
          <reference field="4294967294" count="1" selected="0">
            <x v="0"/>
          </reference>
          <reference field="2" count="1" selected="0">
            <x v="4"/>
          </reference>
        </references>
      </pivotArea>
    </chartFormat>
    <chartFormat chart="0" format="4" series="1">
      <pivotArea type="data" outline="0" fieldPosition="0">
        <references count="2">
          <reference field="4294967294" count="1" selected="0">
            <x v="0"/>
          </reference>
          <reference field="2" count="1" selected="0">
            <x v="3"/>
          </reference>
        </references>
      </pivotArea>
    </chartFormat>
    <chartFormat chart="0" format="5" series="1">
      <pivotArea type="data" outline="0" fieldPosition="0">
        <references count="2">
          <reference field="4294967294" count="1" selected="0">
            <x v="0"/>
          </reference>
          <reference field="2" count="1" selected="0">
            <x v="2"/>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 chart="4" format="9" series="1">
      <pivotArea type="data" outline="0" fieldPosition="0">
        <references count="2">
          <reference field="4294967294" count="1" selected="0">
            <x v="0"/>
          </reference>
          <reference field="2" count="1" selected="0">
            <x v="3"/>
          </reference>
        </references>
      </pivotArea>
    </chartFormat>
    <chartFormat chart="4" format="10" series="1">
      <pivotArea type="data" outline="0" fieldPosition="0">
        <references count="2">
          <reference field="4294967294" count="1" selected="0">
            <x v="0"/>
          </reference>
          <reference field="2" count="1" selected="0">
            <x v="4"/>
          </reference>
        </references>
      </pivotArea>
    </chartFormat>
    <chartFormat chart="4" format="11" series="1">
      <pivotArea type="data" outline="0" fieldPosition="0">
        <references count="2">
          <reference field="4294967294" count="1" selected="0">
            <x v="0"/>
          </reference>
          <reference field="2" count="1" selected="0">
            <x v="5"/>
          </reference>
        </references>
      </pivotArea>
    </chartFormat>
    <chartFormat chart="4" format="12" series="1">
      <pivotArea type="data" outline="0" fieldPosition="0">
        <references count="2">
          <reference field="4294967294" count="1" selected="0">
            <x v="0"/>
          </reference>
          <reference field="2" count="1" selected="0">
            <x v="6"/>
          </reference>
        </references>
      </pivotArea>
    </chartFormat>
    <chartFormat chart="4" format="13" series="1">
      <pivotArea type="data" outline="0" fieldPosition="0">
        <references count="2">
          <reference field="4294967294" count="1" selected="0">
            <x v="0"/>
          </reference>
          <reference field="2" count="1" selected="0">
            <x v="7"/>
          </reference>
        </references>
      </pivotArea>
    </chartFormat>
    <chartFormat chart="5" format="14" series="1">
      <pivotArea type="data" outline="0" fieldPosition="0">
        <references count="2">
          <reference field="4294967294" count="1" selected="0">
            <x v="0"/>
          </reference>
          <reference field="2" count="1" selected="0">
            <x v="2"/>
          </reference>
        </references>
      </pivotArea>
    </chartFormat>
    <chartFormat chart="5" format="15" series="1">
      <pivotArea type="data" outline="0" fieldPosition="0">
        <references count="2">
          <reference field="4294967294" count="1" selected="0">
            <x v="0"/>
          </reference>
          <reference field="2" count="1" selected="0">
            <x v="3"/>
          </reference>
        </references>
      </pivotArea>
    </chartFormat>
    <chartFormat chart="5" format="16" series="1">
      <pivotArea type="data" outline="0" fieldPosition="0">
        <references count="2">
          <reference field="4294967294" count="1" selected="0">
            <x v="0"/>
          </reference>
          <reference field="2" count="1" selected="0">
            <x v="4"/>
          </reference>
        </references>
      </pivotArea>
    </chartFormat>
    <chartFormat chart="5" format="17" series="1">
      <pivotArea type="data" outline="0" fieldPosition="0">
        <references count="2">
          <reference field="4294967294" count="1" selected="0">
            <x v="0"/>
          </reference>
          <reference field="2" count="1" selected="0">
            <x v="5"/>
          </reference>
        </references>
      </pivotArea>
    </chartFormat>
    <chartFormat chart="5" format="18" series="1">
      <pivotArea type="data" outline="0" fieldPosition="0">
        <references count="2">
          <reference field="4294967294" count="1" selected="0">
            <x v="0"/>
          </reference>
          <reference field="2" count="1" selected="0">
            <x v="6"/>
          </reference>
        </references>
      </pivotArea>
    </chartFormat>
    <chartFormat chart="5" format="19" series="1">
      <pivotArea type="data" outline="0" fieldPosition="0">
        <references count="2">
          <reference field="4294967294" count="1" selected="0">
            <x v="0"/>
          </reference>
          <reference field="2" count="1" selected="0">
            <x v="7"/>
          </reference>
        </references>
      </pivotArea>
    </chartFormat>
    <chartFormat chart="6" format="8" series="1">
      <pivotArea type="data" outline="0" fieldPosition="0">
        <references count="2">
          <reference field="4294967294" count="1" selected="0">
            <x v="0"/>
          </reference>
          <reference field="2" count="1" selected="0">
            <x v="2"/>
          </reference>
        </references>
      </pivotArea>
    </chartFormat>
    <chartFormat chart="6" format="9" series="1">
      <pivotArea type="data" outline="0" fieldPosition="0">
        <references count="2">
          <reference field="4294967294" count="1" selected="0">
            <x v="0"/>
          </reference>
          <reference field="2" count="1" selected="0">
            <x v="3"/>
          </reference>
        </references>
      </pivotArea>
    </chartFormat>
    <chartFormat chart="6" format="10" series="1">
      <pivotArea type="data" outline="0" fieldPosition="0">
        <references count="2">
          <reference field="4294967294" count="1" selected="0">
            <x v="0"/>
          </reference>
          <reference field="2" count="1" selected="0">
            <x v="4"/>
          </reference>
        </references>
      </pivotArea>
    </chartFormat>
    <chartFormat chart="6" format="11" series="1">
      <pivotArea type="data" outline="0" fieldPosition="0">
        <references count="2">
          <reference field="4294967294" count="1" selected="0">
            <x v="0"/>
          </reference>
          <reference field="2" count="1" selected="0">
            <x v="5"/>
          </reference>
        </references>
      </pivotArea>
    </chartFormat>
    <chartFormat chart="6" format="12" series="1">
      <pivotArea type="data" outline="0" fieldPosition="0">
        <references count="2">
          <reference field="4294967294" count="1" selected="0">
            <x v="0"/>
          </reference>
          <reference field="2" count="1" selected="0">
            <x v="6"/>
          </reference>
        </references>
      </pivotArea>
    </chartFormat>
    <chartFormat chart="6" format="13" series="1">
      <pivotArea type="data" outline="0" fieldPosition="0">
        <references count="2">
          <reference field="4294967294" count="1" selected="0">
            <x v="0"/>
          </reference>
          <reference field="2" count="1" selected="0">
            <x v="7"/>
          </reference>
        </references>
      </pivotArea>
    </chartFormat>
    <chartFormat chart="7" format="14" series="1">
      <pivotArea type="data" outline="0" fieldPosition="0">
        <references count="2">
          <reference field="4294967294" count="1" selected="0">
            <x v="0"/>
          </reference>
          <reference field="2" count="1" selected="0">
            <x v="2"/>
          </reference>
        </references>
      </pivotArea>
    </chartFormat>
    <chartFormat chart="7" format="15" series="1">
      <pivotArea type="data" outline="0" fieldPosition="0">
        <references count="2">
          <reference field="4294967294" count="1" selected="0">
            <x v="0"/>
          </reference>
          <reference field="2" count="1" selected="0">
            <x v="3"/>
          </reference>
        </references>
      </pivotArea>
    </chartFormat>
    <chartFormat chart="7" format="16" series="1">
      <pivotArea type="data" outline="0" fieldPosition="0">
        <references count="2">
          <reference field="4294967294" count="1" selected="0">
            <x v="0"/>
          </reference>
          <reference field="2" count="1" selected="0">
            <x v="4"/>
          </reference>
        </references>
      </pivotArea>
    </chartFormat>
    <chartFormat chart="7" format="17" series="1">
      <pivotArea type="data" outline="0" fieldPosition="0">
        <references count="2">
          <reference field="4294967294" count="1" selected="0">
            <x v="0"/>
          </reference>
          <reference field="2" count="1" selected="0">
            <x v="5"/>
          </reference>
        </references>
      </pivotArea>
    </chartFormat>
    <chartFormat chart="7" format="18" series="1">
      <pivotArea type="data" outline="0" fieldPosition="0">
        <references count="2">
          <reference field="4294967294" count="1" selected="0">
            <x v="0"/>
          </reference>
          <reference field="2" count="1" selected="0">
            <x v="6"/>
          </reference>
        </references>
      </pivotArea>
    </chartFormat>
    <chartFormat chart="7" format="19" series="1">
      <pivotArea type="data" outline="0" fieldPosition="0">
        <references count="2">
          <reference field="4294967294" count="1" selected="0">
            <x v="0"/>
          </reference>
          <reference field="2" count="1" selected="0">
            <x v="7"/>
          </reference>
        </references>
      </pivotArea>
    </chartFormat>
    <chartFormat chart="8" format="20" series="1">
      <pivotArea type="data" outline="0" fieldPosition="0">
        <references count="2">
          <reference field="4294967294" count="1" selected="0">
            <x v="0"/>
          </reference>
          <reference field="2" count="1" selected="0">
            <x v="2"/>
          </reference>
        </references>
      </pivotArea>
    </chartFormat>
    <chartFormat chart="8" format="21" series="1">
      <pivotArea type="data" outline="0" fieldPosition="0">
        <references count="2">
          <reference field="4294967294" count="1" selected="0">
            <x v="0"/>
          </reference>
          <reference field="2" count="1" selected="0">
            <x v="3"/>
          </reference>
        </references>
      </pivotArea>
    </chartFormat>
    <chartFormat chart="8" format="22" series="1">
      <pivotArea type="data" outline="0" fieldPosition="0">
        <references count="2">
          <reference field="4294967294" count="1" selected="0">
            <x v="0"/>
          </reference>
          <reference field="2" count="1" selected="0">
            <x v="4"/>
          </reference>
        </references>
      </pivotArea>
    </chartFormat>
    <chartFormat chart="8" format="23" series="1">
      <pivotArea type="data" outline="0" fieldPosition="0">
        <references count="2">
          <reference field="4294967294" count="1" selected="0">
            <x v="0"/>
          </reference>
          <reference field="2" count="1" selected="0">
            <x v="5"/>
          </reference>
        </references>
      </pivotArea>
    </chartFormat>
    <chartFormat chart="8" format="24" series="1">
      <pivotArea type="data" outline="0" fieldPosition="0">
        <references count="2">
          <reference field="4294967294" count="1" selected="0">
            <x v="0"/>
          </reference>
          <reference field="2" count="1" selected="0">
            <x v="6"/>
          </reference>
        </references>
      </pivotArea>
    </chartFormat>
    <chartFormat chart="8" format="25"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C5D8DF-DAAD-42DD-BC90-B82BFCBD2275}" name="PivotTable5"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H9" firstHeaderRow="1" firstDataRow="2" firstDataCol="1" rowPageCount="1" colPageCount="1"/>
  <pivotFields count="7">
    <pivotField axis="axisRow" showAll="0">
      <items count="4">
        <item x="1"/>
        <item x="2"/>
        <item x="0"/>
        <item t="default"/>
      </items>
    </pivotField>
    <pivotField showAll="0"/>
    <pivotField axis="axisCol" showAll="0" sortType="descending">
      <items count="9">
        <item h="1" x="6"/>
        <item h="1" x="7"/>
        <item x="0"/>
        <item x="1"/>
        <item x="2"/>
        <item x="3"/>
        <item x="4"/>
        <item x="5"/>
        <item t="default"/>
      </items>
    </pivotField>
    <pivotField showAll="0"/>
    <pivotField axis="axisRow" showAll="0">
      <items count="3">
        <item h="1" x="1"/>
        <item x="0"/>
        <item t="default"/>
      </items>
    </pivotField>
    <pivotField axis="axisPage" multipleItemSelectionAllowed="1" showAll="0">
      <items count="3">
        <item x="0"/>
        <item h="1" x="1"/>
        <item t="default"/>
      </items>
    </pivotField>
    <pivotField dataField="1" showAll="0">
      <items count="148">
        <item x="111"/>
        <item x="12"/>
        <item x="133"/>
        <item x="60"/>
        <item x="34"/>
        <item x="84"/>
        <item x="48"/>
        <item x="98"/>
        <item x="1"/>
        <item x="14"/>
        <item x="62"/>
        <item x="73"/>
        <item x="95"/>
        <item x="36"/>
        <item x="24"/>
        <item x="126"/>
        <item x="26"/>
        <item x="86"/>
        <item x="113"/>
        <item x="45"/>
        <item x="70"/>
        <item x="123"/>
        <item x="75"/>
        <item x="50"/>
        <item x="22"/>
        <item x="3"/>
        <item x="32"/>
        <item x="58"/>
        <item x="135"/>
        <item x="100"/>
        <item x="108"/>
        <item x="128"/>
        <item x="38"/>
        <item x="64"/>
        <item x="88"/>
        <item x="9"/>
        <item x="16"/>
        <item x="115"/>
        <item x="81"/>
        <item x="77"/>
        <item x="144"/>
        <item x="52"/>
        <item x="5"/>
        <item x="28"/>
        <item x="102"/>
        <item x="137"/>
        <item x="130"/>
        <item x="89"/>
        <item x="65"/>
        <item x="120"/>
        <item x="91"/>
        <item x="46"/>
        <item x="20"/>
        <item x="67"/>
        <item x="23"/>
        <item x="43"/>
        <item x="96"/>
        <item x="118"/>
        <item x="39"/>
        <item x="124"/>
        <item x="41"/>
        <item x="92"/>
        <item x="116"/>
        <item x="17"/>
        <item x="19"/>
        <item x="71"/>
        <item x="37"/>
        <item x="114"/>
        <item x="87"/>
        <item x="122"/>
        <item x="141"/>
        <item x="140"/>
        <item x="63"/>
        <item x="143"/>
        <item x="90"/>
        <item x="69"/>
        <item x="21"/>
        <item x="94"/>
        <item x="138"/>
        <item x="15"/>
        <item x="44"/>
        <item x="40"/>
        <item x="146"/>
        <item x="110"/>
        <item x="30"/>
        <item x="145"/>
        <item x="66"/>
        <item x="54"/>
        <item x="136"/>
        <item x="131"/>
        <item x="18"/>
        <item x="59"/>
        <item x="11"/>
        <item x="61"/>
        <item x="7"/>
        <item x="129"/>
        <item x="117"/>
        <item x="53"/>
        <item x="85"/>
        <item x="104"/>
        <item x="112"/>
        <item x="31"/>
        <item x="25"/>
        <item x="103"/>
        <item x="78"/>
        <item x="13"/>
        <item x="97"/>
        <item x="57"/>
        <item x="82"/>
        <item x="35"/>
        <item x="109"/>
        <item x="27"/>
        <item x="76"/>
        <item x="10"/>
        <item x="51"/>
        <item x="80"/>
        <item x="2"/>
        <item x="101"/>
        <item x="139"/>
        <item x="119"/>
        <item x="6"/>
        <item x="4"/>
        <item x="132"/>
        <item x="105"/>
        <item x="56"/>
        <item x="99"/>
        <item x="74"/>
        <item x="49"/>
        <item x="55"/>
        <item x="107"/>
        <item x="68"/>
        <item x="83"/>
        <item x="121"/>
        <item x="79"/>
        <item x="125"/>
        <item x="29"/>
        <item x="0"/>
        <item x="42"/>
        <item x="47"/>
        <item x="134"/>
        <item x="142"/>
        <item x="72"/>
        <item x="93"/>
        <item x="106"/>
        <item x="33"/>
        <item x="8"/>
        <item x="127"/>
        <item t="default"/>
      </items>
    </pivotField>
  </pivotFields>
  <rowFields count="2">
    <field x="4"/>
    <field x="0"/>
  </rowFields>
  <rowItems count="5">
    <i>
      <x v="1"/>
    </i>
    <i r="1">
      <x/>
    </i>
    <i r="1">
      <x v="1"/>
    </i>
    <i r="1">
      <x v="2"/>
    </i>
    <i t="grand">
      <x/>
    </i>
  </rowItems>
  <colFields count="1">
    <field x="2"/>
  </colFields>
  <colItems count="7">
    <i>
      <x v="2"/>
    </i>
    <i>
      <x v="3"/>
    </i>
    <i>
      <x v="4"/>
    </i>
    <i>
      <x v="5"/>
    </i>
    <i>
      <x v="6"/>
    </i>
    <i>
      <x v="7"/>
    </i>
    <i t="grand">
      <x/>
    </i>
  </colItems>
  <pageFields count="1">
    <pageField fld="5" hier="-1"/>
  </pageFields>
  <dataFields count="1">
    <dataField name="Max of Ct" fld="6" subtotal="max" baseField="0" baseItem="0"/>
  </dataFields>
  <chartFormats count="4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6"/>
          </reference>
        </references>
      </pivotArea>
    </chartFormat>
    <chartFormat chart="0" format="2" series="1">
      <pivotArea type="data" outline="0" fieldPosition="0">
        <references count="2">
          <reference field="4294967294" count="1" selected="0">
            <x v="0"/>
          </reference>
          <reference field="2" count="1" selected="0">
            <x v="5"/>
          </reference>
        </references>
      </pivotArea>
    </chartFormat>
    <chartFormat chart="0" format="3" series="1">
      <pivotArea type="data" outline="0" fieldPosition="0">
        <references count="2">
          <reference field="4294967294" count="1" selected="0">
            <x v="0"/>
          </reference>
          <reference field="2" count="1" selected="0">
            <x v="4"/>
          </reference>
        </references>
      </pivotArea>
    </chartFormat>
    <chartFormat chart="0" format="4" series="1">
      <pivotArea type="data" outline="0" fieldPosition="0">
        <references count="2">
          <reference field="4294967294" count="1" selected="0">
            <x v="0"/>
          </reference>
          <reference field="2" count="1" selected="0">
            <x v="3"/>
          </reference>
        </references>
      </pivotArea>
    </chartFormat>
    <chartFormat chart="0" format="5" series="1">
      <pivotArea type="data" outline="0" fieldPosition="0">
        <references count="2">
          <reference field="4294967294" count="1" selected="0">
            <x v="0"/>
          </reference>
          <reference field="2" count="1" selected="0">
            <x v="2"/>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 chart="4" format="9" series="1">
      <pivotArea type="data" outline="0" fieldPosition="0">
        <references count="2">
          <reference field="4294967294" count="1" selected="0">
            <x v="0"/>
          </reference>
          <reference field="2" count="1" selected="0">
            <x v="3"/>
          </reference>
        </references>
      </pivotArea>
    </chartFormat>
    <chartFormat chart="4" format="10" series="1">
      <pivotArea type="data" outline="0" fieldPosition="0">
        <references count="2">
          <reference field="4294967294" count="1" selected="0">
            <x v="0"/>
          </reference>
          <reference field="2" count="1" selected="0">
            <x v="4"/>
          </reference>
        </references>
      </pivotArea>
    </chartFormat>
    <chartFormat chart="4" format="11" series="1">
      <pivotArea type="data" outline="0" fieldPosition="0">
        <references count="2">
          <reference field="4294967294" count="1" selected="0">
            <x v="0"/>
          </reference>
          <reference field="2" count="1" selected="0">
            <x v="5"/>
          </reference>
        </references>
      </pivotArea>
    </chartFormat>
    <chartFormat chart="4" format="12" series="1">
      <pivotArea type="data" outline="0" fieldPosition="0">
        <references count="2">
          <reference field="4294967294" count="1" selected="0">
            <x v="0"/>
          </reference>
          <reference field="2" count="1" selected="0">
            <x v="6"/>
          </reference>
        </references>
      </pivotArea>
    </chartFormat>
    <chartFormat chart="4" format="13" series="1">
      <pivotArea type="data" outline="0" fieldPosition="0">
        <references count="2">
          <reference field="4294967294" count="1" selected="0">
            <x v="0"/>
          </reference>
          <reference field="2" count="1" selected="0">
            <x v="7"/>
          </reference>
        </references>
      </pivotArea>
    </chartFormat>
    <chartFormat chart="5" format="14" series="1">
      <pivotArea type="data" outline="0" fieldPosition="0">
        <references count="2">
          <reference field="4294967294" count="1" selected="0">
            <x v="0"/>
          </reference>
          <reference field="2" count="1" selected="0">
            <x v="2"/>
          </reference>
        </references>
      </pivotArea>
    </chartFormat>
    <chartFormat chart="5" format="15" series="1">
      <pivotArea type="data" outline="0" fieldPosition="0">
        <references count="2">
          <reference field="4294967294" count="1" selected="0">
            <x v="0"/>
          </reference>
          <reference field="2" count="1" selected="0">
            <x v="3"/>
          </reference>
        </references>
      </pivotArea>
    </chartFormat>
    <chartFormat chart="5" format="16" series="1">
      <pivotArea type="data" outline="0" fieldPosition="0">
        <references count="2">
          <reference field="4294967294" count="1" selected="0">
            <x v="0"/>
          </reference>
          <reference field="2" count="1" selected="0">
            <x v="4"/>
          </reference>
        </references>
      </pivotArea>
    </chartFormat>
    <chartFormat chart="5" format="17" series="1">
      <pivotArea type="data" outline="0" fieldPosition="0">
        <references count="2">
          <reference field="4294967294" count="1" selected="0">
            <x v="0"/>
          </reference>
          <reference field="2" count="1" selected="0">
            <x v="5"/>
          </reference>
        </references>
      </pivotArea>
    </chartFormat>
    <chartFormat chart="5" format="18" series="1">
      <pivotArea type="data" outline="0" fieldPosition="0">
        <references count="2">
          <reference field="4294967294" count="1" selected="0">
            <x v="0"/>
          </reference>
          <reference field="2" count="1" selected="0">
            <x v="6"/>
          </reference>
        </references>
      </pivotArea>
    </chartFormat>
    <chartFormat chart="5" format="19" series="1">
      <pivotArea type="data" outline="0" fieldPosition="0">
        <references count="2">
          <reference field="4294967294" count="1" selected="0">
            <x v="0"/>
          </reference>
          <reference field="2" count="1" selected="0">
            <x v="7"/>
          </reference>
        </references>
      </pivotArea>
    </chartFormat>
    <chartFormat chart="6" format="8" series="1">
      <pivotArea type="data" outline="0" fieldPosition="0">
        <references count="2">
          <reference field="4294967294" count="1" selected="0">
            <x v="0"/>
          </reference>
          <reference field="2" count="1" selected="0">
            <x v="2"/>
          </reference>
        </references>
      </pivotArea>
    </chartFormat>
    <chartFormat chart="6" format="9" series="1">
      <pivotArea type="data" outline="0" fieldPosition="0">
        <references count="2">
          <reference field="4294967294" count="1" selected="0">
            <x v="0"/>
          </reference>
          <reference field="2" count="1" selected="0">
            <x v="3"/>
          </reference>
        </references>
      </pivotArea>
    </chartFormat>
    <chartFormat chart="6" format="10" series="1">
      <pivotArea type="data" outline="0" fieldPosition="0">
        <references count="2">
          <reference field="4294967294" count="1" selected="0">
            <x v="0"/>
          </reference>
          <reference field="2" count="1" selected="0">
            <x v="4"/>
          </reference>
        </references>
      </pivotArea>
    </chartFormat>
    <chartFormat chart="6" format="11" series="1">
      <pivotArea type="data" outline="0" fieldPosition="0">
        <references count="2">
          <reference field="4294967294" count="1" selected="0">
            <x v="0"/>
          </reference>
          <reference field="2" count="1" selected="0">
            <x v="5"/>
          </reference>
        </references>
      </pivotArea>
    </chartFormat>
    <chartFormat chart="6" format="12" series="1">
      <pivotArea type="data" outline="0" fieldPosition="0">
        <references count="2">
          <reference field="4294967294" count="1" selected="0">
            <x v="0"/>
          </reference>
          <reference field="2" count="1" selected="0">
            <x v="6"/>
          </reference>
        </references>
      </pivotArea>
    </chartFormat>
    <chartFormat chart="6" format="13" series="1">
      <pivotArea type="data" outline="0" fieldPosition="0">
        <references count="2">
          <reference field="4294967294" count="1" selected="0">
            <x v="0"/>
          </reference>
          <reference field="2" count="1" selected="0">
            <x v="7"/>
          </reference>
        </references>
      </pivotArea>
    </chartFormat>
    <chartFormat chart="7" format="14" series="1">
      <pivotArea type="data" outline="0" fieldPosition="0">
        <references count="2">
          <reference field="4294967294" count="1" selected="0">
            <x v="0"/>
          </reference>
          <reference field="2" count="1" selected="0">
            <x v="2"/>
          </reference>
        </references>
      </pivotArea>
    </chartFormat>
    <chartFormat chart="7" format="15" series="1">
      <pivotArea type="data" outline="0" fieldPosition="0">
        <references count="2">
          <reference field="4294967294" count="1" selected="0">
            <x v="0"/>
          </reference>
          <reference field="2" count="1" selected="0">
            <x v="3"/>
          </reference>
        </references>
      </pivotArea>
    </chartFormat>
    <chartFormat chart="7" format="16" series="1">
      <pivotArea type="data" outline="0" fieldPosition="0">
        <references count="2">
          <reference field="4294967294" count="1" selected="0">
            <x v="0"/>
          </reference>
          <reference field="2" count="1" selected="0">
            <x v="4"/>
          </reference>
        </references>
      </pivotArea>
    </chartFormat>
    <chartFormat chart="7" format="17" series="1">
      <pivotArea type="data" outline="0" fieldPosition="0">
        <references count="2">
          <reference field="4294967294" count="1" selected="0">
            <x v="0"/>
          </reference>
          <reference field="2" count="1" selected="0">
            <x v="5"/>
          </reference>
        </references>
      </pivotArea>
    </chartFormat>
    <chartFormat chart="7" format="18" series="1">
      <pivotArea type="data" outline="0" fieldPosition="0">
        <references count="2">
          <reference field="4294967294" count="1" selected="0">
            <x v="0"/>
          </reference>
          <reference field="2" count="1" selected="0">
            <x v="6"/>
          </reference>
        </references>
      </pivotArea>
    </chartFormat>
    <chartFormat chart="7" format="19" series="1">
      <pivotArea type="data" outline="0" fieldPosition="0">
        <references count="2">
          <reference field="4294967294" count="1" selected="0">
            <x v="0"/>
          </reference>
          <reference field="2" count="1" selected="0">
            <x v="7"/>
          </reference>
        </references>
      </pivotArea>
    </chartFormat>
    <chartFormat chart="8" format="20" series="1">
      <pivotArea type="data" outline="0" fieldPosition="0">
        <references count="2">
          <reference field="4294967294" count="1" selected="0">
            <x v="0"/>
          </reference>
          <reference field="2" count="1" selected="0">
            <x v="2"/>
          </reference>
        </references>
      </pivotArea>
    </chartFormat>
    <chartFormat chart="8" format="21" series="1">
      <pivotArea type="data" outline="0" fieldPosition="0">
        <references count="2">
          <reference field="4294967294" count="1" selected="0">
            <x v="0"/>
          </reference>
          <reference field="2" count="1" selected="0">
            <x v="3"/>
          </reference>
        </references>
      </pivotArea>
    </chartFormat>
    <chartFormat chart="8" format="22" series="1">
      <pivotArea type="data" outline="0" fieldPosition="0">
        <references count="2">
          <reference field="4294967294" count="1" selected="0">
            <x v="0"/>
          </reference>
          <reference field="2" count="1" selected="0">
            <x v="4"/>
          </reference>
        </references>
      </pivotArea>
    </chartFormat>
    <chartFormat chart="8" format="23" series="1">
      <pivotArea type="data" outline="0" fieldPosition="0">
        <references count="2">
          <reference field="4294967294" count="1" selected="0">
            <x v="0"/>
          </reference>
          <reference field="2" count="1" selected="0">
            <x v="5"/>
          </reference>
        </references>
      </pivotArea>
    </chartFormat>
    <chartFormat chart="8" format="24" series="1">
      <pivotArea type="data" outline="0" fieldPosition="0">
        <references count="2">
          <reference field="4294967294" count="1" selected="0">
            <x v="0"/>
          </reference>
          <reference field="2" count="1" selected="0">
            <x v="6"/>
          </reference>
        </references>
      </pivotArea>
    </chartFormat>
    <chartFormat chart="8" format="25" series="1">
      <pivotArea type="data" outline="0" fieldPosition="0">
        <references count="2">
          <reference field="4294967294" count="1" selected="0">
            <x v="0"/>
          </reference>
          <reference field="2" count="1" selected="0">
            <x v="7"/>
          </reference>
        </references>
      </pivotArea>
    </chartFormat>
    <chartFormat chart="11" format="14" series="1">
      <pivotArea type="data" outline="0" fieldPosition="0">
        <references count="2">
          <reference field="4294967294" count="1" selected="0">
            <x v="0"/>
          </reference>
          <reference field="2" count="1" selected="0">
            <x v="2"/>
          </reference>
        </references>
      </pivotArea>
    </chartFormat>
    <chartFormat chart="11" format="15" series="1">
      <pivotArea type="data" outline="0" fieldPosition="0">
        <references count="2">
          <reference field="4294967294" count="1" selected="0">
            <x v="0"/>
          </reference>
          <reference field="2" count="1" selected="0">
            <x v="3"/>
          </reference>
        </references>
      </pivotArea>
    </chartFormat>
    <chartFormat chart="11" format="16" series="1">
      <pivotArea type="data" outline="0" fieldPosition="0">
        <references count="2">
          <reference field="4294967294" count="1" selected="0">
            <x v="0"/>
          </reference>
          <reference field="2" count="1" selected="0">
            <x v="4"/>
          </reference>
        </references>
      </pivotArea>
    </chartFormat>
    <chartFormat chart="11" format="17" series="1">
      <pivotArea type="data" outline="0" fieldPosition="0">
        <references count="2">
          <reference field="4294967294" count="1" selected="0">
            <x v="0"/>
          </reference>
          <reference field="2" count="1" selected="0">
            <x v="5"/>
          </reference>
        </references>
      </pivotArea>
    </chartFormat>
    <chartFormat chart="11" format="18" series="1">
      <pivotArea type="data" outline="0" fieldPosition="0">
        <references count="2">
          <reference field="4294967294" count="1" selected="0">
            <x v="0"/>
          </reference>
          <reference field="2" count="1" selected="0">
            <x v="6"/>
          </reference>
        </references>
      </pivotArea>
    </chartFormat>
    <chartFormat chart="11" format="19"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DA9AB9-5267-4B50-947D-F31280F79801}" name="Table1" displayName="Table1" ref="H45:J51" totalsRowShown="0">
  <autoFilter ref="H45:J51" xr:uid="{4241517F-4463-4730-BD7F-307139BEEC32}"/>
  <tableColumns count="3">
    <tableColumn id="1" xr3:uid="{3A32E18F-4EE8-4F39-82B3-1A5D6309025E}" name="ROW"/>
    <tableColumn id="2" xr3:uid="{196360D3-2040-46BC-A409-C2E22A1A98C0}" name="F" dataDxfId="4"/>
    <tableColumn id="3" xr3:uid="{A488B00E-8EBD-4D83-B5E2-AD130C8123C2}" name="R" dataDxfId="3"/>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6DA5FC-FE90-4E0F-8DAC-A8794FB0CD71}" name="Table2" displayName="Table2" ref="Q127:T132" totalsRowShown="0">
  <autoFilter ref="Q127:T132" xr:uid="{ACBED57C-0E39-435E-B790-9ED1A656D218}"/>
  <tableColumns count="4">
    <tableColumn id="1" xr3:uid="{4D8D728E-9BED-4566-8E0A-8761948BABEC}" name="Order #"/>
    <tableColumn id="2" xr3:uid="{30D9BAFD-494A-4149-84E7-A511C12A7D03}" name="Name"/>
    <tableColumn id="3" xr3:uid="{83C8C808-D844-4BA7-B2C6-644240D442CF}" name="Date" dataDxfId="2"/>
    <tableColumn id="4" xr3:uid="{0CBCEC51-5EAC-47D0-B83F-75441951B24A}" name="Ordered By:"/>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F35EAF-6026-424B-B676-9E261B007651}" name="Table4" displayName="Table4" ref="AI35:AN52" totalsRowShown="0" headerRowDxfId="1">
  <autoFilter ref="AI35:AN52" xr:uid="{A6F35EAF-6026-424B-B676-9E261B007651}"/>
  <tableColumns count="6">
    <tableColumn id="1" xr3:uid="{88F1E2BC-3410-442C-B21E-B5E068A00DF9}" name="TubeName"/>
    <tableColumn id="2" xr3:uid="{E64704ED-D1C6-482F-9D0B-7C511AD0111A}" name="Conc (uM)">
      <calculatedColumnFormula>AJ35/10</calculatedColumnFormula>
    </tableColumn>
    <tableColumn id="3" xr3:uid="{12FEC873-1688-4628-8ECE-4C6A034E3E58}" name="pM">
      <calculatedColumnFormula>AJ36*1000000</calculatedColumnFormula>
    </tableColumn>
    <tableColumn id="4" xr3:uid="{4076E8D0-CE3B-4F7A-BA24-4C32C0B05D05}" name="Copy Number">
      <calculatedColumnFormula>AL35/10</calculatedColumnFormula>
    </tableColumn>
    <tableColumn id="5" xr3:uid="{97C43C82-6976-4DD4-AAC7-95CB5316AED7}" name="Copy Number/rxn" dataDxfId="0">
      <calculatedColumnFormula>AL36/1000*2</calculatedColumnFormula>
    </tableColumn>
    <tableColumn id="6" xr3:uid="{B0C26E2A-8F23-4835-9753-E21A5D0C7D42}" name="Log(copy#/rxn)">
      <calculatedColumnFormula>LOG(AM36)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4" dT="2021-04-15T15:11:56.07" personId="{C036E568-2483-44DB-BB40-AA55BED6ED1F}" id="{CD090161-2B40-4EBB-98CF-B335A6CFF213}">
    <text>this is expected concentration from the tube.</text>
  </threadedComment>
  <threadedComment ref="E24" dT="2021-04-15T15:09:13.69" personId="{C036E568-2483-44DB-BB40-AA55BED6ED1F}" id="{9E166559-6E78-4B2C-92FD-BB62D52CB468}">
    <text>don't have details or tech sheet regarding this original tube.</text>
  </threadedComment>
  <threadedComment ref="F24" dT="2021-04-15T15:11:11.28" personId="{C036E568-2483-44DB-BB40-AA55BED6ED1F}" id="{12F4FF0D-EF45-469B-A9BB-47FF81EA0A11}">
    <text>Raquel and production use copy number per ul.</text>
  </threadedComment>
  <threadedComment ref="F24" dT="2021-04-15T15:42:54.18" personId="{C036E568-2483-44DB-BB40-AA55BED6ED1F}" id="{0143DA28-9B53-4657-BC4B-1B0D8489A02C}" parentId="{12F4FF0D-EF45-469B-A9BB-47FF81EA0A11}">
    <text>assumes copy number is in 1000ul</text>
  </threadedComment>
  <threadedComment ref="I24" dT="2021-04-15T15:09:13.69" personId="{C036E568-2483-44DB-BB40-AA55BED6ED1F}" id="{58397D89-3D68-4360-ABB2-BCA81E566B9B}">
    <text>don't have details or tech sheet regarding this original tube.</text>
  </threadedComment>
  <threadedComment ref="J24" dT="2021-04-15T15:11:11.28" personId="{C036E568-2483-44DB-BB40-AA55BED6ED1F}" id="{19DB2CC8-41EE-4D98-9C11-B3632E16C89D}">
    <text>Raquel and production use copy number per ul.</text>
  </threadedComment>
  <threadedComment ref="B25" dT="2021-04-15T15:02:33.63" personId="{C036E568-2483-44DB-BB40-AA55BED6ED1F}" id="{E6EE7E9A-3DDF-4ED3-9DF4-84C2833712EE}">
    <text>Note, that this is different than micH std or other standards as I usually have 100x dilution from std_0 to std_1. However, this standard is simply 10x dilution.</text>
  </threadedComment>
  <threadedComment ref="E25" dT="2021-04-13T18:18:31.40" personId="{C036E568-2483-44DB-BB40-AA55BED6ED1F}" id="{7E76DEB3-4A83-4F39-B1A2-292F67DF894A}">
    <text>In 10ul of the source, there are this many molecules.</text>
  </threadedComment>
  <threadedComment ref="E25" dT="2021-04-15T15:10:21.81" personId="{C036E568-2483-44DB-BB40-AA55BED6ED1F}" id="{4CAF5247-DA5F-4231-B41A-AFD484B3B34B}" parentId="{7E76DEB3-4A83-4F39-B1A2-292F67DF894A}">
    <text>conc uM = umol/L = 10e-6101e6*avogadro's number</text>
  </threadedComment>
  <threadedComment ref="I25" dT="2021-04-13T18:18:31.40" personId="{C036E568-2483-44DB-BB40-AA55BED6ED1F}" id="{F21F48AE-FE33-4E3C-B959-E7DC70D0F176}">
    <text>In 10ul of the source, there are this many molecules.</text>
  </threadedComment>
  <threadedComment ref="I25" dT="2021-04-15T15:10:21.81" personId="{C036E568-2483-44DB-BB40-AA55BED6ED1F}" id="{3FF3679D-0943-4B1B-84EA-30FD5B550FEB}" parentId="{F21F48AE-FE33-4E3C-B959-E7DC70D0F176}">
    <text>conc uM = umol/L = 10e-6101e6*avogadro's number</text>
  </threadedComment>
  <threadedComment ref="A99" dT="2021-04-27T11:30:05.38" personId="{C036E568-2483-44DB-BB40-AA55BED6ED1F}" id="{89275663-F240-4A15-9D32-AB59AE0649D4}">
    <text>Leg pneumo probe has been ordered but not yet arrived. I asked Raquel to make mastermix without probe. I would add that down here because I have leftover probe from reactions.</text>
  </threadedComment>
  <threadedComment ref="B171" dT="2021-04-27T11:30:05.38" personId="{C036E568-2483-44DB-BB40-AA55BED6ED1F}" id="{D6087FFB-B6C7-4470-A2AE-AB8BD1856F5B}">
    <text>Leg pneumo probe has been ordered but not yet arrived. I asked Raquel to make mastermix without probe. I would add that down here because I have leftover probe from reactions.</text>
  </threadedComment>
  <threadedComment ref="B187" dT="2021-04-27T11:30:05.38" personId="{C036E568-2483-44DB-BB40-AA55BED6ED1F}" id="{BD5DB857-EC67-4909-A53D-28ABE3F93C14}">
    <text>Leg pneumo probe has been ordered but not yet arrived. I asked Raquel to make mastermix without probe. I would add that down here because I have leftover probe from reactions.</text>
  </threadedComment>
  <threadedComment ref="B188" dT="2021-05-05T17:41:14.70" personId="{C036E568-2483-44DB-BB40-AA55BED6ED1F}" id="{738BAC87-25C7-4D6A-936E-EC7DC456760B}">
    <text>I have enough probe to complete these reactions.</text>
  </threadedComment>
</ThreadedComments>
</file>

<file path=xl/threadedComments/threadedComment2.xml><?xml version="1.0" encoding="utf-8"?>
<ThreadedComments xmlns="http://schemas.microsoft.com/office/spreadsheetml/2018/threadedcomments" xmlns:x="http://schemas.openxmlformats.org/spreadsheetml/2006/main">
  <threadedComment ref="D21" dT="2021-04-15T16:48:41.98" personId="{C036E568-2483-44DB-BB40-AA55BED6ED1F}" id="{381B3EE7-F869-468A-958A-4F2F3AF3447C}">
    <text>Raquel did not add water to this mastermix.</text>
  </threadedComment>
</ThreadedComments>
</file>

<file path=xl/threadedComments/threadedComment3.xml><?xml version="1.0" encoding="utf-8"?>
<ThreadedComments xmlns="http://schemas.microsoft.com/office/spreadsheetml/2018/threadedcomments" xmlns:x="http://schemas.openxmlformats.org/spreadsheetml/2006/main">
  <threadedComment ref="O1" dT="2021-04-27T19:12:03.12" personId="{C036E568-2483-44DB-BB40-AA55BED6ED1F}" id="{A9D534E2-1104-4BE5-A2A0-6DB5A69CBCC0}">
    <text>Legionella pneumophila positive control.</text>
  </threadedComment>
</ThreadedComments>
</file>

<file path=xl/threadedComments/threadedComment4.xml><?xml version="1.0" encoding="utf-8"?>
<ThreadedComments xmlns="http://schemas.microsoft.com/office/spreadsheetml/2018/threadedcomments" xmlns:x="http://schemas.openxmlformats.org/spreadsheetml/2006/main">
  <threadedComment ref="D21" dT="2021-04-15T16:48:41.98" personId="{C036E568-2483-44DB-BB40-AA55BED6ED1F}" id="{9961E538-B9B6-4EEB-9ACC-59927C3F957D}">
    <text>Raquel did not add water to this mastermix.</text>
  </threadedComment>
</ThreadedComments>
</file>

<file path=xl/threadedComments/threadedComment5.xml><?xml version="1.0" encoding="utf-8"?>
<ThreadedComments xmlns="http://schemas.microsoft.com/office/spreadsheetml/2018/threadedcomments" xmlns:x="http://schemas.openxmlformats.org/spreadsheetml/2006/main">
  <threadedComment ref="P61" dT="2021-04-15T15:11:56.07" personId="{C036E568-2483-44DB-BB40-AA55BED6ED1F}" id="{DD07708B-4A94-4357-8307-BF7289ECBE1B}">
    <text>this is expected concentration from the tube.</text>
  </threadedComment>
  <threadedComment ref="R61" dT="2021-04-15T15:09:13.69" personId="{C036E568-2483-44DB-BB40-AA55BED6ED1F}" id="{CADF98D4-719A-4505-AB4A-E5B94BC7165B}">
    <text>don't have details or tech sheet regarding this original tube.</text>
  </threadedComment>
  <threadedComment ref="S61" dT="2021-04-15T15:11:11.28" personId="{C036E568-2483-44DB-BB40-AA55BED6ED1F}" id="{2E7ACF86-282E-499F-B5B3-228D3805416D}">
    <text>Raquel and production use copy number per ul.</text>
  </threadedComment>
  <threadedComment ref="S61" dT="2021-04-15T15:42:54.18" personId="{C036E568-2483-44DB-BB40-AA55BED6ED1F}" id="{E247112C-B142-42BF-9AAF-0005E6249E78}" parentId="{2E7ACF86-282E-499F-B5B3-228D3805416D}">
    <text>assumes copy number is in 1000ul</text>
  </threadedComment>
  <threadedComment ref="V61" dT="2021-04-15T15:09:13.69" personId="{C036E568-2483-44DB-BB40-AA55BED6ED1F}" id="{F3BBC06D-3991-4FCB-824F-4422DC57ECB5}">
    <text>don't have details or tech sheet regarding this original tube.</text>
  </threadedComment>
  <threadedComment ref="W61" dT="2021-04-15T15:11:11.28" personId="{C036E568-2483-44DB-BB40-AA55BED6ED1F}" id="{C0B5E49F-C88D-43C7-835C-B5C47C1344E4}">
    <text>Raquel and production use copy number per ul.</text>
  </threadedComment>
  <threadedComment ref="O62" dT="2021-04-15T15:02:33.63" personId="{C036E568-2483-44DB-BB40-AA55BED6ED1F}" id="{8DC390E1-B158-425C-AB3F-5E0DA31573F8}">
    <text>Note, that this is different than micH std or other standards as I usually have 100x dilution from std_0 to std_1. However, this standard is simply 10x dilution.</text>
  </threadedComment>
  <threadedComment ref="R62" dT="2021-04-13T18:18:31.40" personId="{C036E568-2483-44DB-BB40-AA55BED6ED1F}" id="{3CA408A2-8B11-4509-B2EF-5835A1B494BA}">
    <text>In 10ul of the source, there are this many molecules.</text>
  </threadedComment>
  <threadedComment ref="R62" dT="2021-04-15T15:10:21.81" personId="{C036E568-2483-44DB-BB40-AA55BED6ED1F}" id="{6F8D95BB-98C5-4754-861C-98DA10ADCB41}" parentId="{3CA408A2-8B11-4509-B2EF-5835A1B494BA}">
    <text>conc uM = umol/L = 10e-6101e6*avogadro's number</text>
  </threadedComment>
  <threadedComment ref="V62" dT="2021-04-13T18:18:31.40" personId="{C036E568-2483-44DB-BB40-AA55BED6ED1F}" id="{F82E3100-565F-44BC-8B78-105FFA4595FE}">
    <text>In 10ul of the source, there are this many molecules.</text>
  </threadedComment>
  <threadedComment ref="V62" dT="2021-04-15T15:10:21.81" personId="{C036E568-2483-44DB-BB40-AA55BED6ED1F}" id="{14F992F4-E426-4877-8A8A-9567CE379C35}" parentId="{F82E3100-565F-44BC-8B78-105FFA4595FE}">
    <text>conc uM = umol/L = 10e-6101e6*avogadro's number</text>
  </threadedComment>
  <threadedComment ref="O64" dT="2021-04-22T13:31:50.84" personId="{C036E568-2483-44DB-BB40-AA55BED6ED1F}" id="{84004AFB-0ACE-4B82-B13F-D6EE442C2CF1}">
    <text>made these because standards below 3 fail. These are 1/2 dilutions. Took 200ul and added it to 200ul. Mixed. Removed 200ul and added to next tube.</text>
  </threadedComment>
  <threadedComment ref="Y68" dT="2021-04-22T13:43:09.10" personId="{C036E568-2483-44DB-BB40-AA55BED6ED1F}" id="{E65AF7D0-41F7-4DC3-B79C-46049B18D375}">
    <text>Remove this because it failed. May be useful for calculating OD.</text>
  </threadedComment>
</ThreadedComments>
</file>

<file path=xl/threadedComments/threadedComment6.xml><?xml version="1.0" encoding="utf-8"?>
<ThreadedComments xmlns="http://schemas.microsoft.com/office/spreadsheetml/2018/threadedcomments" xmlns:x="http://schemas.openxmlformats.org/spreadsheetml/2006/main">
  <threadedComment ref="E69" dT="2021-03-18T15:20:42.40" personId="{C036E568-2483-44DB-BB40-AA55BED6ED1F}" id="{6413B37A-17B9-4D1B-9D87-32E71FA4D0E0}">
    <text>Want to add 1.6ul of probe to equal rxn_mix + 1.6ul = 20ul. Consistent with F primer in Exp800.05.</text>
  </threadedComment>
  <threadedComment ref="K69" dT="2021-03-18T15:20:42.40" personId="{C036E568-2483-44DB-BB40-AA55BED6ED1F}" id="{C5EF1A5E-59DD-4419-8C6D-D53963D456D5}">
    <text>Want to add 1.6ul of probe to equal rxn_mix + 1.6ul = 20ul. Consistent with F primer in Exp800.05.</text>
  </threadedComment>
  <threadedComment ref="Q69" dT="2021-03-18T15:20:42.40" personId="{C036E568-2483-44DB-BB40-AA55BED6ED1F}" id="{028B4CD2-6811-4A14-B4D5-1E9D662707E8}">
    <text>Want to add 1.6ul of probe to equal rxn_mix + 1.6ul = 20ul. Consistent with F primer in Exp800.05.</text>
  </threadedComment>
  <threadedComment ref="E88" dT="2021-03-18T15:27:47.14" personId="{C036E568-2483-44DB-BB40-AA55BED6ED1F}" id="{26B611AB-E446-4D29-BFC1-79C093A4B990}">
    <text>Exp800.05 uses 100ul total volume. But F primer cheaper than probe. Can this be reduced to 50ul total volume?</text>
  </threadedComment>
</ThreadedComments>
</file>

<file path=xl/threadedComments/threadedComment7.xml><?xml version="1.0" encoding="utf-8"?>
<ThreadedComments xmlns="http://schemas.microsoft.com/office/spreadsheetml/2018/threadedcomments" xmlns:x="http://schemas.openxmlformats.org/spreadsheetml/2006/main">
  <threadedComment ref="Q75" dT="2021-04-15T15:11:56.07" personId="{C036E568-2483-44DB-BB40-AA55BED6ED1F}" id="{D569956F-9A90-48B7-A432-1FDFF05096D8}">
    <text>this is expected concentration from the tube.</text>
  </threadedComment>
  <threadedComment ref="S75" dT="2021-04-15T15:09:13.69" personId="{C036E568-2483-44DB-BB40-AA55BED6ED1F}" id="{F0424E49-C803-4826-9ABD-0040239916B9}">
    <text>don't have details or tech sheet regarding this original tube.</text>
  </threadedComment>
  <threadedComment ref="T75" dT="2021-04-15T15:11:11.28" personId="{C036E568-2483-44DB-BB40-AA55BED6ED1F}" id="{F3C5D05E-3DB6-489A-9473-872498BDD655}">
    <text>Raquel and production use copy number per ul.</text>
  </threadedComment>
  <threadedComment ref="T75" dT="2021-04-15T15:42:54.18" personId="{C036E568-2483-44DB-BB40-AA55BED6ED1F}" id="{07975B3C-4068-48D9-A0DE-242CAC36EAC1}" parentId="{F3C5D05E-3DB6-489A-9473-872498BDD655}">
    <text>assumes copy number is in 1000ul</text>
  </threadedComment>
  <threadedComment ref="W75" dT="2021-04-15T15:09:13.69" personId="{C036E568-2483-44DB-BB40-AA55BED6ED1F}" id="{BA439429-3E68-4927-89F0-8378212F7D3C}">
    <text>don't have details or tech sheet regarding this original tube.</text>
  </threadedComment>
  <threadedComment ref="X75" dT="2021-04-15T15:11:11.28" personId="{C036E568-2483-44DB-BB40-AA55BED6ED1F}" id="{A7773AE5-AE31-454C-BA90-89B75B6715A0}">
    <text>Raquel and production use copy number per ul.</text>
  </threadedComment>
  <threadedComment ref="P76" dT="2021-04-15T15:02:33.63" personId="{C036E568-2483-44DB-BB40-AA55BED6ED1F}" id="{06602B66-5294-47B9-8FA3-D2F45CAE2997}">
    <text>Note, that this is different than micH std or other standards as I usually have 100x dilution from std_0 to std_1. However, this standard is simply 10x dilution.</text>
  </threadedComment>
  <threadedComment ref="S76" dT="2021-04-13T18:18:31.40" personId="{C036E568-2483-44DB-BB40-AA55BED6ED1F}" id="{E7DF2BE2-D878-4764-BBC4-AF4652C05C3F}">
    <text>In 10ul of the source, there are this many molecules.</text>
  </threadedComment>
  <threadedComment ref="S76" dT="2021-04-15T15:10:21.81" personId="{C036E568-2483-44DB-BB40-AA55BED6ED1F}" id="{9D8104C8-0682-4099-9AB7-72572436FB3D}" parentId="{E7DF2BE2-D878-4764-BBC4-AF4652C05C3F}">
    <text>conc uM = umol/L = 10e-6101e6*avogadro's number</text>
  </threadedComment>
  <threadedComment ref="W76" dT="2021-04-13T18:18:31.40" personId="{C036E568-2483-44DB-BB40-AA55BED6ED1F}" id="{B1E96219-C103-4671-A493-897C2C22F8DA}">
    <text>In 10ul of the source, there are this many molecules.</text>
  </threadedComment>
  <threadedComment ref="W76" dT="2021-04-15T15:10:21.81" personId="{C036E568-2483-44DB-BB40-AA55BED6ED1F}" id="{B911BA7B-8FAB-498E-AA8D-38D0A40DCF42}" parentId="{B1E96219-C103-4671-A493-897C2C22F8DA}">
    <text>conc uM = umol/L = 10e-6101e6*avogadro's number</text>
  </threadedComment>
  <threadedComment ref="P78" dT="2021-04-22T13:31:50.84" personId="{C036E568-2483-44DB-BB40-AA55BED6ED1F}" id="{EA01DAC6-BB79-4E06-B2B1-427901D88626}">
    <text>made these because standards below 3 fail. These are 1/2 dilutions. Took 200ul and added it to 200ul. Mixed. Removed 200ul and added to next tube.</text>
  </threadedComment>
  <threadedComment ref="Z82" dT="2021-04-22T13:43:09.10" personId="{C036E568-2483-44DB-BB40-AA55BED6ED1F}" id="{0F3A896D-4978-42DB-90BD-6B84B41F9803}">
    <text>Remove this because it failed. May be useful for calculating OD.</text>
  </threadedComment>
</ThreadedComments>
</file>

<file path=xl/threadedComments/threadedComment8.xml><?xml version="1.0" encoding="utf-8"?>
<ThreadedComments xmlns="http://schemas.microsoft.com/office/spreadsheetml/2018/threadedcomments" xmlns:x="http://schemas.openxmlformats.org/spreadsheetml/2006/main">
  <threadedComment ref="S29" dT="2021-04-28T13:44:49.40" personId="{C036E568-2483-44DB-BB40-AA55BED6ED1F}" id="{2D654FC1-DF35-432A-A9BD-CADCAA315EBA}">
    <text>Poor fluorescence in these wells. Not convinced by any of the Cqs.</text>
  </threadedComment>
</ThreadedComments>
</file>

<file path=xl/threadedComments/threadedComment9.xml><?xml version="1.0" encoding="utf-8"?>
<ThreadedComments xmlns="http://schemas.microsoft.com/office/spreadsheetml/2018/threadedcomments" xmlns:x="http://schemas.openxmlformats.org/spreadsheetml/2006/main">
  <threadedComment ref="D8" dT="2021-04-30T14:38:45.06" personId="{C036E568-2483-44DB-BB40-AA55BED6ED1F}" id="{5A48B6EF-0B06-4075-9FD7-2B04EC5F71F0}">
    <text>This probe is empty. It has been re-ordered but didn't arrive in time.</text>
  </threadedComment>
  <threadedComment ref="A66" dT="2021-05-07T10:42:46.31" personId="{C036E568-2483-44DB-BB40-AA55BED6ED1F}" id="{C7035595-D265-4C2C-9257-3F73DCE1A4FA}">
    <text>Raquel provided me with 10ul of undiluted Leg spp positive control.</text>
  </threadedComment>
  <threadedComment ref="D67" dT="2021-05-07T10:47:20.13" personId="{C036E568-2483-44DB-BB40-AA55BED6ED1F}" id="{9D5A45D9-8903-4DB8-8916-9253FE2C145D}">
    <text>I don't know why we multiple by 32 instead of 20.</text>
  </threadedComment>
</ThreadedComments>
</file>

<file path=xl/threadedComments/threadedComment10.xml><?xml version="1.0" encoding="utf-8"?>
<ThreadedComments xmlns="http://schemas.microsoft.com/office/spreadsheetml/2018/threadedcomments" xmlns:x="http://schemas.openxmlformats.org/spreadsheetml/2006/main">
  <threadedComment ref="AC6" dT="2021-04-30T14:38:45.06" personId="{C036E568-2483-44DB-BB40-AA55BED6ED1F}" id="{C94F105C-9DCF-4130-A88F-A6188E902DB5}">
    <text>This probe is empty. It has been re-ordered but didn't arrive in time.</text>
  </threadedComment>
  <threadedComment ref="R26" dT="2021-04-15T15:11:56.07" personId="{C036E568-2483-44DB-BB40-AA55BED6ED1F}" id="{B9BE8846-3C34-4B68-B3C8-D31CBBC838C7}">
    <text>this is expected concentration from the tube.</text>
  </threadedComment>
  <threadedComment ref="T26" dT="2021-04-15T15:09:13.69" personId="{C036E568-2483-44DB-BB40-AA55BED6ED1F}" id="{6E32324E-69AE-4018-BEE6-9EA0BF529E88}">
    <text>don't have details or tech sheet regarding this original tube.</text>
  </threadedComment>
  <threadedComment ref="U26" dT="2021-04-15T15:11:11.28" personId="{C036E568-2483-44DB-BB40-AA55BED6ED1F}" id="{E8D13136-33DE-409E-9311-A378873A3BAD}">
    <text>Raquel and production use copy number per ul.</text>
  </threadedComment>
  <threadedComment ref="U26" dT="2021-04-15T15:42:54.18" personId="{C036E568-2483-44DB-BB40-AA55BED6ED1F}" id="{7455F738-7F11-409E-8D30-AFFFA876CFD6}" parentId="{E8D13136-33DE-409E-9311-A378873A3BAD}">
    <text>assumes copy number is in 1000ul</text>
  </threadedComment>
  <threadedComment ref="Q27" dT="2021-04-15T15:02:33.63" personId="{C036E568-2483-44DB-BB40-AA55BED6ED1F}" id="{79F582E8-8A70-4C8D-8558-18D5AA130AC2}">
    <text>Note, that this is different than micH std or other standards as I usually have 100x dilution from std_0 to std_1. However, this standard is simply 10x dilution.</text>
  </threadedComment>
  <threadedComment ref="T27" dT="2021-04-13T18:18:31.40" personId="{C036E568-2483-44DB-BB40-AA55BED6ED1F}" id="{E8F45E62-10E9-4997-9A72-9A9DD0C55613}">
    <text>In 10ul of the source, there are this many molecules.</text>
  </threadedComment>
  <threadedComment ref="T27" dT="2021-04-15T15:10:21.81" personId="{C036E568-2483-44DB-BB40-AA55BED6ED1F}" id="{E7859D01-6042-4B8F-99DB-C029F285C0EB}" parentId="{E8F45E62-10E9-4997-9A72-9A9DD0C55613}">
    <text>conc uM = umol/L = 10e-6101e6*avogadro's number</text>
  </threadedComment>
</ThreadedComments>
</file>

<file path=xl/threadedComments/threadedComment11.xml><?xml version="1.0" encoding="utf-8"?>
<ThreadedComments xmlns="http://schemas.microsoft.com/office/spreadsheetml/2018/threadedcomments" xmlns:x="http://schemas.openxmlformats.org/spreadsheetml/2006/main">
  <threadedComment ref="P34" dT="2021-05-17T16:25:09.99" personId="{C036E568-2483-44DB-BB40-AA55BED6ED1F}" id="{3346B6B5-545C-425E-86CD-D0560A8D37B4}">
    <text>Raquel provided me 100uM IAC ultramer from a tube upstairs. I diluted 10ul in 990ul water. This is std_0. Another 10ul from std_0 was used and put into 990ul std_1. Every dilution after this is 1/10, 100 into 900ul.</text>
  </threadedComment>
  <threadedComment ref="Q36" dT="2021-05-20T14:13:13.95" personId="{C036E568-2483-44DB-BB40-AA55BED6ED1F}" id="{9CD3C3F3-9007-426A-84F0-B3A3C744C8E4}">
    <text>confirmed that beginning concentration = 100uM.</text>
  </threadedComment>
  <threadedComment ref="AJ36" dT="2021-05-20T14:13:13.95" personId="{C036E568-2483-44DB-BB40-AA55BED6ED1F}" id="{0886299B-6CC0-43B3-B5D9-ABAF773C6B9F}">
    <text>confirmed that beginning concentration = 100uM.</text>
  </threadedComment>
  <threadedComment ref="E154" dT="2021-05-17T18:40:19.36" personId="{C036E568-2483-44DB-BB40-AA55BED6ED1F}" id="{CB4DAC7E-6AF3-4D97-848E-5F3A594FFFB4}">
    <text>From this tube, fill wells A1, B1 and C1 with 237.6ul.</text>
  </threadedComment>
</ThreadedComments>
</file>

<file path=xl/threadedComments/threadedComment12.xml><?xml version="1.0" encoding="utf-8"?>
<ThreadedComments xmlns="http://schemas.microsoft.com/office/spreadsheetml/2018/threadedcomments" xmlns:x="http://schemas.openxmlformats.org/spreadsheetml/2006/main">
  <threadedComment ref="AC75" dT="2021-05-20T14:13:13.95" personId="{C036E568-2483-44DB-BB40-AA55BED6ED1F}" id="{3EC684AB-450E-4C62-B366-466A0FBA28D4}">
    <text>confirmed that beginning concentration = 100uM.</text>
  </threadedComment>
</ThreadedComments>
</file>

<file path=xl/threadedComments/threadedComment13.xml><?xml version="1.0" encoding="utf-8"?>
<ThreadedComments xmlns="http://schemas.microsoft.com/office/spreadsheetml/2018/threadedcomments" xmlns:x="http://schemas.openxmlformats.org/spreadsheetml/2006/main">
  <threadedComment ref="A34" dT="2021-05-20T14:32:12.06" personId="{C036E568-2483-44DB-BB40-AA55BED6ED1F}" id="{0FB34D50-7663-48F0-88E5-B76FE79F245F}">
    <text>In every 0.2ul added from std_6 to 20ul reaction, there are 100,000 copies. Expected Cq =33.3 +/- 0.9</text>
  </threadedComment>
</ThreadedComments>
</file>

<file path=xl/threadedComments/threadedComment14.xml><?xml version="1.0" encoding="utf-8"?>
<ThreadedComments xmlns="http://schemas.microsoft.com/office/spreadsheetml/2018/threadedcomments" xmlns:x="http://schemas.openxmlformats.org/spreadsheetml/2006/main">
  <threadedComment ref="AT102" dT="2021-06-15T17:57:06.69" personId="{C036E568-2483-44DB-BB40-AA55BED6ED1F}" id="{773D40F8-4F66-4A16-844A-E110B05E839E}">
    <text>These two values should agree, but they don't. Ok, thy're close enough. Take avg</text>
  </threadedComment>
</ThreadedComments>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luminultra.monday.com/users/19678047-raquel-jaramillo" TargetMode="External"/><Relationship Id="rId7" Type="http://schemas.openxmlformats.org/officeDocument/2006/relationships/drawing" Target="../drawings/drawing1.xml"/><Relationship Id="rId2" Type="http://schemas.openxmlformats.org/officeDocument/2006/relationships/hyperlink" Target="https://www.ncbi.nlm.nih.gov/pmc/articles/PMC2687310/" TargetMode="External"/><Relationship Id="rId1" Type="http://schemas.openxmlformats.org/officeDocument/2006/relationships/hyperlink" Target="mailto:abs@260" TargetMode="External"/><Relationship Id="rId6" Type="http://schemas.openxmlformats.org/officeDocument/2006/relationships/printerSettings" Target="../printerSettings/printerSettings1.bin"/><Relationship Id="rId5" Type="http://schemas.openxmlformats.org/officeDocument/2006/relationships/hyperlink" Target="https://luminultra.monday.com/users/19019803-neil-sharma" TargetMode="External"/><Relationship Id="rId10" Type="http://schemas.microsoft.com/office/2017/10/relationships/threadedComment" Target="../threadedComments/threadedComment1.xml"/><Relationship Id="rId4" Type="http://schemas.openxmlformats.org/officeDocument/2006/relationships/hyperlink" Target="https://luminultra.monday.com/users/19669450-greg-howard" TargetMode="External"/><Relationship Id="rId9"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8.xml"/><Relationship Id="rId4" Type="http://schemas.microsoft.com/office/2017/10/relationships/threadedComment" Target="../threadedComments/threadedComment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0.xml"/><Relationship Id="rId4" Type="http://schemas.microsoft.com/office/2017/10/relationships/threadedComment" Target="../threadedComments/threadedComment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2.x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3.xml"/><Relationship Id="rId1" Type="http://schemas.openxmlformats.org/officeDocument/2006/relationships/printerSettings" Target="../printerSettings/printerSettings8.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4.x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5.xml"/><Relationship Id="rId1" Type="http://schemas.openxmlformats.org/officeDocument/2006/relationships/printerSettings" Target="../printerSettings/printerSettings9.bin"/><Relationship Id="rId4" Type="http://schemas.openxmlformats.org/officeDocument/2006/relationships/table" Target="../tables/table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6.xml"/><Relationship Id="rId1" Type="http://schemas.openxmlformats.org/officeDocument/2006/relationships/printerSettings" Target="../printerSettings/printerSettings10.bin"/><Relationship Id="rId6" Type="http://schemas.microsoft.com/office/2017/10/relationships/threadedComment" Target="../threadedComments/threadedComment11.xml"/><Relationship Id="rId5" Type="http://schemas.openxmlformats.org/officeDocument/2006/relationships/comments" Target="../comments11.xml"/><Relationship Id="rId4" Type="http://schemas.openxmlformats.org/officeDocument/2006/relationships/table" Target="../tables/table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3.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4.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23.xml"/><Relationship Id="rId4" Type="http://schemas.microsoft.com/office/2017/10/relationships/threadedComment" Target="../threadedComments/threadedComment12.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24.xml"/><Relationship Id="rId1" Type="http://schemas.openxmlformats.org/officeDocument/2006/relationships/printerSettings" Target="../printerSettings/printerSettings12.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6.bin"/><Relationship Id="rId1" Type="http://schemas.openxmlformats.org/officeDocument/2006/relationships/pivotTable" Target="../pivotTables/pivotTable6.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ivotTable" Target="../pivotTables/pivotTable7.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ivotTable" Target="../pivotTables/pivotTable8.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3.xml"/><Relationship Id="rId1" Type="http://schemas.openxmlformats.org/officeDocument/2006/relationships/hyperlink" Target="mailto:abs@260" TargetMode="Externa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ivotTable" Target="../pivotTables/pivotTable9.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35.emf"/><Relationship Id="rId2" Type="http://schemas.openxmlformats.org/officeDocument/2006/relationships/drawing" Target="../drawings/drawing35.xml"/><Relationship Id="rId1" Type="http://schemas.openxmlformats.org/officeDocument/2006/relationships/printerSettings" Target="../printerSettings/printerSettings17.bin"/><Relationship Id="rId6" Type="http://schemas.openxmlformats.org/officeDocument/2006/relationships/oleObject" Target="../embeddings/oleObject2.bin"/><Relationship Id="rId5" Type="http://schemas.openxmlformats.org/officeDocument/2006/relationships/image" Target="../media/image34.emf"/><Relationship Id="rId4" Type="http://schemas.openxmlformats.org/officeDocument/2006/relationships/oleObject" Target="../embeddings/oleObject1.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1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9.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577C9-34FC-4C43-8C7F-106D2BF71DB2}">
  <sheetPr codeName="Sheet1"/>
  <dimension ref="A1:P206"/>
  <sheetViews>
    <sheetView topLeftCell="A10" zoomScale="115" zoomScaleNormal="115" workbookViewId="0">
      <selection activeCell="C197" sqref="C197"/>
    </sheetView>
  </sheetViews>
  <sheetFormatPr defaultRowHeight="15" x14ac:dyDescent="0.25"/>
  <cols>
    <col min="1" max="1" width="10.85546875" customWidth="1"/>
  </cols>
  <sheetData>
    <row r="1" spans="1:1" x14ac:dyDescent="0.25">
      <c r="A1" s="165" t="s">
        <v>0</v>
      </c>
    </row>
    <row r="2" spans="1:1" x14ac:dyDescent="0.25">
      <c r="A2" s="165" t="s">
        <v>1</v>
      </c>
    </row>
    <row r="3" spans="1:1" x14ac:dyDescent="0.25">
      <c r="A3" s="165">
        <v>20210415</v>
      </c>
    </row>
    <row r="5" spans="1:1" x14ac:dyDescent="0.25">
      <c r="A5" s="165" t="s">
        <v>2</v>
      </c>
    </row>
    <row r="6" spans="1:1" x14ac:dyDescent="0.25">
      <c r="A6" s="165" t="s">
        <v>3</v>
      </c>
    </row>
    <row r="7" spans="1:1" x14ac:dyDescent="0.25">
      <c r="A7" s="165" t="s">
        <v>4</v>
      </c>
    </row>
    <row r="8" spans="1:1" x14ac:dyDescent="0.25">
      <c r="A8" s="165" t="s">
        <v>5</v>
      </c>
    </row>
    <row r="9" spans="1:1" x14ac:dyDescent="0.25">
      <c r="A9" s="165" t="s">
        <v>6</v>
      </c>
    </row>
    <row r="10" spans="1:1" x14ac:dyDescent="0.25">
      <c r="A10" s="165" t="s">
        <v>7</v>
      </c>
    </row>
    <row r="12" spans="1:1" x14ac:dyDescent="0.25">
      <c r="A12" s="165" t="s">
        <v>8</v>
      </c>
    </row>
    <row r="13" spans="1:1" x14ac:dyDescent="0.25">
      <c r="A13" s="165" t="s">
        <v>9</v>
      </c>
    </row>
    <row r="14" spans="1:1" x14ac:dyDescent="0.25">
      <c r="A14" s="165" t="s">
        <v>10</v>
      </c>
    </row>
    <row r="15" spans="1:1" x14ac:dyDescent="0.25">
      <c r="A15" s="165" t="s">
        <v>11</v>
      </c>
    </row>
    <row r="17" spans="1:15" x14ac:dyDescent="0.25">
      <c r="A17" s="165" t="s">
        <v>12</v>
      </c>
      <c r="B17" s="165"/>
      <c r="C17" s="165"/>
      <c r="D17" s="165"/>
      <c r="E17" s="165"/>
      <c r="F17" s="165"/>
      <c r="G17" s="165"/>
      <c r="H17" s="165"/>
      <c r="I17" s="165"/>
      <c r="J17" s="165"/>
      <c r="K17" s="165"/>
      <c r="L17" s="165"/>
      <c r="M17" s="165"/>
      <c r="N17" s="165"/>
      <c r="O17" s="165"/>
    </row>
    <row r="18" spans="1:15" x14ac:dyDescent="0.25">
      <c r="A18" s="165" t="s">
        <v>13</v>
      </c>
      <c r="B18" s="165"/>
      <c r="C18" s="165"/>
      <c r="D18" s="165"/>
      <c r="E18" s="165"/>
      <c r="F18" s="165"/>
      <c r="G18" s="165"/>
      <c r="H18" s="165"/>
      <c r="I18" s="165"/>
      <c r="J18" s="165"/>
      <c r="K18" s="165"/>
      <c r="L18" s="165">
        <v>20210414</v>
      </c>
      <c r="M18" s="165"/>
      <c r="N18" s="165"/>
      <c r="O18" s="165"/>
    </row>
    <row r="19" spans="1:15" x14ac:dyDescent="0.25">
      <c r="A19" s="165"/>
      <c r="B19" s="165"/>
      <c r="C19" s="165"/>
      <c r="D19" s="165"/>
      <c r="E19" s="165"/>
      <c r="F19" s="165"/>
      <c r="G19" s="165"/>
      <c r="H19" s="165"/>
      <c r="I19" s="165"/>
      <c r="J19" s="165"/>
      <c r="K19" s="165"/>
      <c r="L19" s="165">
        <v>1943400</v>
      </c>
      <c r="M19" s="165" t="s">
        <v>14</v>
      </c>
      <c r="N19" s="165"/>
      <c r="O19" s="165"/>
    </row>
    <row r="20" spans="1:15" x14ac:dyDescent="0.25">
      <c r="A20" s="165"/>
      <c r="B20" s="165"/>
      <c r="C20" s="165"/>
      <c r="D20" s="165"/>
      <c r="E20" s="165"/>
      <c r="F20" s="165"/>
      <c r="G20" s="165"/>
      <c r="H20" s="165"/>
      <c r="I20" s="165"/>
      <c r="J20" s="165"/>
      <c r="K20" s="165"/>
      <c r="L20" s="165" t="s">
        <v>15</v>
      </c>
      <c r="M20" s="165"/>
      <c r="N20" s="165"/>
      <c r="O20" s="165"/>
    </row>
    <row r="21" spans="1:15" x14ac:dyDescent="0.25">
      <c r="A21" s="165"/>
      <c r="B21" s="165"/>
      <c r="C21" s="165"/>
      <c r="D21" s="165"/>
      <c r="E21" s="165"/>
      <c r="F21" s="165"/>
      <c r="G21" s="165"/>
      <c r="H21" s="165"/>
      <c r="I21" s="165"/>
      <c r="J21" s="165"/>
      <c r="K21" s="165"/>
      <c r="L21" s="165">
        <v>202.11500000000001</v>
      </c>
      <c r="M21" s="165" t="s">
        <v>16</v>
      </c>
      <c r="N21" s="165"/>
      <c r="O21" s="165"/>
    </row>
    <row r="22" spans="1:15" x14ac:dyDescent="0.25">
      <c r="A22" s="165"/>
      <c r="B22" s="165"/>
      <c r="C22" s="176" t="s">
        <v>17</v>
      </c>
      <c r="D22" s="176"/>
      <c r="E22" s="176"/>
      <c r="F22" s="176"/>
      <c r="G22" s="300" t="s">
        <v>18</v>
      </c>
      <c r="H22" s="300"/>
      <c r="I22" s="300"/>
      <c r="J22" s="300"/>
      <c r="K22" s="165"/>
      <c r="L22" s="165">
        <v>6.1246999999999998</v>
      </c>
      <c r="M22" s="14" t="s">
        <v>19</v>
      </c>
      <c r="N22" s="165"/>
      <c r="O22" s="165"/>
    </row>
    <row r="23" spans="1:15" ht="45" x14ac:dyDescent="0.25">
      <c r="A23" s="165"/>
      <c r="B23" s="90" t="s">
        <v>20</v>
      </c>
      <c r="C23" s="90" t="s">
        <v>21</v>
      </c>
      <c r="D23" s="90" t="s">
        <v>22</v>
      </c>
      <c r="E23" s="90" t="s">
        <v>23</v>
      </c>
      <c r="F23" s="90" t="s">
        <v>24</v>
      </c>
      <c r="G23" s="90" t="s">
        <v>21</v>
      </c>
      <c r="H23" s="90" t="s">
        <v>22</v>
      </c>
      <c r="I23" s="90" t="s">
        <v>23</v>
      </c>
      <c r="J23" s="90" t="s">
        <v>25</v>
      </c>
      <c r="K23" s="165"/>
      <c r="L23" s="165" t="s">
        <v>26</v>
      </c>
      <c r="M23" s="84">
        <f>L22/L19*1000000</f>
        <v>3.1515385407018628</v>
      </c>
      <c r="N23" s="165" t="s">
        <v>27</v>
      </c>
      <c r="O23" s="165" t="s">
        <v>28</v>
      </c>
    </row>
    <row r="24" spans="1:15" x14ac:dyDescent="0.25">
      <c r="A24" s="165"/>
      <c r="B24" s="89" t="s">
        <v>29</v>
      </c>
      <c r="C24" s="84">
        <v>10</v>
      </c>
      <c r="D24" s="165">
        <f>C24*1000000</f>
        <v>10000000</v>
      </c>
      <c r="E24" s="89"/>
      <c r="F24" s="89"/>
      <c r="G24" s="84">
        <f>M23</f>
        <v>3.1515385407018628</v>
      </c>
      <c r="H24" s="165">
        <f>G24*1000000</f>
        <v>3151538.5407018629</v>
      </c>
      <c r="I24" s="89"/>
      <c r="J24" s="89"/>
      <c r="K24" s="165"/>
      <c r="L24" s="165"/>
      <c r="M24" s="165"/>
      <c r="N24" s="165"/>
      <c r="O24" s="165"/>
    </row>
    <row r="25" spans="1:15" x14ac:dyDescent="0.25">
      <c r="A25" s="165"/>
      <c r="B25" s="165" t="s">
        <v>30</v>
      </c>
      <c r="C25" s="165">
        <f>C24/100</f>
        <v>0.1</v>
      </c>
      <c r="D25" s="165">
        <f t="shared" ref="D25:D42" si="0">C25*1000000</f>
        <v>100000</v>
      </c>
      <c r="E25" s="89">
        <f>C24*0.00001/1000000*6.022E+23</f>
        <v>60220000000000.008</v>
      </c>
      <c r="F25" s="89">
        <f>E25/1000*2</f>
        <v>120440000000.00002</v>
      </c>
      <c r="G25" s="165">
        <f>G24/100</f>
        <v>3.1515385407018627E-2</v>
      </c>
      <c r="H25" s="165">
        <f t="shared" ref="H25:H42" si="1">G25*1000000</f>
        <v>31515.385407018628</v>
      </c>
      <c r="I25" s="89">
        <f>G24*0.00001/1000000*6.022E+23</f>
        <v>18978565092106.621</v>
      </c>
      <c r="J25" s="89">
        <f t="shared" ref="J25:J26" si="2">I25/1000*2</f>
        <v>37957130184.213242</v>
      </c>
      <c r="K25" s="165"/>
      <c r="L25" s="165"/>
      <c r="M25" s="165"/>
      <c r="N25" s="165"/>
      <c r="O25" s="165"/>
    </row>
    <row r="26" spans="1:15" x14ac:dyDescent="0.25">
      <c r="A26" s="165"/>
      <c r="B26" s="165" t="s">
        <v>31</v>
      </c>
      <c r="C26" s="165">
        <f t="shared" ref="C26" si="3">C25/10</f>
        <v>0.01</v>
      </c>
      <c r="D26" s="165">
        <f t="shared" si="0"/>
        <v>10000</v>
      </c>
      <c r="E26" s="165">
        <f t="shared" ref="E26:E42" si="4">E25/10</f>
        <v>6022000000000.001</v>
      </c>
      <c r="F26" s="165">
        <f t="shared" ref="F26" si="5">E26/1000*2</f>
        <v>12044000000.000002</v>
      </c>
      <c r="G26" s="165">
        <f t="shared" ref="G26:G41" si="6">G25/10</f>
        <v>3.1515385407018628E-3</v>
      </c>
      <c r="H26" s="165">
        <f t="shared" si="1"/>
        <v>3151.538540701863</v>
      </c>
      <c r="I26" s="165">
        <f t="shared" ref="I26:I42" si="7">I25/10</f>
        <v>1897856509210.6621</v>
      </c>
      <c r="J26" s="165">
        <f t="shared" si="2"/>
        <v>3795713018.4213243</v>
      </c>
      <c r="K26" s="165"/>
      <c r="L26" s="165"/>
      <c r="M26" s="165"/>
      <c r="N26" s="165"/>
      <c r="O26" s="165"/>
    </row>
    <row r="27" spans="1:15" x14ac:dyDescent="0.25">
      <c r="A27" s="165"/>
      <c r="B27" s="165" t="s">
        <v>32</v>
      </c>
      <c r="C27" s="165">
        <f t="shared" ref="C27" si="8">C26/10</f>
        <v>1E-3</v>
      </c>
      <c r="D27" s="165">
        <f t="shared" si="0"/>
        <v>1000</v>
      </c>
      <c r="E27" s="165">
        <f t="shared" si="4"/>
        <v>602200000000.00012</v>
      </c>
      <c r="F27" s="165">
        <f t="shared" ref="F27:F42" si="9">E27/1000*2</f>
        <v>1204400000.0000002</v>
      </c>
      <c r="G27" s="165">
        <f t="shared" si="6"/>
        <v>3.151538540701863E-4</v>
      </c>
      <c r="H27" s="165">
        <f t="shared" si="1"/>
        <v>315.1538540701863</v>
      </c>
      <c r="I27" s="165">
        <f t="shared" si="7"/>
        <v>189785650921.06622</v>
      </c>
      <c r="J27" s="165">
        <f t="shared" ref="J27:J42" si="10">I27/1000*2</f>
        <v>379571301.84213245</v>
      </c>
      <c r="K27" s="165"/>
      <c r="L27" s="165"/>
      <c r="M27" s="165"/>
      <c r="N27" s="165"/>
      <c r="O27" s="165"/>
    </row>
    <row r="28" spans="1:15" x14ac:dyDescent="0.25">
      <c r="A28" s="165"/>
      <c r="B28" s="165" t="s">
        <v>33</v>
      </c>
      <c r="C28" s="165">
        <f t="shared" ref="C28" si="11">C27/10</f>
        <v>1E-4</v>
      </c>
      <c r="D28" s="165">
        <f t="shared" si="0"/>
        <v>100</v>
      </c>
      <c r="E28" s="165">
        <f t="shared" si="4"/>
        <v>60220000000.000015</v>
      </c>
      <c r="F28" s="165">
        <f t="shared" si="9"/>
        <v>120440000.00000003</v>
      </c>
      <c r="G28" s="165">
        <f t="shared" si="6"/>
        <v>3.1515385407018629E-5</v>
      </c>
      <c r="H28" s="165">
        <f t="shared" si="1"/>
        <v>31.515385407018627</v>
      </c>
      <c r="I28" s="165">
        <f t="shared" si="7"/>
        <v>18978565092.106621</v>
      </c>
      <c r="J28" s="165">
        <f t="shared" si="10"/>
        <v>37957130.184213243</v>
      </c>
      <c r="K28" s="165"/>
      <c r="L28" s="165"/>
      <c r="M28" s="165"/>
      <c r="N28" s="165"/>
      <c r="O28" s="165"/>
    </row>
    <row r="29" spans="1:15" x14ac:dyDescent="0.25">
      <c r="A29" s="165"/>
      <c r="B29" s="165" t="s">
        <v>34</v>
      </c>
      <c r="C29" s="165">
        <f t="shared" ref="C29" si="12">C28/10</f>
        <v>1.0000000000000001E-5</v>
      </c>
      <c r="D29" s="165">
        <f t="shared" si="0"/>
        <v>10</v>
      </c>
      <c r="E29" s="165">
        <f t="shared" si="4"/>
        <v>6022000000.0000019</v>
      </c>
      <c r="F29" s="165">
        <f t="shared" si="9"/>
        <v>12044000.000000004</v>
      </c>
      <c r="G29" s="165">
        <f t="shared" si="6"/>
        <v>3.1515385407018628E-6</v>
      </c>
      <c r="H29" s="165">
        <f t="shared" si="1"/>
        <v>3.1515385407018628</v>
      </c>
      <c r="I29" s="165">
        <f t="shared" si="7"/>
        <v>1897856509.2106621</v>
      </c>
      <c r="J29" s="165">
        <f t="shared" si="10"/>
        <v>3795713.0184213244</v>
      </c>
      <c r="K29" s="165"/>
      <c r="L29" s="165"/>
      <c r="M29" s="165"/>
      <c r="N29" s="165"/>
      <c r="O29" s="165"/>
    </row>
    <row r="30" spans="1:15" x14ac:dyDescent="0.25">
      <c r="A30" s="165"/>
      <c r="B30" s="165" t="s">
        <v>35</v>
      </c>
      <c r="C30" s="165">
        <f t="shared" ref="C30" si="13">C29/10</f>
        <v>1.0000000000000002E-6</v>
      </c>
      <c r="D30" s="165">
        <f t="shared" si="0"/>
        <v>1.0000000000000002</v>
      </c>
      <c r="E30" s="165">
        <f t="shared" si="4"/>
        <v>602200000.00000024</v>
      </c>
      <c r="F30" s="165">
        <f t="shared" si="9"/>
        <v>1204400.0000000005</v>
      </c>
      <c r="G30" s="165">
        <f t="shared" si="6"/>
        <v>3.1515385407018628E-7</v>
      </c>
      <c r="H30" s="165">
        <f t="shared" si="1"/>
        <v>0.31515385407018626</v>
      </c>
      <c r="I30" s="165">
        <f t="shared" si="7"/>
        <v>189785650.92106622</v>
      </c>
      <c r="J30" s="165">
        <f t="shared" si="10"/>
        <v>379571.30184213247</v>
      </c>
      <c r="K30" s="165"/>
      <c r="L30" s="165"/>
      <c r="M30" s="165"/>
      <c r="N30" s="165"/>
      <c r="O30" s="165"/>
    </row>
    <row r="31" spans="1:15" x14ac:dyDescent="0.25">
      <c r="A31" s="165"/>
      <c r="B31" s="165" t="s">
        <v>36</v>
      </c>
      <c r="C31" s="165">
        <f t="shared" ref="C31" si="14">C30/10</f>
        <v>1.0000000000000002E-7</v>
      </c>
      <c r="D31" s="165">
        <f t="shared" si="0"/>
        <v>0.10000000000000002</v>
      </c>
      <c r="E31" s="165">
        <f t="shared" si="4"/>
        <v>60220000.000000022</v>
      </c>
      <c r="F31" s="165">
        <f t="shared" si="9"/>
        <v>120440.00000000004</v>
      </c>
      <c r="G31" s="165">
        <f t="shared" si="6"/>
        <v>3.1515385407018629E-8</v>
      </c>
      <c r="H31" s="165">
        <f t="shared" si="1"/>
        <v>3.1515385407018627E-2</v>
      </c>
      <c r="I31" s="165">
        <f t="shared" si="7"/>
        <v>18978565.092106622</v>
      </c>
      <c r="J31" s="165">
        <f t="shared" si="10"/>
        <v>37957.130184213245</v>
      </c>
      <c r="K31" s="165"/>
      <c r="L31" s="165"/>
      <c r="M31" s="165"/>
      <c r="N31" s="165"/>
      <c r="O31" s="165"/>
    </row>
    <row r="32" spans="1:15" x14ac:dyDescent="0.25">
      <c r="A32" s="165"/>
      <c r="B32" s="165" t="s">
        <v>37</v>
      </c>
      <c r="C32" s="165">
        <f t="shared" ref="C32" si="15">C31/10</f>
        <v>1.0000000000000002E-8</v>
      </c>
      <c r="D32" s="165">
        <f t="shared" si="0"/>
        <v>1.0000000000000002E-2</v>
      </c>
      <c r="E32" s="165">
        <f t="shared" si="4"/>
        <v>6022000.0000000019</v>
      </c>
      <c r="F32" s="165">
        <f t="shared" si="9"/>
        <v>12044.000000000004</v>
      </c>
      <c r="G32" s="165">
        <f t="shared" si="6"/>
        <v>3.1515385407018629E-9</v>
      </c>
      <c r="H32" s="165">
        <f t="shared" si="1"/>
        <v>3.1515385407018628E-3</v>
      </c>
      <c r="I32" s="165">
        <f t="shared" si="7"/>
        <v>1897856.5092106622</v>
      </c>
      <c r="J32" s="165">
        <f t="shared" si="10"/>
        <v>3795.7130184213243</v>
      </c>
      <c r="K32" s="165"/>
      <c r="L32" s="165"/>
      <c r="M32" s="165"/>
      <c r="N32" s="165"/>
      <c r="O32" s="165"/>
    </row>
    <row r="33" spans="2:10" x14ac:dyDescent="0.25">
      <c r="B33" s="165" t="s">
        <v>38</v>
      </c>
      <c r="C33" s="165">
        <f t="shared" ref="C33" si="16">C32/10</f>
        <v>1.0000000000000003E-9</v>
      </c>
      <c r="D33" s="165">
        <f t="shared" si="0"/>
        <v>1.0000000000000002E-3</v>
      </c>
      <c r="E33" s="165">
        <f t="shared" si="4"/>
        <v>602200.00000000023</v>
      </c>
      <c r="F33" s="165">
        <f t="shared" si="9"/>
        <v>1204.4000000000005</v>
      </c>
      <c r="G33" s="165">
        <f t="shared" si="6"/>
        <v>3.1515385407018628E-10</v>
      </c>
      <c r="H33" s="165">
        <f t="shared" si="1"/>
        <v>3.151538540701863E-4</v>
      </c>
      <c r="I33" s="165">
        <f t="shared" si="7"/>
        <v>189785.65092106623</v>
      </c>
      <c r="J33" s="165">
        <f t="shared" si="10"/>
        <v>379.57130184213247</v>
      </c>
    </row>
    <row r="34" spans="2:10" x14ac:dyDescent="0.25">
      <c r="B34" s="165" t="s">
        <v>39</v>
      </c>
      <c r="C34" s="165">
        <f t="shared" ref="C34" si="17">C33/10</f>
        <v>1.0000000000000003E-10</v>
      </c>
      <c r="D34" s="165">
        <f t="shared" si="0"/>
        <v>1.0000000000000003E-4</v>
      </c>
      <c r="E34" s="165">
        <f t="shared" si="4"/>
        <v>60220.000000000022</v>
      </c>
      <c r="F34" s="165">
        <f t="shared" si="9"/>
        <v>120.44000000000004</v>
      </c>
      <c r="G34" s="165">
        <f t="shared" si="6"/>
        <v>3.1515385407018631E-11</v>
      </c>
      <c r="H34" s="165">
        <f t="shared" si="1"/>
        <v>3.1515385407018629E-5</v>
      </c>
      <c r="I34" s="165">
        <f t="shared" si="7"/>
        <v>18978.565092106623</v>
      </c>
      <c r="J34" s="165">
        <f t="shared" si="10"/>
        <v>37.957130184213248</v>
      </c>
    </row>
    <row r="35" spans="2:10" x14ac:dyDescent="0.25">
      <c r="B35" s="165" t="s">
        <v>40</v>
      </c>
      <c r="C35" s="165">
        <f t="shared" ref="C35" si="18">C34/10</f>
        <v>1.0000000000000003E-11</v>
      </c>
      <c r="D35" s="165">
        <f t="shared" si="0"/>
        <v>1.0000000000000003E-5</v>
      </c>
      <c r="E35" s="165">
        <f t="shared" si="4"/>
        <v>6022.0000000000018</v>
      </c>
      <c r="F35" s="89">
        <f t="shared" si="9"/>
        <v>12.044000000000004</v>
      </c>
      <c r="G35" s="165">
        <f t="shared" si="6"/>
        <v>3.1515385407018632E-12</v>
      </c>
      <c r="H35" s="165">
        <f t="shared" si="1"/>
        <v>3.1515385407018632E-6</v>
      </c>
      <c r="I35" s="165">
        <f t="shared" si="7"/>
        <v>1897.8565092106624</v>
      </c>
      <c r="J35" s="89">
        <f t="shared" si="10"/>
        <v>3.7957130184213246</v>
      </c>
    </row>
    <row r="36" spans="2:10" x14ac:dyDescent="0.25">
      <c r="B36" s="165" t="s">
        <v>41</v>
      </c>
      <c r="C36" s="165">
        <f t="shared" ref="C36" si="19">C35/10</f>
        <v>1.0000000000000002E-12</v>
      </c>
      <c r="D36" s="165">
        <f t="shared" si="0"/>
        <v>1.0000000000000002E-6</v>
      </c>
      <c r="E36" s="165">
        <f t="shared" si="4"/>
        <v>602.20000000000016</v>
      </c>
      <c r="F36" s="89">
        <f t="shared" si="9"/>
        <v>1.2044000000000004</v>
      </c>
      <c r="G36" s="165">
        <f t="shared" si="6"/>
        <v>3.1515385407018631E-13</v>
      </c>
      <c r="H36" s="165">
        <f t="shared" si="1"/>
        <v>3.1515385407018633E-7</v>
      </c>
      <c r="I36" s="165">
        <f t="shared" si="7"/>
        <v>189.78565092106624</v>
      </c>
      <c r="J36" s="89">
        <f t="shared" si="10"/>
        <v>0.37957130184213245</v>
      </c>
    </row>
    <row r="37" spans="2:10" x14ac:dyDescent="0.25">
      <c r="B37" s="89" t="s">
        <v>42</v>
      </c>
      <c r="C37" s="165">
        <f t="shared" ref="C37" si="20">C36/10</f>
        <v>1.0000000000000002E-13</v>
      </c>
      <c r="D37" s="165">
        <f t="shared" si="0"/>
        <v>1.0000000000000002E-7</v>
      </c>
      <c r="E37" s="165">
        <f t="shared" si="4"/>
        <v>60.220000000000013</v>
      </c>
      <c r="F37" s="89">
        <f t="shared" si="9"/>
        <v>0.12044000000000002</v>
      </c>
      <c r="G37" s="165">
        <f t="shared" si="6"/>
        <v>3.1515385407018633E-14</v>
      </c>
      <c r="H37" s="165">
        <f t="shared" si="1"/>
        <v>3.1515385407018636E-8</v>
      </c>
      <c r="I37" s="165">
        <f t="shared" si="7"/>
        <v>18.978565092106624</v>
      </c>
      <c r="J37" s="89">
        <f t="shared" si="10"/>
        <v>3.7957130184213247E-2</v>
      </c>
    </row>
    <row r="38" spans="2:10" x14ac:dyDescent="0.25">
      <c r="B38" s="89" t="s">
        <v>43</v>
      </c>
      <c r="C38" s="165">
        <f t="shared" ref="C38" si="21">C37/10</f>
        <v>1.0000000000000002E-14</v>
      </c>
      <c r="D38" s="165">
        <f t="shared" si="0"/>
        <v>1.0000000000000002E-8</v>
      </c>
      <c r="E38" s="165">
        <f t="shared" si="4"/>
        <v>6.0220000000000011</v>
      </c>
      <c r="F38" s="89">
        <f t="shared" si="9"/>
        <v>1.2044000000000003E-2</v>
      </c>
      <c r="G38" s="165">
        <f t="shared" si="6"/>
        <v>3.1515385407018632E-15</v>
      </c>
      <c r="H38" s="165">
        <f t="shared" si="1"/>
        <v>3.1515385407018633E-9</v>
      </c>
      <c r="I38" s="165">
        <f t="shared" si="7"/>
        <v>1.8978565092106625</v>
      </c>
      <c r="J38" s="89">
        <f t="shared" si="10"/>
        <v>3.7957130184213248E-3</v>
      </c>
    </row>
    <row r="39" spans="2:10" x14ac:dyDescent="0.25">
      <c r="B39" s="89" t="s">
        <v>44</v>
      </c>
      <c r="C39" s="165">
        <f t="shared" ref="C39" si="22">C38/10</f>
        <v>1.0000000000000001E-15</v>
      </c>
      <c r="D39" s="165">
        <f t="shared" si="0"/>
        <v>1.0000000000000001E-9</v>
      </c>
      <c r="E39" s="89">
        <f t="shared" si="4"/>
        <v>0.60220000000000007</v>
      </c>
      <c r="F39" s="89">
        <f t="shared" si="9"/>
        <v>1.2044000000000002E-3</v>
      </c>
      <c r="G39" s="165">
        <f t="shared" si="6"/>
        <v>3.1515385407018632E-16</v>
      </c>
      <c r="H39" s="165">
        <f t="shared" si="1"/>
        <v>3.1515385407018633E-10</v>
      </c>
      <c r="I39" s="89">
        <f t="shared" si="7"/>
        <v>0.18978565092106625</v>
      </c>
      <c r="J39" s="89">
        <f t="shared" si="10"/>
        <v>3.7957130184213249E-4</v>
      </c>
    </row>
    <row r="40" spans="2:10" x14ac:dyDescent="0.25">
      <c r="B40" s="89" t="s">
        <v>45</v>
      </c>
      <c r="C40" s="165">
        <f t="shared" ref="C40" si="23">C39/10</f>
        <v>1.0000000000000001E-16</v>
      </c>
      <c r="D40" s="165">
        <f t="shared" si="0"/>
        <v>1.0000000000000002E-10</v>
      </c>
      <c r="E40" s="89">
        <f t="shared" si="4"/>
        <v>6.022000000000001E-2</v>
      </c>
      <c r="F40" s="89">
        <f t="shared" si="9"/>
        <v>1.2044000000000002E-4</v>
      </c>
      <c r="G40" s="165">
        <f t="shared" si="6"/>
        <v>3.151538540701863E-17</v>
      </c>
      <c r="H40" s="165">
        <f t="shared" si="1"/>
        <v>3.1515385407018631E-11</v>
      </c>
      <c r="I40" s="89">
        <f t="shared" si="7"/>
        <v>1.8978565092106624E-2</v>
      </c>
      <c r="J40" s="89">
        <f t="shared" si="10"/>
        <v>3.7957130184213245E-5</v>
      </c>
    </row>
    <row r="41" spans="2:10" x14ac:dyDescent="0.25">
      <c r="B41" s="89" t="s">
        <v>46</v>
      </c>
      <c r="C41" s="165">
        <f t="shared" ref="C41" si="24">C40/10</f>
        <v>1.0000000000000001E-17</v>
      </c>
      <c r="D41" s="165">
        <f t="shared" si="0"/>
        <v>1.0000000000000001E-11</v>
      </c>
      <c r="E41" s="89">
        <f t="shared" si="4"/>
        <v>6.0220000000000013E-3</v>
      </c>
      <c r="F41" s="89">
        <f t="shared" si="9"/>
        <v>1.2044000000000002E-5</v>
      </c>
      <c r="G41" s="165">
        <f t="shared" si="6"/>
        <v>3.151538540701863E-18</v>
      </c>
      <c r="H41" s="165">
        <f t="shared" si="1"/>
        <v>3.1515385407018628E-12</v>
      </c>
      <c r="I41" s="89">
        <f t="shared" si="7"/>
        <v>1.8978565092106624E-3</v>
      </c>
      <c r="J41" s="89">
        <f t="shared" si="10"/>
        <v>3.7957130184213247E-6</v>
      </c>
    </row>
    <row r="42" spans="2:10" x14ac:dyDescent="0.25">
      <c r="B42" s="89" t="s">
        <v>47</v>
      </c>
      <c r="C42" s="165">
        <f>C41/10</f>
        <v>1.0000000000000001E-18</v>
      </c>
      <c r="D42" s="165">
        <f t="shared" si="0"/>
        <v>9.9999999999999998E-13</v>
      </c>
      <c r="E42" s="89">
        <f t="shared" si="4"/>
        <v>6.0220000000000011E-4</v>
      </c>
      <c r="F42" s="89">
        <f t="shared" si="9"/>
        <v>1.2044000000000003E-6</v>
      </c>
      <c r="G42" s="165">
        <f>G41/10</f>
        <v>3.1515385407018629E-19</v>
      </c>
      <c r="H42" s="165">
        <f t="shared" si="1"/>
        <v>3.1515385407018631E-13</v>
      </c>
      <c r="I42" s="89">
        <f t="shared" si="7"/>
        <v>1.8978565092106625E-4</v>
      </c>
      <c r="J42" s="89">
        <f t="shared" si="10"/>
        <v>3.795713018421325E-7</v>
      </c>
    </row>
    <row r="43" spans="2:10" x14ac:dyDescent="0.25">
      <c r="B43" s="165"/>
      <c r="C43" s="165"/>
      <c r="D43" s="165"/>
      <c r="E43" s="89"/>
      <c r="F43" s="89"/>
      <c r="G43" s="165"/>
      <c r="H43" s="165"/>
      <c r="I43" s="89"/>
      <c r="J43" s="89"/>
    </row>
    <row r="44" spans="2:10" x14ac:dyDescent="0.25">
      <c r="B44" s="165"/>
      <c r="C44" s="165"/>
      <c r="D44" s="165"/>
      <c r="E44" s="89"/>
      <c r="F44" s="89"/>
      <c r="G44" s="165"/>
      <c r="H44" s="165"/>
      <c r="I44" s="165"/>
      <c r="J44" s="165"/>
    </row>
    <row r="46" spans="2:10" x14ac:dyDescent="0.25">
      <c r="B46" s="165"/>
      <c r="C46" s="15" t="s">
        <v>48</v>
      </c>
      <c r="D46" s="15" t="s">
        <v>49</v>
      </c>
      <c r="E46" s="15" t="s">
        <v>50</v>
      </c>
      <c r="F46" s="15" t="s">
        <v>51</v>
      </c>
      <c r="G46" s="15" t="s">
        <v>52</v>
      </c>
      <c r="H46" s="15" t="s">
        <v>53</v>
      </c>
      <c r="I46" s="15" t="s">
        <v>52</v>
      </c>
      <c r="J46" s="165"/>
    </row>
    <row r="47" spans="2:10" ht="15.75" x14ac:dyDescent="0.25">
      <c r="B47" s="165"/>
      <c r="C47" s="16" t="s">
        <v>54</v>
      </c>
      <c r="D47" s="16">
        <v>10006833</v>
      </c>
      <c r="E47" s="16" t="s">
        <v>55</v>
      </c>
      <c r="F47" s="16">
        <v>1000</v>
      </c>
      <c r="G47" s="16" t="s">
        <v>56</v>
      </c>
      <c r="H47" s="17">
        <v>100</v>
      </c>
      <c r="I47" s="16" t="s">
        <v>27</v>
      </c>
      <c r="J47" s="165"/>
    </row>
    <row r="48" spans="2:10" ht="15.75" x14ac:dyDescent="0.25">
      <c r="B48" s="165"/>
      <c r="C48" s="16" t="s">
        <v>54</v>
      </c>
      <c r="D48" s="16">
        <v>10006834</v>
      </c>
      <c r="E48" s="16" t="s">
        <v>57</v>
      </c>
      <c r="F48" s="16">
        <v>1000</v>
      </c>
      <c r="G48" s="16" t="s">
        <v>56</v>
      </c>
      <c r="H48" s="17">
        <v>100</v>
      </c>
      <c r="I48" s="16" t="s">
        <v>27</v>
      </c>
      <c r="J48" s="165" t="s">
        <v>58</v>
      </c>
    </row>
    <row r="49" spans="1:16" ht="15.75" x14ac:dyDescent="0.25">
      <c r="A49" s="165"/>
      <c r="B49" s="165"/>
      <c r="C49" s="16" t="s">
        <v>54</v>
      </c>
      <c r="D49" s="16">
        <v>10006835</v>
      </c>
      <c r="E49" s="16" t="s">
        <v>59</v>
      </c>
      <c r="F49" s="16">
        <v>500</v>
      </c>
      <c r="G49" s="16" t="s">
        <v>56</v>
      </c>
      <c r="H49" s="17">
        <v>100</v>
      </c>
      <c r="I49" s="16" t="s">
        <v>27</v>
      </c>
      <c r="J49" s="301" t="s">
        <v>60</v>
      </c>
      <c r="K49" s="301"/>
      <c r="L49" s="301"/>
      <c r="M49" s="301"/>
      <c r="N49" s="301"/>
      <c r="O49" s="301"/>
      <c r="P49" s="301"/>
    </row>
    <row r="50" spans="1:16" ht="15.75" x14ac:dyDescent="0.25">
      <c r="A50" s="165"/>
      <c r="B50" s="165"/>
      <c r="C50" s="16" t="s">
        <v>54</v>
      </c>
      <c r="D50" s="16" t="s">
        <v>61</v>
      </c>
      <c r="E50" s="16" t="s">
        <v>62</v>
      </c>
      <c r="F50" s="16">
        <v>1300</v>
      </c>
      <c r="G50" s="16" t="s">
        <v>56</v>
      </c>
      <c r="H50" s="17">
        <v>100</v>
      </c>
      <c r="I50" s="16" t="s">
        <v>27</v>
      </c>
      <c r="J50" s="165"/>
      <c r="K50" s="165"/>
      <c r="L50" s="165"/>
      <c r="M50" s="165"/>
      <c r="N50" s="165"/>
      <c r="O50" s="165"/>
      <c r="P50" s="165"/>
    </row>
    <row r="51" spans="1:16" ht="15.75" x14ac:dyDescent="0.25">
      <c r="A51" s="165"/>
      <c r="B51" s="165"/>
      <c r="C51" s="16" t="s">
        <v>54</v>
      </c>
      <c r="D51" s="16" t="s">
        <v>61</v>
      </c>
      <c r="E51" s="16" t="s">
        <v>63</v>
      </c>
      <c r="F51" s="16">
        <v>1300</v>
      </c>
      <c r="G51" s="16" t="s">
        <v>56</v>
      </c>
      <c r="H51" s="17">
        <v>100</v>
      </c>
      <c r="I51" s="16" t="s">
        <v>27</v>
      </c>
      <c r="J51" s="165"/>
      <c r="K51" s="165"/>
      <c r="L51" s="165"/>
      <c r="M51" s="165"/>
      <c r="N51" s="165"/>
      <c r="O51" s="165"/>
      <c r="P51" s="165"/>
    </row>
    <row r="52" spans="1:16" ht="15.75" x14ac:dyDescent="0.25">
      <c r="A52" s="165"/>
      <c r="B52" s="165"/>
      <c r="C52" s="16" t="s">
        <v>54</v>
      </c>
      <c r="D52" s="16" t="s">
        <v>61</v>
      </c>
      <c r="E52" s="16" t="s">
        <v>64</v>
      </c>
      <c r="F52" s="16">
        <v>550</v>
      </c>
      <c r="G52" s="16" t="s">
        <v>56</v>
      </c>
      <c r="H52" s="17">
        <v>100</v>
      </c>
      <c r="I52" s="16" t="s">
        <v>27</v>
      </c>
      <c r="J52" s="165"/>
      <c r="K52" s="165"/>
      <c r="L52" s="165"/>
      <c r="M52" s="165"/>
      <c r="N52" s="165"/>
      <c r="O52" s="165"/>
      <c r="P52" s="165"/>
    </row>
    <row r="53" spans="1:16" ht="15.75" x14ac:dyDescent="0.25">
      <c r="A53" s="165"/>
      <c r="B53" s="165"/>
      <c r="C53" s="16" t="s">
        <v>54</v>
      </c>
      <c r="D53" s="16" t="s">
        <v>61</v>
      </c>
      <c r="E53" s="16" t="s">
        <v>65</v>
      </c>
      <c r="F53" s="16">
        <v>40</v>
      </c>
      <c r="G53" s="16" t="s">
        <v>56</v>
      </c>
      <c r="H53" s="17">
        <v>100</v>
      </c>
      <c r="I53" s="16" t="s">
        <v>27</v>
      </c>
      <c r="J53" s="302" t="s">
        <v>66</v>
      </c>
      <c r="K53" s="302"/>
      <c r="L53" s="302"/>
      <c r="M53" s="302"/>
      <c r="N53" s="302"/>
      <c r="O53" s="302"/>
      <c r="P53" s="302"/>
    </row>
    <row r="54" spans="1:16" ht="29.25" customHeight="1" x14ac:dyDescent="0.25">
      <c r="A54" s="165"/>
      <c r="B54" s="165"/>
      <c r="C54" s="165"/>
      <c r="D54" s="165"/>
      <c r="E54" s="165"/>
      <c r="F54" s="165"/>
      <c r="G54" s="165"/>
      <c r="H54" s="165"/>
      <c r="I54" s="165"/>
      <c r="J54" s="302"/>
      <c r="K54" s="302"/>
      <c r="L54" s="302"/>
      <c r="M54" s="302"/>
      <c r="N54" s="302"/>
      <c r="O54" s="302"/>
      <c r="P54" s="302"/>
    </row>
    <row r="55" spans="1:16" x14ac:dyDescent="0.25">
      <c r="A55" s="165"/>
      <c r="B55" s="165"/>
      <c r="C55" s="165"/>
      <c r="D55" s="165"/>
      <c r="E55" s="165"/>
      <c r="F55" s="165"/>
      <c r="G55" s="165"/>
      <c r="H55" s="165"/>
      <c r="I55" s="165"/>
      <c r="J55" s="303" t="s">
        <v>67</v>
      </c>
      <c r="K55" s="303"/>
      <c r="L55" s="303"/>
      <c r="M55" s="303"/>
      <c r="N55" s="303"/>
      <c r="O55" s="303"/>
      <c r="P55" s="303"/>
    </row>
    <row r="56" spans="1:16" x14ac:dyDescent="0.25">
      <c r="A56" s="165"/>
      <c r="B56" s="165"/>
      <c r="C56" s="165"/>
      <c r="D56" s="165"/>
      <c r="E56" s="165"/>
      <c r="F56" s="165"/>
      <c r="G56" s="165"/>
      <c r="H56" s="165"/>
      <c r="I56" s="165"/>
      <c r="J56" s="303"/>
      <c r="K56" s="303"/>
      <c r="L56" s="303"/>
      <c r="M56" s="303"/>
      <c r="N56" s="303"/>
      <c r="O56" s="303"/>
      <c r="P56" s="303"/>
    </row>
    <row r="57" spans="1:16" x14ac:dyDescent="0.25">
      <c r="A57" s="165"/>
      <c r="B57" s="165"/>
      <c r="C57" s="165"/>
      <c r="D57" s="165"/>
      <c r="E57" s="165"/>
      <c r="F57" s="165"/>
      <c r="G57" s="165"/>
      <c r="H57" s="165"/>
      <c r="I57" s="165"/>
      <c r="J57" s="303"/>
      <c r="K57" s="303"/>
      <c r="L57" s="303"/>
      <c r="M57" s="303"/>
      <c r="N57" s="303"/>
      <c r="O57" s="303"/>
      <c r="P57" s="303"/>
    </row>
    <row r="58" spans="1:16" x14ac:dyDescent="0.25">
      <c r="A58" s="165"/>
      <c r="B58" s="165"/>
      <c r="C58" s="165"/>
      <c r="D58" s="165"/>
      <c r="E58" s="165"/>
      <c r="F58" s="165"/>
      <c r="G58" s="165"/>
      <c r="H58" s="165"/>
      <c r="I58" s="165"/>
      <c r="J58" s="303"/>
      <c r="K58" s="303"/>
      <c r="L58" s="303"/>
      <c r="M58" s="303"/>
      <c r="N58" s="303"/>
      <c r="O58" s="303"/>
      <c r="P58" s="303"/>
    </row>
    <row r="60" spans="1:16" x14ac:dyDescent="0.25">
      <c r="A60" s="165">
        <v>20210415</v>
      </c>
      <c r="B60" s="165"/>
      <c r="C60" s="165"/>
      <c r="D60" s="165"/>
      <c r="E60" s="165"/>
      <c r="F60" s="165"/>
      <c r="G60" s="165"/>
      <c r="H60" s="165"/>
      <c r="I60" s="165"/>
      <c r="J60" s="165"/>
      <c r="K60" s="165"/>
      <c r="L60" s="165"/>
      <c r="M60" s="165"/>
      <c r="N60" s="165"/>
      <c r="O60" s="165"/>
      <c r="P60" s="165"/>
    </row>
    <row r="61" spans="1:16" x14ac:dyDescent="0.25">
      <c r="A61" s="165" t="s">
        <v>68</v>
      </c>
      <c r="B61" s="165"/>
      <c r="C61" s="165"/>
      <c r="D61" s="165"/>
      <c r="E61" s="165"/>
      <c r="F61" s="165"/>
      <c r="G61" s="165"/>
      <c r="H61" s="165"/>
      <c r="I61" s="165"/>
      <c r="J61" s="165"/>
      <c r="K61" s="165"/>
      <c r="L61" s="165"/>
      <c r="M61" s="165"/>
      <c r="N61" s="165"/>
      <c r="O61" s="165"/>
      <c r="P61" s="165"/>
    </row>
    <row r="63" spans="1:16" x14ac:dyDescent="0.25">
      <c r="A63" s="165">
        <v>20210427</v>
      </c>
      <c r="B63" s="165"/>
      <c r="C63" s="165"/>
      <c r="D63" s="165"/>
      <c r="E63" s="165"/>
      <c r="F63" s="165"/>
      <c r="G63" s="165"/>
      <c r="H63" s="165"/>
      <c r="I63" s="165"/>
      <c r="J63" s="165"/>
      <c r="K63" s="165"/>
      <c r="L63" s="165"/>
      <c r="M63" s="165"/>
      <c r="N63" s="165"/>
      <c r="O63" s="165"/>
      <c r="P63" s="165"/>
    </row>
    <row r="64" spans="1:16" x14ac:dyDescent="0.25">
      <c r="A64" s="165" t="s">
        <v>69</v>
      </c>
      <c r="B64" s="165"/>
      <c r="C64" s="165"/>
      <c r="D64" s="165"/>
      <c r="E64" s="165"/>
      <c r="F64" s="165"/>
      <c r="G64" s="165"/>
      <c r="H64" s="165"/>
      <c r="I64" s="165"/>
      <c r="J64" s="165"/>
      <c r="K64" s="165"/>
      <c r="L64" s="165"/>
      <c r="M64" s="165"/>
      <c r="N64" s="165"/>
      <c r="O64" s="165"/>
      <c r="P64" s="165"/>
    </row>
    <row r="65" spans="1:1" x14ac:dyDescent="0.25">
      <c r="A65" s="165" t="s">
        <v>70</v>
      </c>
    </row>
    <row r="66" spans="1:1" x14ac:dyDescent="0.25">
      <c r="A66" s="165" t="s">
        <v>71</v>
      </c>
    </row>
    <row r="67" spans="1:1" x14ac:dyDescent="0.25">
      <c r="A67" s="165" t="s">
        <v>72</v>
      </c>
    </row>
    <row r="92" spans="1:5" x14ac:dyDescent="0.25">
      <c r="A92" s="165" t="s">
        <v>73</v>
      </c>
      <c r="B92" s="165"/>
      <c r="C92" s="165"/>
      <c r="D92" s="165"/>
      <c r="E92" s="165"/>
    </row>
    <row r="93" spans="1:5" x14ac:dyDescent="0.25">
      <c r="A93" s="165">
        <v>9.36</v>
      </c>
      <c r="B93" s="165"/>
      <c r="C93" s="165"/>
      <c r="D93" s="165"/>
      <c r="E93" s="165"/>
    </row>
    <row r="95" spans="1:5" ht="15.75" thickBot="1" x14ac:dyDescent="0.3">
      <c r="A95" s="165"/>
      <c r="B95" s="165"/>
      <c r="C95" s="165"/>
      <c r="D95" s="165"/>
      <c r="E95" s="165"/>
    </row>
    <row r="96" spans="1:5" x14ac:dyDescent="0.25">
      <c r="A96" s="91" t="s">
        <v>50</v>
      </c>
      <c r="B96" s="92" t="s">
        <v>74</v>
      </c>
      <c r="C96" s="92" t="s">
        <v>52</v>
      </c>
      <c r="D96" s="92" t="s">
        <v>75</v>
      </c>
      <c r="E96" s="93">
        <f>96*1.2</f>
        <v>115.19999999999999</v>
      </c>
    </row>
    <row r="97" spans="1:5" x14ac:dyDescent="0.25">
      <c r="A97" s="94" t="s">
        <v>76</v>
      </c>
      <c r="B97" s="95"/>
      <c r="C97" s="95"/>
      <c r="D97" s="96">
        <v>9.36</v>
      </c>
      <c r="E97" s="96">
        <f>D97*$E$96</f>
        <v>1078.2719999999999</v>
      </c>
    </row>
    <row r="98" spans="1:5" x14ac:dyDescent="0.25">
      <c r="A98" s="111" t="s">
        <v>77</v>
      </c>
      <c r="B98" s="95">
        <v>500</v>
      </c>
      <c r="C98" s="95"/>
      <c r="D98" s="96">
        <f>0.5*20/10</f>
        <v>1</v>
      </c>
      <c r="E98" s="96">
        <f t="shared" ref="E98:E101" si="25">D98*$E$96</f>
        <v>115.19999999999999</v>
      </c>
    </row>
    <row r="99" spans="1:5" x14ac:dyDescent="0.25">
      <c r="A99" s="112" t="s">
        <v>78</v>
      </c>
      <c r="B99" s="110"/>
      <c r="C99" s="95"/>
      <c r="D99" s="96">
        <v>0.2</v>
      </c>
      <c r="E99" s="96">
        <f t="shared" si="25"/>
        <v>23.04</v>
      </c>
    </row>
    <row r="100" spans="1:5" x14ac:dyDescent="0.25">
      <c r="A100" s="111" t="s">
        <v>79</v>
      </c>
      <c r="B100" s="110"/>
      <c r="C100" s="165"/>
      <c r="D100" s="96">
        <f>18-SUM(D97:D99)</f>
        <v>7.4400000000000013</v>
      </c>
      <c r="E100" s="96">
        <f t="shared" si="25"/>
        <v>857.08800000000008</v>
      </c>
    </row>
    <row r="101" spans="1:5" ht="15.75" thickBot="1" x14ac:dyDescent="0.3">
      <c r="A101" s="97" t="s">
        <v>80</v>
      </c>
      <c r="B101" s="98"/>
      <c r="C101" s="98"/>
      <c r="D101" s="99">
        <f>SUM(D97:D100)</f>
        <v>18</v>
      </c>
      <c r="E101" s="96">
        <f t="shared" si="25"/>
        <v>2073.6</v>
      </c>
    </row>
    <row r="103" spans="1:5" x14ac:dyDescent="0.25">
      <c r="A103" s="165" t="s">
        <v>81</v>
      </c>
      <c r="B103" s="165"/>
      <c r="C103" s="165"/>
      <c r="D103" s="165"/>
      <c r="E103" s="165"/>
    </row>
    <row r="104" spans="1:5" x14ac:dyDescent="0.25">
      <c r="A104" s="165" t="s">
        <v>82</v>
      </c>
      <c r="B104" s="165"/>
      <c r="C104" s="165"/>
      <c r="D104" s="165"/>
      <c r="E104" s="165"/>
    </row>
    <row r="105" spans="1:5" x14ac:dyDescent="0.25">
      <c r="A105" s="165" t="s">
        <v>83</v>
      </c>
      <c r="B105" s="165"/>
      <c r="C105" s="165"/>
      <c r="D105" s="165"/>
      <c r="E105" s="165"/>
    </row>
    <row r="106" spans="1:5" x14ac:dyDescent="0.25">
      <c r="A106" s="165" t="s">
        <v>84</v>
      </c>
      <c r="B106" s="165"/>
      <c r="C106" s="165"/>
      <c r="D106" s="165"/>
      <c r="E106" s="165"/>
    </row>
    <row r="107" spans="1:5" x14ac:dyDescent="0.25">
      <c r="A107" s="165" t="s">
        <v>85</v>
      </c>
      <c r="B107" s="165"/>
      <c r="C107" s="165"/>
      <c r="D107" s="165"/>
      <c r="E107" s="165"/>
    </row>
    <row r="109" spans="1:5" x14ac:dyDescent="0.25">
      <c r="A109" s="165">
        <v>20210430</v>
      </c>
      <c r="B109" s="165"/>
      <c r="C109" s="165"/>
      <c r="D109" s="165"/>
      <c r="E109" s="165"/>
    </row>
    <row r="110" spans="1:5" x14ac:dyDescent="0.25">
      <c r="A110" s="165" t="s">
        <v>86</v>
      </c>
      <c r="B110" s="165"/>
      <c r="C110" s="165"/>
      <c r="D110" s="165"/>
      <c r="E110" s="165"/>
    </row>
    <row r="111" spans="1:5" x14ac:dyDescent="0.25">
      <c r="A111" s="165" t="s">
        <v>87</v>
      </c>
      <c r="B111" s="165"/>
      <c r="C111" s="165"/>
      <c r="D111" s="165"/>
      <c r="E111" s="165"/>
    </row>
    <row r="112" spans="1:5" x14ac:dyDescent="0.25">
      <c r="A112" s="165" t="s">
        <v>88</v>
      </c>
      <c r="B112" s="165"/>
      <c r="C112" s="165"/>
      <c r="D112" s="165"/>
      <c r="E112" s="165"/>
    </row>
    <row r="113" spans="1:1" x14ac:dyDescent="0.25">
      <c r="A113" s="165" t="s">
        <v>89</v>
      </c>
    </row>
    <row r="114" spans="1:1" x14ac:dyDescent="0.25">
      <c r="A114" s="165" t="s">
        <v>90</v>
      </c>
    </row>
    <row r="115" spans="1:1" x14ac:dyDescent="0.25">
      <c r="A115" s="48" t="s">
        <v>91</v>
      </c>
    </row>
    <row r="116" spans="1:1" x14ac:dyDescent="0.25">
      <c r="A116" s="49"/>
    </row>
    <row r="117" spans="1:1" x14ac:dyDescent="0.25">
      <c r="A117" s="48" t="s">
        <v>92</v>
      </c>
    </row>
    <row r="118" spans="1:1" x14ac:dyDescent="0.25">
      <c r="A118" s="49"/>
    </row>
    <row r="119" spans="1:1" x14ac:dyDescent="0.25">
      <c r="A119" s="48" t="s">
        <v>93</v>
      </c>
    </row>
    <row r="120" spans="1:1" x14ac:dyDescent="0.25">
      <c r="A120" s="48" t="s">
        <v>94</v>
      </c>
    </row>
    <row r="121" spans="1:1" x14ac:dyDescent="0.25">
      <c r="A121" s="48" t="s">
        <v>95</v>
      </c>
    </row>
    <row r="122" spans="1:1" x14ac:dyDescent="0.25">
      <c r="A122" s="48" t="s">
        <v>96</v>
      </c>
    </row>
    <row r="123" spans="1:1" x14ac:dyDescent="0.25">
      <c r="A123" s="50" t="s">
        <v>97</v>
      </c>
    </row>
    <row r="124" spans="1:1" x14ac:dyDescent="0.25">
      <c r="A124" s="48" t="s">
        <v>98</v>
      </c>
    </row>
    <row r="125" spans="1:1" x14ac:dyDescent="0.25">
      <c r="A125" s="50" t="s">
        <v>99</v>
      </c>
    </row>
    <row r="126" spans="1:1" x14ac:dyDescent="0.25">
      <c r="A126" s="50" t="s">
        <v>100</v>
      </c>
    </row>
    <row r="127" spans="1:1" x14ac:dyDescent="0.25">
      <c r="A127" s="50" t="s">
        <v>101</v>
      </c>
    </row>
    <row r="128" spans="1:1" x14ac:dyDescent="0.25">
      <c r="A128" s="48" t="s">
        <v>102</v>
      </c>
    </row>
    <row r="129" spans="1:3" x14ac:dyDescent="0.25">
      <c r="A129" s="48" t="s">
        <v>103</v>
      </c>
      <c r="B129" s="165"/>
      <c r="C129" s="165"/>
    </row>
    <row r="131" spans="1:3" x14ac:dyDescent="0.25">
      <c r="A131" s="165">
        <v>20210503</v>
      </c>
      <c r="B131" s="165"/>
      <c r="C131" s="165"/>
    </row>
    <row r="132" spans="1:3" x14ac:dyDescent="0.25">
      <c r="A132" s="165" t="s">
        <v>104</v>
      </c>
      <c r="B132" s="165"/>
      <c r="C132" s="165"/>
    </row>
    <row r="134" spans="1:3" x14ac:dyDescent="0.25">
      <c r="A134" s="165"/>
      <c r="B134" s="165" t="s">
        <v>105</v>
      </c>
      <c r="C134" s="165"/>
    </row>
    <row r="135" spans="1:3" x14ac:dyDescent="0.25">
      <c r="A135" s="165"/>
      <c r="B135" s="165"/>
      <c r="C135" s="165" t="s">
        <v>106</v>
      </c>
    </row>
    <row r="157" spans="1:1" x14ac:dyDescent="0.25">
      <c r="A157" s="165">
        <v>20210505</v>
      </c>
    </row>
    <row r="158" spans="1:1" x14ac:dyDescent="0.25">
      <c r="A158" s="165" t="s">
        <v>107</v>
      </c>
    </row>
    <row r="159" spans="1:1" x14ac:dyDescent="0.25">
      <c r="A159" s="165" t="s">
        <v>108</v>
      </c>
    </row>
    <row r="160" spans="1:1" x14ac:dyDescent="0.25">
      <c r="A160" s="165" t="s">
        <v>109</v>
      </c>
    </row>
    <row r="161" spans="1:6" x14ac:dyDescent="0.25">
      <c r="A161" s="165" t="s">
        <v>110</v>
      </c>
      <c r="B161" s="165"/>
      <c r="C161" s="165"/>
      <c r="D161" s="165"/>
      <c r="E161" s="165"/>
      <c r="F161" s="165"/>
    </row>
    <row r="162" spans="1:6" x14ac:dyDescent="0.25">
      <c r="A162" s="165" t="s">
        <v>111</v>
      </c>
      <c r="B162" s="165"/>
      <c r="C162" s="165"/>
      <c r="D162" s="165"/>
      <c r="E162" s="165"/>
      <c r="F162" s="165"/>
    </row>
    <row r="163" spans="1:6" x14ac:dyDescent="0.25">
      <c r="A163" s="165" t="s">
        <v>112</v>
      </c>
      <c r="B163" s="165"/>
      <c r="C163" s="165"/>
      <c r="D163" s="165"/>
      <c r="E163" s="165"/>
      <c r="F163" s="165"/>
    </row>
    <row r="165" spans="1:6" x14ac:dyDescent="0.25">
      <c r="A165" s="165"/>
      <c r="B165" s="165" t="s">
        <v>73</v>
      </c>
      <c r="C165" s="165"/>
      <c r="D165" s="165"/>
      <c r="E165" s="165"/>
      <c r="F165" s="165"/>
    </row>
    <row r="166" spans="1:6" x14ac:dyDescent="0.25">
      <c r="A166" s="165"/>
      <c r="B166" s="165">
        <v>9.36</v>
      </c>
      <c r="C166" s="165"/>
      <c r="D166" s="165"/>
      <c r="E166" s="165"/>
      <c r="F166" s="165"/>
    </row>
    <row r="167" spans="1:6" x14ac:dyDescent="0.25">
      <c r="A167" s="165"/>
      <c r="B167" s="165"/>
      <c r="C167" s="165"/>
      <c r="D167" s="165"/>
      <c r="E167" s="165"/>
      <c r="F167" s="165"/>
    </row>
    <row r="168" spans="1:6" ht="15.75" thickBot="1" x14ac:dyDescent="0.3">
      <c r="A168" s="165"/>
      <c r="B168" s="165"/>
      <c r="C168" s="165"/>
      <c r="D168" s="165"/>
      <c r="E168" s="165"/>
      <c r="F168" s="165"/>
    </row>
    <row r="169" spans="1:6" x14ac:dyDescent="0.25">
      <c r="A169" s="165"/>
      <c r="B169" s="91" t="s">
        <v>50</v>
      </c>
      <c r="C169" s="92" t="s">
        <v>74</v>
      </c>
      <c r="D169" s="92" t="s">
        <v>52</v>
      </c>
      <c r="E169" s="92" t="s">
        <v>75</v>
      </c>
      <c r="F169" s="93">
        <f>96*1.2</f>
        <v>115.19999999999999</v>
      </c>
    </row>
    <row r="170" spans="1:6" x14ac:dyDescent="0.25">
      <c r="A170" s="165"/>
      <c r="B170" s="94" t="s">
        <v>76</v>
      </c>
      <c r="C170" s="95"/>
      <c r="D170" s="95"/>
      <c r="E170" s="96">
        <v>9.36</v>
      </c>
      <c r="F170" s="96">
        <f>E170*$E$96</f>
        <v>1078.2719999999999</v>
      </c>
    </row>
    <row r="171" spans="1:6" x14ac:dyDescent="0.25">
      <c r="A171" s="165"/>
      <c r="B171" s="112" t="s">
        <v>78</v>
      </c>
      <c r="C171" s="110"/>
      <c r="D171" s="95"/>
      <c r="E171" s="96">
        <v>0.2</v>
      </c>
      <c r="F171" s="96">
        <f t="shared" ref="F171:F176" si="26">E171*$E$96</f>
        <v>23.04</v>
      </c>
    </row>
    <row r="172" spans="1:6" x14ac:dyDescent="0.25">
      <c r="A172" s="165"/>
      <c r="B172" s="165" t="s">
        <v>113</v>
      </c>
      <c r="C172" s="165" t="s">
        <v>114</v>
      </c>
      <c r="D172" s="95"/>
      <c r="E172" s="96">
        <f>0.25*20/10</f>
        <v>0.5</v>
      </c>
      <c r="F172" s="96">
        <f t="shared" si="26"/>
        <v>57.599999999999994</v>
      </c>
    </row>
    <row r="173" spans="1:6" x14ac:dyDescent="0.25">
      <c r="A173" s="165"/>
      <c r="B173" s="55" t="s">
        <v>115</v>
      </c>
      <c r="C173" s="110" t="s">
        <v>114</v>
      </c>
      <c r="D173" s="115"/>
      <c r="E173" s="96">
        <f>0.25*20/10</f>
        <v>0.5</v>
      </c>
      <c r="F173" s="96">
        <f t="shared" si="26"/>
        <v>57.599999999999994</v>
      </c>
    </row>
    <row r="174" spans="1:6" s="51" customFormat="1" x14ac:dyDescent="0.25">
      <c r="A174" s="165"/>
      <c r="B174" s="55" t="s">
        <v>116</v>
      </c>
      <c r="C174" s="110" t="s">
        <v>117</v>
      </c>
      <c r="D174" s="115"/>
      <c r="E174" s="96">
        <f>0.5*20/10</f>
        <v>1</v>
      </c>
      <c r="F174" s="96">
        <f t="shared" si="26"/>
        <v>115.19999999999999</v>
      </c>
    </row>
    <row r="175" spans="1:6" x14ac:dyDescent="0.25">
      <c r="A175" s="165"/>
      <c r="B175" s="111" t="s">
        <v>79</v>
      </c>
      <c r="C175" s="110"/>
      <c r="D175" s="165"/>
      <c r="E175" s="96">
        <f>18-SUM(E170:E174)</f>
        <v>6.4400000000000013</v>
      </c>
      <c r="F175" s="96">
        <f t="shared" si="26"/>
        <v>741.88800000000003</v>
      </c>
    </row>
    <row r="176" spans="1:6" ht="15.75" thickBot="1" x14ac:dyDescent="0.3">
      <c r="A176" s="165"/>
      <c r="B176" s="97" t="s">
        <v>80</v>
      </c>
      <c r="C176" s="98"/>
      <c r="D176" s="98"/>
      <c r="E176" s="99">
        <f>SUM(E170:E175)</f>
        <v>18</v>
      </c>
      <c r="F176" s="96">
        <f t="shared" si="26"/>
        <v>2073.6</v>
      </c>
    </row>
    <row r="178" spans="1:6" x14ac:dyDescent="0.25">
      <c r="A178" s="165" t="s">
        <v>118</v>
      </c>
      <c r="B178" s="165"/>
      <c r="C178" s="165"/>
      <c r="D178" s="165"/>
      <c r="E178" s="165"/>
      <c r="F178" s="165"/>
    </row>
    <row r="180" spans="1:6" x14ac:dyDescent="0.25">
      <c r="A180" s="165" t="s">
        <v>119</v>
      </c>
      <c r="B180" s="165"/>
      <c r="C180" s="165"/>
      <c r="D180" s="165"/>
      <c r="E180" s="165"/>
      <c r="F180" s="165"/>
    </row>
    <row r="181" spans="1:6" x14ac:dyDescent="0.25">
      <c r="A181" s="165" t="s">
        <v>120</v>
      </c>
      <c r="B181" s="165"/>
      <c r="C181" s="165"/>
      <c r="D181" s="165"/>
      <c r="E181" s="165"/>
      <c r="F181" s="165"/>
    </row>
    <row r="182" spans="1:6" x14ac:dyDescent="0.25">
      <c r="A182" s="165" t="s">
        <v>121</v>
      </c>
      <c r="B182" s="165"/>
      <c r="C182" s="165"/>
      <c r="D182" s="165"/>
      <c r="E182" s="165"/>
      <c r="F182" s="165"/>
    </row>
    <row r="183" spans="1:6" x14ac:dyDescent="0.25">
      <c r="A183" s="165" t="s">
        <v>122</v>
      </c>
      <c r="B183" s="165"/>
      <c r="C183" s="165"/>
      <c r="D183" s="165"/>
      <c r="E183" s="165"/>
      <c r="F183" s="165"/>
    </row>
    <row r="184" spans="1:6" ht="15.75" thickBot="1" x14ac:dyDescent="0.3">
      <c r="A184" s="165"/>
      <c r="B184" s="165"/>
      <c r="C184" s="165"/>
      <c r="D184" s="165"/>
      <c r="E184" s="165"/>
      <c r="F184" s="165"/>
    </row>
    <row r="185" spans="1:6" x14ac:dyDescent="0.25">
      <c r="A185" s="165"/>
      <c r="B185" s="91" t="s">
        <v>50</v>
      </c>
      <c r="C185" s="92" t="s">
        <v>74</v>
      </c>
      <c r="D185" s="92" t="s">
        <v>52</v>
      </c>
      <c r="E185" s="92" t="s">
        <v>75</v>
      </c>
      <c r="F185" s="93">
        <f>14*1.2</f>
        <v>16.8</v>
      </c>
    </row>
    <row r="186" spans="1:6" x14ac:dyDescent="0.25">
      <c r="A186" s="165"/>
      <c r="B186" s="94" t="s">
        <v>76</v>
      </c>
      <c r="C186" s="95"/>
      <c r="D186" s="95"/>
      <c r="E186" s="96">
        <v>9.36</v>
      </c>
      <c r="F186" s="96">
        <f>E186*$F$185</f>
        <v>157.24799999999999</v>
      </c>
    </row>
    <row r="187" spans="1:6" x14ac:dyDescent="0.25">
      <c r="A187" s="165"/>
      <c r="B187" s="112" t="s">
        <v>78</v>
      </c>
      <c r="C187" s="110"/>
      <c r="D187" s="95"/>
      <c r="E187" s="96">
        <v>0.2</v>
      </c>
      <c r="F187" s="96">
        <f t="shared" ref="F187:F192" si="27">E187*$F$185</f>
        <v>3.3600000000000003</v>
      </c>
    </row>
    <row r="188" spans="1:6" x14ac:dyDescent="0.25">
      <c r="A188" s="165"/>
      <c r="B188" s="55" t="s">
        <v>123</v>
      </c>
      <c r="C188" s="110"/>
      <c r="D188" s="95"/>
      <c r="E188" s="96">
        <f>0.5*20/10</f>
        <v>1</v>
      </c>
      <c r="F188" s="96">
        <f t="shared" si="27"/>
        <v>16.8</v>
      </c>
    </row>
    <row r="189" spans="1:6" x14ac:dyDescent="0.25">
      <c r="A189" s="165"/>
      <c r="B189" s="165" t="s">
        <v>113</v>
      </c>
      <c r="C189" s="165" t="s">
        <v>114</v>
      </c>
      <c r="D189" s="95"/>
      <c r="E189" s="96">
        <f>0.25*20/10</f>
        <v>0.5</v>
      </c>
      <c r="F189" s="96">
        <f t="shared" si="27"/>
        <v>8.4</v>
      </c>
    </row>
    <row r="190" spans="1:6" x14ac:dyDescent="0.25">
      <c r="A190" s="165"/>
      <c r="B190" s="55" t="s">
        <v>115</v>
      </c>
      <c r="C190" s="110" t="s">
        <v>114</v>
      </c>
      <c r="D190" s="115"/>
      <c r="E190" s="96">
        <f>0.25*20/10</f>
        <v>0.5</v>
      </c>
      <c r="F190" s="96">
        <f t="shared" si="27"/>
        <v>8.4</v>
      </c>
    </row>
    <row r="191" spans="1:6" x14ac:dyDescent="0.25">
      <c r="A191" s="165"/>
      <c r="B191" s="55" t="s">
        <v>116</v>
      </c>
      <c r="C191" s="110" t="s">
        <v>117</v>
      </c>
      <c r="D191" s="115"/>
      <c r="E191" s="96">
        <f>0.5*20/10</f>
        <v>1</v>
      </c>
      <c r="F191" s="96">
        <f t="shared" si="27"/>
        <v>16.8</v>
      </c>
    </row>
    <row r="192" spans="1:6" x14ac:dyDescent="0.25">
      <c r="A192" s="165"/>
      <c r="B192" s="111" t="s">
        <v>79</v>
      </c>
      <c r="C192" s="110"/>
      <c r="D192" s="165"/>
      <c r="E192" s="96">
        <f>18-SUM(E186:E191)</f>
        <v>5.4400000000000013</v>
      </c>
      <c r="F192" s="96">
        <f t="shared" si="27"/>
        <v>91.392000000000024</v>
      </c>
    </row>
    <row r="193" spans="1:6" ht="15.75" thickBot="1" x14ac:dyDescent="0.3">
      <c r="B193" s="97" t="s">
        <v>80</v>
      </c>
      <c r="C193" s="98"/>
      <c r="D193" s="98"/>
      <c r="E193" s="99">
        <f>SUM(E186:E192)</f>
        <v>18</v>
      </c>
      <c r="F193" s="96">
        <f>E193*$F$185</f>
        <v>302.40000000000003</v>
      </c>
    </row>
    <row r="196" spans="1:6" x14ac:dyDescent="0.25">
      <c r="A196">
        <v>20210706</v>
      </c>
    </row>
    <row r="198" spans="1:6" x14ac:dyDescent="0.25">
      <c r="A198" s="246">
        <v>20210709</v>
      </c>
    </row>
    <row r="199" spans="1:6" x14ac:dyDescent="0.25">
      <c r="A199" s="246" t="s">
        <v>1226</v>
      </c>
    </row>
    <row r="200" spans="1:6" x14ac:dyDescent="0.25">
      <c r="A200" s="246" t="s">
        <v>1225</v>
      </c>
    </row>
    <row r="201" spans="1:6" x14ac:dyDescent="0.25">
      <c r="A201" s="246"/>
    </row>
    <row r="202" spans="1:6" x14ac:dyDescent="0.25">
      <c r="A202" s="299" t="s">
        <v>1325</v>
      </c>
    </row>
    <row r="203" spans="1:6" x14ac:dyDescent="0.25">
      <c r="A203" s="299" t="s">
        <v>1326</v>
      </c>
    </row>
    <row r="204" spans="1:6" x14ac:dyDescent="0.25">
      <c r="A204" s="299" t="s">
        <v>1327</v>
      </c>
    </row>
    <row r="205" spans="1:6" x14ac:dyDescent="0.25">
      <c r="A205" s="246"/>
    </row>
    <row r="206" spans="1:6" x14ac:dyDescent="0.25">
      <c r="A206" s="299" t="s">
        <v>1328</v>
      </c>
    </row>
  </sheetData>
  <mergeCells count="4">
    <mergeCell ref="G22:J22"/>
    <mergeCell ref="J49:P49"/>
    <mergeCell ref="J53:P54"/>
    <mergeCell ref="J55:P58"/>
  </mergeCells>
  <hyperlinks>
    <hyperlink ref="M22" r:id="rId1" xr:uid="{EE97B40B-0FE4-46B4-844A-3CAC4831027E}"/>
    <hyperlink ref="A123" r:id="rId2" display="https://www.ncbi.nlm.nih.gov/pmc/articles/PMC2687310/" xr:uid="{EF7A765A-4877-404C-AF4B-6BC87F3BD1C8}"/>
    <hyperlink ref="A125" r:id="rId3" display="https://luminultra.monday.com/users/19678047-raquel-jaramillo" xr:uid="{D8B42295-2A74-4F8A-BD61-06D074B4345B}"/>
    <hyperlink ref="A126" r:id="rId4" display="https://luminultra.monday.com/users/19669450-greg-howard" xr:uid="{20A65DFB-AEFE-4B65-A8B5-9BC9068CC848}"/>
    <hyperlink ref="A127" r:id="rId5" display="https://luminultra.monday.com/users/19019803-neil-sharma" xr:uid="{FE1F38C0-0C59-4613-A945-4AF776CE3A19}"/>
  </hyperlinks>
  <pageMargins left="0.7" right="0.7" top="0.75" bottom="0.75" header="0.3" footer="0.3"/>
  <pageSetup orientation="portrait" horizontalDpi="300" verticalDpi="300" r:id="rId6"/>
  <drawing r:id="rId7"/>
  <legacy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1DC34-AC23-4603-8820-4CB6A26175C0}">
  <sheetPr codeName="Sheet2"/>
  <dimension ref="A1:N64"/>
  <sheetViews>
    <sheetView tabSelected="1" topLeftCell="A40" zoomScaleNormal="100" workbookViewId="0">
      <selection activeCell="M44" sqref="M44"/>
    </sheetView>
  </sheetViews>
  <sheetFormatPr defaultRowHeight="15" x14ac:dyDescent="0.25"/>
  <cols>
    <col min="1" max="1" width="35.7109375" customWidth="1"/>
  </cols>
  <sheetData>
    <row r="1" spans="1:10" ht="15.75" thickBot="1" x14ac:dyDescent="0.3">
      <c r="A1" s="165"/>
      <c r="B1" s="165"/>
      <c r="C1" s="165"/>
      <c r="D1" s="165"/>
      <c r="E1" s="165"/>
      <c r="F1" s="165"/>
      <c r="G1" s="165"/>
      <c r="H1" s="165"/>
      <c r="I1" s="165"/>
      <c r="J1" s="165"/>
    </row>
    <row r="2" spans="1:10" x14ac:dyDescent="0.25">
      <c r="A2" s="1" t="s">
        <v>124</v>
      </c>
      <c r="B2" s="77"/>
      <c r="C2" s="77"/>
      <c r="D2" s="78" t="s">
        <v>125</v>
      </c>
      <c r="E2" s="79"/>
      <c r="F2" s="79"/>
      <c r="G2" s="80">
        <v>400</v>
      </c>
      <c r="H2" s="81"/>
      <c r="I2" s="165"/>
      <c r="J2" s="2"/>
    </row>
    <row r="3" spans="1:10" ht="15.75" thickBot="1" x14ac:dyDescent="0.3">
      <c r="A3" s="3" t="s">
        <v>126</v>
      </c>
      <c r="B3" s="165"/>
      <c r="C3" s="165"/>
      <c r="D3" s="306" t="s">
        <v>127</v>
      </c>
      <c r="E3" s="307"/>
      <c r="F3" s="307"/>
      <c r="G3" s="82">
        <v>5</v>
      </c>
      <c r="H3" s="83" t="s">
        <v>128</v>
      </c>
      <c r="I3" s="165"/>
      <c r="J3" s="165"/>
    </row>
    <row r="4" spans="1:10" ht="15.75" x14ac:dyDescent="0.25">
      <c r="A4" s="77" t="s">
        <v>129</v>
      </c>
      <c r="B4" s="4">
        <v>100</v>
      </c>
      <c r="C4" s="77" t="s">
        <v>27</v>
      </c>
      <c r="D4" s="165"/>
      <c r="E4" s="165"/>
      <c r="F4" s="165"/>
      <c r="G4" s="84"/>
      <c r="H4" s="165"/>
      <c r="I4" s="165"/>
      <c r="J4" s="165"/>
    </row>
    <row r="5" spans="1:10" ht="15.75" x14ac:dyDescent="0.25">
      <c r="A5" s="77" t="s">
        <v>130</v>
      </c>
      <c r="B5" s="4">
        <v>100</v>
      </c>
      <c r="C5" s="77" t="s">
        <v>27</v>
      </c>
      <c r="D5" s="165"/>
      <c r="E5" s="308"/>
      <c r="F5" s="300"/>
      <c r="G5" s="300"/>
      <c r="H5" s="165"/>
      <c r="I5" s="165"/>
      <c r="J5" s="165"/>
    </row>
    <row r="6" spans="1:10" ht="15.75" x14ac:dyDescent="0.25">
      <c r="A6" s="77" t="s">
        <v>131</v>
      </c>
      <c r="B6" s="4">
        <v>100</v>
      </c>
      <c r="C6" s="77" t="s">
        <v>27</v>
      </c>
      <c r="D6" s="85"/>
      <c r="E6" s="165"/>
      <c r="F6" s="86"/>
      <c r="G6" s="87"/>
      <c r="H6" s="86"/>
      <c r="I6" s="86"/>
      <c r="J6" s="165"/>
    </row>
    <row r="7" spans="1:10" ht="15.75" x14ac:dyDescent="0.25">
      <c r="A7" s="77" t="s">
        <v>132</v>
      </c>
      <c r="B7" s="4">
        <v>100</v>
      </c>
      <c r="C7" s="77" t="s">
        <v>27</v>
      </c>
      <c r="D7" s="165"/>
      <c r="E7" s="165"/>
      <c r="F7" s="165"/>
      <c r="G7" s="84"/>
      <c r="H7" s="165"/>
      <c r="I7" s="165"/>
      <c r="J7" s="165"/>
    </row>
    <row r="8" spans="1:10" ht="15.75" x14ac:dyDescent="0.25">
      <c r="A8" s="77" t="s">
        <v>133</v>
      </c>
      <c r="B8" s="4">
        <v>100</v>
      </c>
      <c r="C8" s="77" t="s">
        <v>27</v>
      </c>
      <c r="D8" s="165"/>
      <c r="E8" s="308"/>
      <c r="F8" s="300"/>
      <c r="G8" s="300"/>
      <c r="H8" s="165"/>
      <c r="I8" s="165"/>
      <c r="J8" s="165"/>
    </row>
    <row r="9" spans="1:10" ht="15.75" x14ac:dyDescent="0.25">
      <c r="A9" s="77" t="s">
        <v>134</v>
      </c>
      <c r="B9" s="4">
        <v>100</v>
      </c>
      <c r="C9" s="77" t="s">
        <v>27</v>
      </c>
      <c r="D9" s="85"/>
      <c r="E9" s="165"/>
      <c r="F9" s="86"/>
      <c r="G9" s="87"/>
      <c r="H9" s="86"/>
      <c r="I9" s="86"/>
      <c r="J9" s="165"/>
    </row>
    <row r="10" spans="1:10" ht="15.75" x14ac:dyDescent="0.25">
      <c r="A10" s="165" t="s">
        <v>135</v>
      </c>
      <c r="B10" s="4">
        <v>1000</v>
      </c>
      <c r="C10" s="77"/>
      <c r="D10" s="85"/>
      <c r="E10" s="165"/>
      <c r="F10" s="86"/>
      <c r="G10" s="87"/>
      <c r="H10" s="86"/>
      <c r="I10" s="86"/>
      <c r="J10" s="165"/>
    </row>
    <row r="11" spans="1:10" x14ac:dyDescent="0.25">
      <c r="A11" s="77" t="s">
        <v>136</v>
      </c>
      <c r="B11" s="77">
        <v>25</v>
      </c>
      <c r="C11" s="77" t="s">
        <v>137</v>
      </c>
      <c r="D11" s="165"/>
      <c r="E11" s="308"/>
      <c r="F11" s="300"/>
      <c r="G11" s="300"/>
      <c r="H11" s="88"/>
      <c r="I11" s="86"/>
      <c r="J11" s="165"/>
    </row>
    <row r="12" spans="1:10" x14ac:dyDescent="0.25">
      <c r="A12" s="77" t="s">
        <v>138</v>
      </c>
      <c r="B12" s="77">
        <v>1000</v>
      </c>
      <c r="C12" s="77" t="s">
        <v>137</v>
      </c>
      <c r="D12" s="85"/>
      <c r="E12" s="165"/>
      <c r="F12" s="86"/>
      <c r="G12" s="87"/>
      <c r="H12" s="86"/>
      <c r="I12" s="86"/>
      <c r="J12" s="165"/>
    </row>
    <row r="13" spans="1:10" x14ac:dyDescent="0.25">
      <c r="A13" s="77" t="s">
        <v>139</v>
      </c>
      <c r="B13" s="77">
        <v>50</v>
      </c>
      <c r="C13" s="77" t="s">
        <v>140</v>
      </c>
      <c r="D13" s="165"/>
      <c r="E13" s="165"/>
      <c r="F13" s="86"/>
      <c r="G13" s="87"/>
      <c r="H13" s="86"/>
      <c r="I13" s="86"/>
      <c r="J13" s="165"/>
    </row>
    <row r="14" spans="1:10" x14ac:dyDescent="0.25">
      <c r="A14" s="77" t="s">
        <v>141</v>
      </c>
      <c r="B14" s="77">
        <v>30</v>
      </c>
      <c r="C14" s="77" t="s">
        <v>140</v>
      </c>
      <c r="D14" s="165"/>
      <c r="E14" s="165"/>
      <c r="F14" s="86"/>
      <c r="G14" s="87"/>
      <c r="H14" s="86"/>
      <c r="I14" s="86"/>
      <c r="J14" s="165"/>
    </row>
    <row r="15" spans="1:10" x14ac:dyDescent="0.25">
      <c r="A15" s="77" t="s">
        <v>142</v>
      </c>
      <c r="B15" s="77">
        <v>50</v>
      </c>
      <c r="C15" s="77" t="s">
        <v>143</v>
      </c>
      <c r="D15" s="165"/>
      <c r="E15" s="165"/>
      <c r="F15" s="86"/>
      <c r="G15" s="87"/>
      <c r="H15" s="86"/>
      <c r="I15" s="86"/>
      <c r="J15" s="165"/>
    </row>
    <row r="16" spans="1:10" x14ac:dyDescent="0.25">
      <c r="A16" s="77" t="s">
        <v>144</v>
      </c>
      <c r="B16" s="77">
        <v>50</v>
      </c>
      <c r="C16" s="77" t="s">
        <v>145</v>
      </c>
      <c r="D16" s="85"/>
      <c r="E16" s="165"/>
      <c r="F16" s="86"/>
      <c r="G16" s="87"/>
      <c r="H16" s="86"/>
      <c r="I16" s="86"/>
      <c r="J16" s="165"/>
    </row>
    <row r="17" spans="1:10" x14ac:dyDescent="0.25">
      <c r="A17" s="77" t="s">
        <v>146</v>
      </c>
      <c r="B17" s="77">
        <v>10</v>
      </c>
      <c r="C17" s="77" t="s">
        <v>147</v>
      </c>
      <c r="D17" s="85"/>
      <c r="E17" s="165"/>
      <c r="F17" s="86"/>
      <c r="G17" s="87"/>
      <c r="H17" s="86"/>
      <c r="I17" s="86"/>
      <c r="J17" s="165"/>
    </row>
    <row r="18" spans="1:10" x14ac:dyDescent="0.25">
      <c r="A18" s="5" t="s">
        <v>148</v>
      </c>
      <c r="B18" s="77">
        <v>45</v>
      </c>
      <c r="C18" s="77" t="s">
        <v>143</v>
      </c>
      <c r="D18" s="165"/>
      <c r="E18" s="165"/>
      <c r="F18" s="86"/>
      <c r="G18" s="87"/>
      <c r="H18" s="86"/>
      <c r="I18" s="86"/>
      <c r="J18" s="165"/>
    </row>
    <row r="19" spans="1:10" x14ac:dyDescent="0.25">
      <c r="A19" s="5" t="s">
        <v>149</v>
      </c>
      <c r="B19" s="77">
        <v>25</v>
      </c>
      <c r="C19" s="77" t="s">
        <v>143</v>
      </c>
      <c r="D19" s="165"/>
      <c r="E19" s="165"/>
      <c r="F19" s="86"/>
      <c r="G19" s="87"/>
      <c r="H19" s="86"/>
      <c r="I19" s="86"/>
      <c r="J19" s="165"/>
    </row>
    <row r="20" spans="1:10" x14ac:dyDescent="0.25">
      <c r="A20" s="77"/>
      <c r="B20" s="77"/>
      <c r="C20" s="77"/>
      <c r="D20" s="165"/>
      <c r="E20" s="165"/>
      <c r="F20" s="165"/>
      <c r="G20" s="84"/>
      <c r="H20" s="165"/>
      <c r="I20" s="165"/>
      <c r="J20" s="165"/>
    </row>
    <row r="21" spans="1:10" x14ac:dyDescent="0.25">
      <c r="A21" s="165"/>
      <c r="B21" s="165"/>
      <c r="C21" s="165"/>
      <c r="D21" s="165"/>
      <c r="E21" s="165"/>
      <c r="F21" s="165"/>
      <c r="G21" s="84"/>
      <c r="H21" s="165"/>
      <c r="I21" s="165"/>
      <c r="J21" s="165"/>
    </row>
    <row r="22" spans="1:10" x14ac:dyDescent="0.25">
      <c r="A22" s="6" t="s">
        <v>50</v>
      </c>
      <c r="B22" s="6" t="s">
        <v>74</v>
      </c>
      <c r="C22" s="6"/>
      <c r="D22" s="6" t="s">
        <v>150</v>
      </c>
      <c r="E22" s="6"/>
      <c r="F22" s="6"/>
      <c r="G22" s="7" t="s">
        <v>151</v>
      </c>
      <c r="H22" s="6"/>
      <c r="I22" s="6"/>
      <c r="J22" s="6" t="s">
        <v>152</v>
      </c>
    </row>
    <row r="23" spans="1:10" x14ac:dyDescent="0.25">
      <c r="A23" s="8" t="s">
        <v>153</v>
      </c>
      <c r="B23" s="8">
        <v>0.4</v>
      </c>
      <c r="C23" s="8" t="s">
        <v>27</v>
      </c>
      <c r="D23" s="77">
        <f>20*B23/$B$4</f>
        <v>0.08</v>
      </c>
      <c r="E23" s="77" t="s">
        <v>56</v>
      </c>
      <c r="F23" s="77"/>
      <c r="G23" s="9">
        <f t="shared" ref="G23:G39" si="0">D23*$G$2*((100+$G$3)/100)</f>
        <v>33.6</v>
      </c>
      <c r="H23" s="77" t="str">
        <f>E23</f>
        <v>uL</v>
      </c>
      <c r="I23" s="77" t="s">
        <v>154</v>
      </c>
      <c r="J23" s="77"/>
    </row>
    <row r="24" spans="1:10" x14ac:dyDescent="0.25">
      <c r="A24" s="8" t="s">
        <v>155</v>
      </c>
      <c r="B24" s="8">
        <v>0.4</v>
      </c>
      <c r="C24" s="8" t="s">
        <v>27</v>
      </c>
      <c r="D24" s="77">
        <f>20*B24/$B$5</f>
        <v>0.08</v>
      </c>
      <c r="E24" s="77" t="s">
        <v>56</v>
      </c>
      <c r="F24" s="77"/>
      <c r="G24" s="9">
        <f t="shared" si="0"/>
        <v>33.6</v>
      </c>
      <c r="H24" s="77" t="str">
        <f t="shared" ref="H24:H39" si="1">E24</f>
        <v>uL</v>
      </c>
      <c r="I24" s="77" t="s">
        <v>156</v>
      </c>
      <c r="J24" s="77"/>
    </row>
    <row r="25" spans="1:10" x14ac:dyDescent="0.25">
      <c r="A25" s="8" t="s">
        <v>157</v>
      </c>
      <c r="B25" s="8">
        <v>0.5</v>
      </c>
      <c r="C25" s="8" t="s">
        <v>27</v>
      </c>
      <c r="D25" s="77">
        <f>20*B25/$B$6</f>
        <v>0.1</v>
      </c>
      <c r="E25" s="77" t="s">
        <v>56</v>
      </c>
      <c r="F25" s="77"/>
      <c r="G25" s="9">
        <f t="shared" si="0"/>
        <v>42</v>
      </c>
      <c r="H25" s="77" t="str">
        <f t="shared" si="1"/>
        <v>uL</v>
      </c>
      <c r="I25" s="77" t="s">
        <v>158</v>
      </c>
      <c r="J25" s="77"/>
    </row>
    <row r="26" spans="1:10" x14ac:dyDescent="0.25">
      <c r="A26" s="19" t="s">
        <v>132</v>
      </c>
      <c r="B26" s="19">
        <v>0.25</v>
      </c>
      <c r="C26" s="19" t="s">
        <v>27</v>
      </c>
      <c r="D26" s="20">
        <v>0</v>
      </c>
      <c r="E26" s="20" t="s">
        <v>56</v>
      </c>
      <c r="F26" s="77"/>
      <c r="G26" s="9">
        <f t="shared" si="0"/>
        <v>0</v>
      </c>
      <c r="H26" s="77" t="str">
        <f>E26</f>
        <v>uL</v>
      </c>
      <c r="I26" s="77" t="s">
        <v>154</v>
      </c>
      <c r="J26" s="165"/>
    </row>
    <row r="27" spans="1:10" x14ac:dyDescent="0.25">
      <c r="A27" s="19" t="s">
        <v>133</v>
      </c>
      <c r="B27" s="19">
        <v>0.25</v>
      </c>
      <c r="C27" s="19" t="s">
        <v>27</v>
      </c>
      <c r="D27" s="20">
        <v>0</v>
      </c>
      <c r="E27" s="20" t="s">
        <v>56</v>
      </c>
      <c r="F27" s="77"/>
      <c r="G27" s="9">
        <f t="shared" si="0"/>
        <v>0</v>
      </c>
      <c r="H27" s="77" t="str">
        <f t="shared" ref="H27:H29" si="2">E27</f>
        <v>uL</v>
      </c>
      <c r="I27" s="77" t="s">
        <v>156</v>
      </c>
      <c r="J27" s="77"/>
    </row>
    <row r="28" spans="1:10" x14ac:dyDescent="0.25">
      <c r="A28" s="19" t="s">
        <v>134</v>
      </c>
      <c r="B28" s="19">
        <v>0.5</v>
      </c>
      <c r="C28" s="19" t="s">
        <v>27</v>
      </c>
      <c r="D28" s="20">
        <v>0</v>
      </c>
      <c r="E28" s="20" t="s">
        <v>56</v>
      </c>
      <c r="F28" s="77"/>
      <c r="G28" s="9">
        <f>D28*$G$2*((100+$G$3)/100)</f>
        <v>0</v>
      </c>
      <c r="H28" s="77" t="str">
        <f t="shared" si="2"/>
        <v>uL</v>
      </c>
      <c r="I28" s="77"/>
      <c r="J28" s="77"/>
    </row>
    <row r="29" spans="1:10" x14ac:dyDescent="0.25">
      <c r="A29" s="85" t="s">
        <v>135</v>
      </c>
      <c r="B29" s="20">
        <v>100</v>
      </c>
      <c r="C29" s="20"/>
      <c r="D29" s="20">
        <v>0</v>
      </c>
      <c r="E29" s="20" t="s">
        <v>56</v>
      </c>
      <c r="F29" s="77"/>
      <c r="G29" s="9">
        <f t="shared" si="0"/>
        <v>0</v>
      </c>
      <c r="H29" s="77" t="str">
        <f t="shared" si="2"/>
        <v>uL</v>
      </c>
      <c r="I29" s="77"/>
      <c r="J29" s="165"/>
    </row>
    <row r="30" spans="1:10" x14ac:dyDescent="0.25">
      <c r="A30" s="77" t="s">
        <v>136</v>
      </c>
      <c r="B30" s="77">
        <v>0.25</v>
      </c>
      <c r="C30" s="77" t="s">
        <v>137</v>
      </c>
      <c r="D30" s="77">
        <f>32*B30/B11</f>
        <v>0.32</v>
      </c>
      <c r="E30" s="77" t="s">
        <v>56</v>
      </c>
      <c r="F30" s="77"/>
      <c r="G30" s="9">
        <f t="shared" si="0"/>
        <v>134.4</v>
      </c>
      <c r="H30" s="77" t="str">
        <f t="shared" si="1"/>
        <v>uL</v>
      </c>
      <c r="I30" s="77" t="s">
        <v>136</v>
      </c>
      <c r="J30" s="77"/>
    </row>
    <row r="31" spans="1:10" x14ac:dyDescent="0.25">
      <c r="A31" s="77" t="s">
        <v>139</v>
      </c>
      <c r="B31" s="77">
        <v>2.5</v>
      </c>
      <c r="C31" s="77" t="s">
        <v>52</v>
      </c>
      <c r="D31" s="77">
        <f>B31/B13</f>
        <v>0.05</v>
      </c>
      <c r="E31" s="77" t="s">
        <v>56</v>
      </c>
      <c r="F31" s="77"/>
      <c r="G31" s="9">
        <f t="shared" si="0"/>
        <v>21</v>
      </c>
      <c r="H31" s="77" t="str">
        <f t="shared" si="1"/>
        <v>uL</v>
      </c>
      <c r="I31" s="77" t="s">
        <v>139</v>
      </c>
      <c r="J31" s="77"/>
    </row>
    <row r="32" spans="1:10" x14ac:dyDescent="0.25">
      <c r="A32" s="77" t="s">
        <v>141</v>
      </c>
      <c r="B32" s="77">
        <v>1</v>
      </c>
      <c r="C32" s="77" t="s">
        <v>52</v>
      </c>
      <c r="D32" s="77">
        <f>B32/B14</f>
        <v>3.3333333333333333E-2</v>
      </c>
      <c r="E32" s="77" t="s">
        <v>56</v>
      </c>
      <c r="F32" s="77"/>
      <c r="G32" s="9">
        <f t="shared" si="0"/>
        <v>14.000000000000002</v>
      </c>
      <c r="H32" s="77" t="str">
        <f t="shared" si="1"/>
        <v>uL</v>
      </c>
      <c r="I32" s="77"/>
      <c r="J32" s="77"/>
    </row>
    <row r="33" spans="1:14" x14ac:dyDescent="0.25">
      <c r="A33" s="77" t="s">
        <v>138</v>
      </c>
      <c r="B33" s="77">
        <v>3.5</v>
      </c>
      <c r="C33" s="77" t="s">
        <v>137</v>
      </c>
      <c r="D33" s="77">
        <f>(20*(B33/B12))</f>
        <v>7.0000000000000007E-2</v>
      </c>
      <c r="E33" s="77" t="s">
        <v>56</v>
      </c>
      <c r="F33" s="77"/>
      <c r="G33" s="9">
        <f>D33*$G$2*((100+$G$3)/100)</f>
        <v>29.400000000000006</v>
      </c>
      <c r="H33" s="77" t="str">
        <f>E33</f>
        <v>uL</v>
      </c>
      <c r="I33" s="77" t="s">
        <v>138</v>
      </c>
      <c r="J33" s="77"/>
      <c r="K33" s="165"/>
      <c r="L33" s="165"/>
      <c r="M33" s="165"/>
      <c r="N33" s="165"/>
    </row>
    <row r="34" spans="1:14" x14ac:dyDescent="0.25">
      <c r="A34" s="77" t="s">
        <v>142</v>
      </c>
      <c r="B34" s="77">
        <v>10</v>
      </c>
      <c r="C34" s="77" t="s">
        <v>143</v>
      </c>
      <c r="D34" s="77">
        <f>20*B34/B15</f>
        <v>4</v>
      </c>
      <c r="E34" s="77" t="s">
        <v>56</v>
      </c>
      <c r="F34" s="77"/>
      <c r="G34" s="9">
        <f t="shared" si="0"/>
        <v>1680</v>
      </c>
      <c r="H34" s="77" t="str">
        <f t="shared" si="1"/>
        <v>uL</v>
      </c>
      <c r="I34" s="77" t="s">
        <v>142</v>
      </c>
      <c r="J34" s="165"/>
      <c r="K34" s="165"/>
      <c r="L34" s="165"/>
      <c r="M34" s="165"/>
      <c r="N34" s="165"/>
    </row>
    <row r="35" spans="1:14" x14ac:dyDescent="0.25">
      <c r="A35" s="77" t="s">
        <v>144</v>
      </c>
      <c r="B35" s="77">
        <v>0.5</v>
      </c>
      <c r="C35" s="77" t="s">
        <v>145</v>
      </c>
      <c r="D35" s="77">
        <f>20*B35/B16</f>
        <v>0.2</v>
      </c>
      <c r="E35" s="77" t="s">
        <v>56</v>
      </c>
      <c r="F35" s="77"/>
      <c r="G35" s="9">
        <f>D35*$G$2*((100+$G$3)/100)</f>
        <v>84</v>
      </c>
      <c r="H35" s="77" t="str">
        <f t="shared" si="1"/>
        <v>uL</v>
      </c>
      <c r="I35" s="77" t="s">
        <v>144</v>
      </c>
      <c r="J35" s="77"/>
      <c r="K35" s="165"/>
      <c r="L35" s="165"/>
      <c r="M35" s="165"/>
      <c r="N35" s="165"/>
    </row>
    <row r="36" spans="1:14" x14ac:dyDescent="0.25">
      <c r="A36" s="77" t="s">
        <v>159</v>
      </c>
      <c r="B36" s="77">
        <v>1</v>
      </c>
      <c r="C36" s="77" t="s">
        <v>147</v>
      </c>
      <c r="D36" s="77">
        <f>20*B36/B17</f>
        <v>2</v>
      </c>
      <c r="E36" s="77" t="s">
        <v>56</v>
      </c>
      <c r="F36" s="77"/>
      <c r="G36" s="9">
        <f t="shared" si="0"/>
        <v>840</v>
      </c>
      <c r="H36" s="77" t="str">
        <f t="shared" si="1"/>
        <v>uL</v>
      </c>
      <c r="I36" s="77" t="s">
        <v>159</v>
      </c>
      <c r="J36" s="77"/>
      <c r="K36" s="165"/>
      <c r="L36" s="165"/>
      <c r="M36" s="165"/>
      <c r="N36" s="165"/>
    </row>
    <row r="37" spans="1:14" x14ac:dyDescent="0.25">
      <c r="A37" s="5" t="s">
        <v>148</v>
      </c>
      <c r="B37" s="77">
        <v>5</v>
      </c>
      <c r="C37" s="77" t="s">
        <v>143</v>
      </c>
      <c r="D37" s="77">
        <f>20*B37/B18</f>
        <v>2.2222222222222223</v>
      </c>
      <c r="E37" s="77" t="s">
        <v>56</v>
      </c>
      <c r="F37" s="77"/>
      <c r="G37" s="9">
        <f t="shared" si="0"/>
        <v>933.33333333333337</v>
      </c>
      <c r="H37" s="77" t="str">
        <f t="shared" si="1"/>
        <v>uL</v>
      </c>
      <c r="I37" s="77" t="s">
        <v>160</v>
      </c>
      <c r="J37" s="77"/>
      <c r="K37" s="165"/>
      <c r="L37" s="165"/>
      <c r="M37" s="165"/>
      <c r="N37" s="165"/>
    </row>
    <row r="38" spans="1:14" x14ac:dyDescent="0.25">
      <c r="A38" s="21" t="s">
        <v>149</v>
      </c>
      <c r="B38" s="22">
        <v>0</v>
      </c>
      <c r="C38" s="22" t="s">
        <v>143</v>
      </c>
      <c r="D38" s="22">
        <f>20*B38/B19</f>
        <v>0</v>
      </c>
      <c r="E38" s="11" t="s">
        <v>56</v>
      </c>
      <c r="F38" s="11"/>
      <c r="G38" s="11">
        <f t="shared" si="0"/>
        <v>0</v>
      </c>
      <c r="H38" s="77" t="str">
        <f t="shared" si="1"/>
        <v>uL</v>
      </c>
      <c r="I38" s="77"/>
      <c r="J38" s="77"/>
      <c r="K38" s="165"/>
      <c r="L38" s="165"/>
      <c r="M38" s="165"/>
      <c r="N38" s="165"/>
    </row>
    <row r="39" spans="1:14" x14ac:dyDescent="0.25">
      <c r="A39" s="20" t="s">
        <v>161</v>
      </c>
      <c r="B39" s="20"/>
      <c r="C39" s="20"/>
      <c r="D39" s="19">
        <v>0</v>
      </c>
      <c r="E39" s="77" t="s">
        <v>56</v>
      </c>
      <c r="F39" s="77"/>
      <c r="G39" s="9">
        <f t="shared" si="0"/>
        <v>0</v>
      </c>
      <c r="H39" s="77" t="str">
        <f t="shared" si="1"/>
        <v>uL</v>
      </c>
      <c r="I39" s="77" t="s">
        <v>161</v>
      </c>
      <c r="J39" s="77"/>
      <c r="K39" s="165"/>
      <c r="L39" s="165"/>
      <c r="M39" s="165"/>
      <c r="N39" s="165"/>
    </row>
    <row r="40" spans="1:14" x14ac:dyDescent="0.25">
      <c r="A40" s="77"/>
      <c r="B40" s="77"/>
      <c r="C40" s="77"/>
      <c r="D40" s="77"/>
      <c r="E40" s="77"/>
      <c r="F40" s="77"/>
      <c r="G40" s="9"/>
      <c r="H40" s="77"/>
      <c r="I40" s="12"/>
      <c r="J40" s="165"/>
      <c r="K40" s="165"/>
      <c r="L40" s="165"/>
      <c r="M40" s="165"/>
      <c r="N40" s="165"/>
    </row>
    <row r="41" spans="1:14" x14ac:dyDescent="0.25">
      <c r="A41" s="77"/>
      <c r="B41" s="77"/>
      <c r="C41" s="77" t="s">
        <v>162</v>
      </c>
      <c r="D41" s="13">
        <f>SUM(D23:D39)</f>
        <v>9.155555555555555</v>
      </c>
      <c r="E41" s="77" t="s">
        <v>56</v>
      </c>
      <c r="F41" s="77"/>
      <c r="G41" s="9">
        <f>SUM(G23:G39)</f>
        <v>3845.3333333333335</v>
      </c>
      <c r="H41" s="77" t="s">
        <v>56</v>
      </c>
      <c r="I41" s="77"/>
      <c r="J41" s="165"/>
      <c r="K41" s="165"/>
      <c r="L41" s="165"/>
      <c r="M41" s="165"/>
      <c r="N41" s="165"/>
    </row>
    <row r="44" spans="1:14" ht="16.5" x14ac:dyDescent="0.25">
      <c r="A44" s="39" t="s">
        <v>163</v>
      </c>
      <c r="B44" s="165"/>
      <c r="C44" s="165"/>
      <c r="D44" s="165"/>
      <c r="E44" s="165"/>
      <c r="F44" s="165"/>
      <c r="G44" s="165"/>
      <c r="H44" s="165"/>
      <c r="I44" s="165"/>
      <c r="J44" s="165"/>
      <c r="K44" s="165"/>
      <c r="L44" s="165"/>
      <c r="M44" s="165"/>
      <c r="N44" s="165"/>
    </row>
    <row r="45" spans="1:14" ht="16.5" x14ac:dyDescent="0.25">
      <c r="A45" s="40" t="s">
        <v>164</v>
      </c>
      <c r="B45" s="165"/>
      <c r="C45" s="165"/>
      <c r="D45" s="165"/>
      <c r="E45" s="165"/>
      <c r="F45" s="165"/>
      <c r="G45" s="165"/>
      <c r="H45" s="165"/>
      <c r="I45" s="165"/>
      <c r="J45" s="165"/>
      <c r="K45" s="165"/>
      <c r="L45" s="165"/>
      <c r="M45" s="165"/>
      <c r="N45" s="165"/>
    </row>
    <row r="46" spans="1:14" ht="16.5" x14ac:dyDescent="0.25">
      <c r="A46" s="41" t="s">
        <v>129</v>
      </c>
      <c r="B46" s="305"/>
      <c r="C46" s="305"/>
      <c r="D46" s="305"/>
      <c r="E46" s="305"/>
      <c r="F46" s="305"/>
      <c r="G46" s="305"/>
      <c r="H46" s="305"/>
      <c r="I46" s="305"/>
      <c r="J46" s="305"/>
      <c r="K46" s="305"/>
      <c r="L46" s="305"/>
      <c r="M46" s="305"/>
      <c r="N46" s="305"/>
    </row>
    <row r="47" spans="1:14" ht="16.5" x14ac:dyDescent="0.25">
      <c r="A47" s="41" t="s">
        <v>130</v>
      </c>
      <c r="B47" s="305"/>
      <c r="C47" s="305"/>
      <c r="D47" s="305"/>
      <c r="E47" s="305"/>
      <c r="F47" s="305"/>
      <c r="G47" s="305"/>
      <c r="H47" s="305"/>
      <c r="I47" s="305"/>
      <c r="J47" s="305"/>
      <c r="K47" s="305"/>
      <c r="L47" s="305"/>
      <c r="M47" s="305"/>
      <c r="N47" s="305"/>
    </row>
    <row r="48" spans="1:14" ht="16.5" x14ac:dyDescent="0.25">
      <c r="A48" s="41" t="s">
        <v>165</v>
      </c>
      <c r="B48" s="304" t="s">
        <v>166</v>
      </c>
      <c r="C48" s="304"/>
      <c r="D48" s="304"/>
      <c r="E48" s="304"/>
      <c r="F48" s="304"/>
      <c r="G48" s="304"/>
      <c r="H48" s="304"/>
      <c r="I48" s="304"/>
      <c r="J48" s="304"/>
      <c r="K48" s="304"/>
      <c r="L48" s="304"/>
      <c r="M48" s="304"/>
      <c r="N48" s="304"/>
    </row>
    <row r="49" spans="1:14" ht="16.5" x14ac:dyDescent="0.25">
      <c r="A49" s="41" t="s">
        <v>153</v>
      </c>
      <c r="B49" s="304" t="s">
        <v>167</v>
      </c>
      <c r="C49" s="304"/>
      <c r="D49" s="304"/>
      <c r="E49" s="304"/>
      <c r="F49" s="304"/>
      <c r="G49" s="304"/>
      <c r="H49" s="304"/>
      <c r="I49" s="304"/>
      <c r="J49" s="304"/>
      <c r="K49" s="304"/>
      <c r="L49" s="304"/>
      <c r="M49" s="304"/>
      <c r="N49" s="304"/>
    </row>
    <row r="50" spans="1:14" ht="16.5" x14ac:dyDescent="0.25">
      <c r="A50" s="41" t="s">
        <v>155</v>
      </c>
      <c r="B50" s="304" t="s">
        <v>168</v>
      </c>
      <c r="C50" s="304"/>
      <c r="D50" s="304"/>
      <c r="E50" s="304"/>
      <c r="F50" s="304"/>
      <c r="G50" s="304"/>
      <c r="H50" s="304"/>
      <c r="I50" s="304"/>
      <c r="J50" s="304"/>
      <c r="K50" s="304"/>
      <c r="L50" s="304"/>
      <c r="M50" s="304"/>
      <c r="N50" s="304"/>
    </row>
    <row r="51" spans="1:14" ht="16.5" x14ac:dyDescent="0.25">
      <c r="A51" s="41" t="s">
        <v>169</v>
      </c>
      <c r="B51" s="304" t="s">
        <v>170</v>
      </c>
      <c r="C51" s="304"/>
      <c r="D51" s="304"/>
      <c r="E51" s="304"/>
      <c r="F51" s="304"/>
      <c r="G51" s="304"/>
      <c r="H51" s="304"/>
      <c r="I51" s="304"/>
      <c r="J51" s="304"/>
      <c r="K51" s="304"/>
      <c r="L51" s="304"/>
      <c r="M51" s="304"/>
      <c r="N51" s="304"/>
    </row>
    <row r="52" spans="1:14" ht="16.5" x14ac:dyDescent="0.25">
      <c r="A52" s="41" t="s">
        <v>171</v>
      </c>
      <c r="B52" s="304" t="s">
        <v>172</v>
      </c>
      <c r="C52" s="304"/>
      <c r="D52" s="304"/>
      <c r="E52" s="304"/>
      <c r="F52" s="304"/>
      <c r="G52" s="304"/>
      <c r="H52" s="304"/>
      <c r="I52" s="304"/>
      <c r="J52" s="304"/>
      <c r="K52" s="304"/>
      <c r="L52" s="304"/>
      <c r="M52" s="304"/>
      <c r="N52" s="304"/>
    </row>
    <row r="53" spans="1:14" ht="33.75" customHeight="1" x14ac:dyDescent="0.25">
      <c r="A53" s="41" t="s">
        <v>173</v>
      </c>
      <c r="B53" s="304" t="s">
        <v>174</v>
      </c>
      <c r="C53" s="304"/>
      <c r="D53" s="304"/>
      <c r="E53" s="304"/>
      <c r="F53" s="304"/>
      <c r="G53" s="304"/>
      <c r="H53" s="304"/>
      <c r="I53" s="304"/>
      <c r="J53" s="304"/>
      <c r="K53" s="304"/>
      <c r="L53" s="304"/>
      <c r="M53" s="304"/>
      <c r="N53" s="304"/>
    </row>
    <row r="54" spans="1:14" x14ac:dyDescent="0.25">
      <c r="A54" s="165"/>
      <c r="B54" s="165"/>
      <c r="C54" s="165"/>
      <c r="D54" s="165"/>
      <c r="E54" s="165"/>
      <c r="F54" s="165"/>
      <c r="G54" s="165"/>
      <c r="H54" s="165"/>
      <c r="I54" s="165"/>
      <c r="J54" s="165"/>
      <c r="K54" s="165"/>
      <c r="L54" s="165"/>
      <c r="M54" s="165"/>
      <c r="N54" s="165"/>
    </row>
    <row r="55" spans="1:14" ht="16.5" x14ac:dyDescent="0.25">
      <c r="A55" s="39" t="s">
        <v>175</v>
      </c>
      <c r="B55" s="165"/>
      <c r="C55" s="165"/>
      <c r="D55" s="165"/>
      <c r="E55" s="165"/>
      <c r="F55" s="165"/>
      <c r="G55" s="165"/>
      <c r="H55" s="165"/>
      <c r="I55" s="165"/>
      <c r="J55" s="165"/>
      <c r="K55" s="165"/>
      <c r="L55" s="165"/>
      <c r="M55" s="165"/>
      <c r="N55" s="165"/>
    </row>
    <row r="56" spans="1:14" ht="16.5" x14ac:dyDescent="0.25">
      <c r="A56" s="40" t="s">
        <v>176</v>
      </c>
      <c r="B56" s="39"/>
      <c r="C56" s="165"/>
      <c r="D56" s="165"/>
      <c r="E56" s="165"/>
      <c r="F56" s="165"/>
      <c r="G56" s="165"/>
      <c r="H56" s="165"/>
      <c r="I56" s="165"/>
      <c r="J56" s="165"/>
      <c r="K56" s="165"/>
      <c r="L56" s="165"/>
      <c r="M56" s="165"/>
      <c r="N56" s="165"/>
    </row>
    <row r="57" spans="1:14" ht="16.5" x14ac:dyDescent="0.25">
      <c r="A57" s="41" t="s">
        <v>129</v>
      </c>
      <c r="B57" s="304" t="s">
        <v>177</v>
      </c>
      <c r="C57" s="304"/>
      <c r="D57" s="304"/>
      <c r="E57" s="304"/>
      <c r="F57" s="304"/>
      <c r="G57" s="304"/>
      <c r="H57" s="304"/>
      <c r="I57" s="304"/>
      <c r="J57" s="304"/>
      <c r="K57" s="304"/>
      <c r="L57" s="304"/>
      <c r="M57" s="304"/>
      <c r="N57" s="304"/>
    </row>
    <row r="58" spans="1:14" ht="16.5" x14ac:dyDescent="0.25">
      <c r="A58" s="41" t="s">
        <v>130</v>
      </c>
      <c r="B58" s="304" t="s">
        <v>178</v>
      </c>
      <c r="C58" s="304"/>
      <c r="D58" s="304"/>
      <c r="E58" s="304"/>
      <c r="F58" s="304"/>
      <c r="G58" s="304"/>
      <c r="H58" s="304"/>
      <c r="I58" s="304"/>
      <c r="J58" s="304"/>
      <c r="K58" s="304"/>
      <c r="L58" s="304"/>
      <c r="M58" s="304"/>
      <c r="N58" s="304"/>
    </row>
    <row r="59" spans="1:14" ht="16.5" x14ac:dyDescent="0.25">
      <c r="A59" s="41" t="s">
        <v>179</v>
      </c>
      <c r="B59" s="304" t="s">
        <v>180</v>
      </c>
      <c r="C59" s="304"/>
      <c r="D59" s="304"/>
      <c r="E59" s="304"/>
      <c r="F59" s="304"/>
      <c r="G59" s="304"/>
      <c r="H59" s="304"/>
      <c r="I59" s="304"/>
      <c r="J59" s="304"/>
      <c r="K59" s="304"/>
      <c r="L59" s="304"/>
      <c r="M59" s="304"/>
      <c r="N59" s="304"/>
    </row>
    <row r="60" spans="1:14" ht="16.5" x14ac:dyDescent="0.25">
      <c r="A60" s="41" t="s">
        <v>132</v>
      </c>
      <c r="B60" s="304" t="s">
        <v>181</v>
      </c>
      <c r="C60" s="304"/>
      <c r="D60" s="304"/>
      <c r="E60" s="304"/>
      <c r="F60" s="304"/>
      <c r="G60" s="304"/>
      <c r="H60" s="304"/>
      <c r="I60" s="304"/>
      <c r="J60" s="304"/>
      <c r="K60" s="304"/>
      <c r="L60" s="304"/>
      <c r="M60" s="304"/>
      <c r="N60" s="304"/>
    </row>
    <row r="61" spans="1:14" ht="16.5" x14ac:dyDescent="0.25">
      <c r="A61" s="41" t="s">
        <v>133</v>
      </c>
      <c r="B61" s="304" t="s">
        <v>182</v>
      </c>
      <c r="C61" s="304"/>
      <c r="D61" s="304"/>
      <c r="E61" s="304"/>
      <c r="F61" s="304"/>
      <c r="G61" s="304"/>
      <c r="H61" s="304"/>
      <c r="I61" s="304"/>
      <c r="J61" s="304"/>
      <c r="K61" s="304"/>
      <c r="L61" s="304"/>
      <c r="M61" s="304"/>
      <c r="N61" s="304"/>
    </row>
    <row r="62" spans="1:14" ht="16.5" x14ac:dyDescent="0.25">
      <c r="A62" s="41" t="s">
        <v>169</v>
      </c>
      <c r="B62" s="304" t="s">
        <v>170</v>
      </c>
      <c r="C62" s="304"/>
      <c r="D62" s="304"/>
      <c r="E62" s="304"/>
      <c r="F62" s="304"/>
      <c r="G62" s="304"/>
      <c r="H62" s="304"/>
      <c r="I62" s="304"/>
      <c r="J62" s="304"/>
      <c r="K62" s="304"/>
      <c r="L62" s="304"/>
      <c r="M62" s="304"/>
      <c r="N62" s="304"/>
    </row>
    <row r="63" spans="1:14" ht="16.5" x14ac:dyDescent="0.25">
      <c r="A63" s="41" t="s">
        <v>171</v>
      </c>
      <c r="B63" s="304" t="s">
        <v>172</v>
      </c>
      <c r="C63" s="304"/>
      <c r="D63" s="304"/>
      <c r="E63" s="304"/>
      <c r="F63" s="304"/>
      <c r="G63" s="304"/>
      <c r="H63" s="304"/>
      <c r="I63" s="304"/>
      <c r="J63" s="304"/>
      <c r="K63" s="304"/>
      <c r="L63" s="304"/>
      <c r="M63" s="304"/>
      <c r="N63" s="304"/>
    </row>
    <row r="64" spans="1:14" ht="16.5" x14ac:dyDescent="0.25">
      <c r="A64" s="41" t="s">
        <v>183</v>
      </c>
      <c r="B64" s="304" t="s">
        <v>184</v>
      </c>
      <c r="C64" s="304"/>
      <c r="D64" s="304"/>
      <c r="E64" s="304"/>
      <c r="F64" s="304"/>
      <c r="G64" s="304"/>
      <c r="H64" s="304"/>
      <c r="I64" s="304"/>
      <c r="J64" s="304"/>
      <c r="K64" s="304"/>
      <c r="L64" s="304"/>
      <c r="M64" s="304"/>
      <c r="N64" s="304"/>
    </row>
  </sheetData>
  <mergeCells count="20">
    <mergeCell ref="D3:F3"/>
    <mergeCell ref="E5:G5"/>
    <mergeCell ref="E8:G8"/>
    <mergeCell ref="E11:G11"/>
    <mergeCell ref="B46:N46"/>
    <mergeCell ref="B47:N47"/>
    <mergeCell ref="B48:N48"/>
    <mergeCell ref="B49:N49"/>
    <mergeCell ref="B50:N50"/>
    <mergeCell ref="B51:N51"/>
    <mergeCell ref="B52:N52"/>
    <mergeCell ref="B53:N53"/>
    <mergeCell ref="B57:N57"/>
    <mergeCell ref="B58:N58"/>
    <mergeCell ref="B59:N59"/>
    <mergeCell ref="B60:N60"/>
    <mergeCell ref="B61:N61"/>
    <mergeCell ref="B62:N62"/>
    <mergeCell ref="B63:N63"/>
    <mergeCell ref="B64:N64"/>
  </mergeCells>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1A074-A269-4A06-A5F7-1C511CB9FF82}">
  <sheetPr codeName="Sheet3"/>
  <dimension ref="A1:R38"/>
  <sheetViews>
    <sheetView zoomScale="85" zoomScaleNormal="85" workbookViewId="0">
      <selection activeCell="R10" sqref="R10"/>
    </sheetView>
  </sheetViews>
  <sheetFormatPr defaultRowHeight="15" x14ac:dyDescent="0.25"/>
  <sheetData>
    <row r="1" spans="1:1" x14ac:dyDescent="0.25">
      <c r="A1" s="165" t="s">
        <v>185</v>
      </c>
    </row>
    <row r="3" spans="1:1" x14ac:dyDescent="0.25">
      <c r="A3" s="165" t="s">
        <v>186</v>
      </c>
    </row>
    <row r="4" spans="1:1" x14ac:dyDescent="0.25">
      <c r="A4" s="165" t="s">
        <v>187</v>
      </c>
    </row>
    <row r="5" spans="1:1" x14ac:dyDescent="0.25">
      <c r="A5" s="165" t="s">
        <v>188</v>
      </c>
    </row>
    <row r="19" spans="1:18" ht="45.75" thickBot="1" x14ac:dyDescent="0.3">
      <c r="A19" s="165" t="s">
        <v>189</v>
      </c>
      <c r="B19" s="165"/>
      <c r="C19" s="165"/>
      <c r="D19" s="165"/>
      <c r="E19" s="165" t="s">
        <v>190</v>
      </c>
      <c r="F19" s="86" t="s">
        <v>191</v>
      </c>
      <c r="G19" s="86" t="s">
        <v>192</v>
      </c>
      <c r="H19" s="86"/>
      <c r="I19" s="6" t="s">
        <v>50</v>
      </c>
      <c r="J19" s="6" t="s">
        <v>74</v>
      </c>
      <c r="K19" s="6"/>
      <c r="L19" s="6" t="s">
        <v>150</v>
      </c>
      <c r="M19" s="6"/>
      <c r="N19" s="6"/>
      <c r="O19" s="7" t="s">
        <v>151</v>
      </c>
      <c r="P19" s="6"/>
      <c r="Q19" s="6"/>
      <c r="R19" s="6" t="s">
        <v>152</v>
      </c>
    </row>
    <row r="20" spans="1:18" x14ac:dyDescent="0.25">
      <c r="A20" s="91" t="s">
        <v>50</v>
      </c>
      <c r="B20" s="92" t="s">
        <v>74</v>
      </c>
      <c r="C20" s="92" t="s">
        <v>52</v>
      </c>
      <c r="D20" s="92" t="s">
        <v>193</v>
      </c>
      <c r="E20" s="93">
        <f>3*1.14</f>
        <v>3.42</v>
      </c>
      <c r="F20" s="165"/>
      <c r="G20" s="165"/>
      <c r="H20" s="165"/>
      <c r="I20" s="8" t="s">
        <v>153</v>
      </c>
      <c r="J20" s="8">
        <v>0.4</v>
      </c>
      <c r="K20" s="8" t="s">
        <v>27</v>
      </c>
      <c r="L20" s="77">
        <v>0.08</v>
      </c>
      <c r="M20" s="77" t="s">
        <v>56</v>
      </c>
      <c r="N20" s="77"/>
      <c r="O20" s="9">
        <v>29.400000000000002</v>
      </c>
      <c r="P20" s="77" t="s">
        <v>56</v>
      </c>
      <c r="Q20" s="77" t="s">
        <v>154</v>
      </c>
      <c r="R20" s="77"/>
    </row>
    <row r="21" spans="1:18" x14ac:dyDescent="0.25">
      <c r="A21" s="94" t="s">
        <v>189</v>
      </c>
      <c r="B21" s="95"/>
      <c r="C21" s="95"/>
      <c r="D21" s="96">
        <f>L38-L36</f>
        <v>9.3555555555555561</v>
      </c>
      <c r="E21" s="96">
        <f>D21*$E$20</f>
        <v>31.996000000000002</v>
      </c>
      <c r="F21" s="165"/>
      <c r="G21" s="165">
        <f>D21*96*1.2</f>
        <v>1077.76</v>
      </c>
      <c r="H21" s="165"/>
      <c r="I21" s="8" t="s">
        <v>155</v>
      </c>
      <c r="J21" s="8">
        <v>0.4</v>
      </c>
      <c r="K21" s="8" t="s">
        <v>27</v>
      </c>
      <c r="L21" s="77">
        <v>0.08</v>
      </c>
      <c r="M21" s="77" t="s">
        <v>56</v>
      </c>
      <c r="N21" s="77"/>
      <c r="O21" s="9">
        <v>29.400000000000002</v>
      </c>
      <c r="P21" s="77" t="s">
        <v>56</v>
      </c>
      <c r="Q21" s="77" t="s">
        <v>156</v>
      </c>
      <c r="R21" s="77"/>
    </row>
    <row r="22" spans="1:18" x14ac:dyDescent="0.25">
      <c r="A22" s="94" t="s">
        <v>79</v>
      </c>
      <c r="B22" s="95"/>
      <c r="C22" s="95"/>
      <c r="D22" s="96">
        <f>15-SUM(D21)</f>
        <v>5.6444444444444439</v>
      </c>
      <c r="E22" s="96">
        <f>D22*$E$20</f>
        <v>19.303999999999998</v>
      </c>
      <c r="F22" s="165"/>
      <c r="G22" s="165">
        <f>D22*96*1.2</f>
        <v>650.2399999999999</v>
      </c>
      <c r="H22" s="165"/>
      <c r="I22" s="8" t="s">
        <v>157</v>
      </c>
      <c r="J22" s="8">
        <v>0.5</v>
      </c>
      <c r="K22" s="8" t="s">
        <v>27</v>
      </c>
      <c r="L22" s="77">
        <v>0.1</v>
      </c>
      <c r="M22" s="77" t="s">
        <v>56</v>
      </c>
      <c r="N22" s="77"/>
      <c r="O22" s="9">
        <v>36.75</v>
      </c>
      <c r="P22" s="77" t="s">
        <v>56</v>
      </c>
      <c r="Q22" s="77" t="s">
        <v>158</v>
      </c>
      <c r="R22" s="77"/>
    </row>
    <row r="23" spans="1:18" ht="15.75" thickBot="1" x14ac:dyDescent="0.3">
      <c r="A23" s="97" t="s">
        <v>80</v>
      </c>
      <c r="B23" s="98"/>
      <c r="C23" s="98"/>
      <c r="D23" s="99">
        <f>SUM(D21:D22)</f>
        <v>15</v>
      </c>
      <c r="E23" s="99">
        <f>SUM(E21:E22)</f>
        <v>51.3</v>
      </c>
      <c r="F23" s="85">
        <f>E23*8</f>
        <v>410.4</v>
      </c>
      <c r="G23" s="85">
        <f>SUM(G21:G22)</f>
        <v>1728</v>
      </c>
      <c r="H23" s="85"/>
      <c r="I23" s="8" t="s">
        <v>132</v>
      </c>
      <c r="J23" s="8">
        <v>0.25</v>
      </c>
      <c r="K23" s="8" t="s">
        <v>27</v>
      </c>
      <c r="L23" s="77">
        <v>0.05</v>
      </c>
      <c r="M23" s="77" t="s">
        <v>56</v>
      </c>
      <c r="N23" s="77"/>
      <c r="O23" s="9">
        <v>18.375</v>
      </c>
      <c r="P23" s="77" t="s">
        <v>56</v>
      </c>
      <c r="Q23" s="77" t="s">
        <v>154</v>
      </c>
      <c r="R23" s="165"/>
    </row>
    <row r="24" spans="1:18" x14ac:dyDescent="0.25">
      <c r="A24" s="165"/>
      <c r="B24" s="165"/>
      <c r="C24" s="165"/>
      <c r="D24" s="165"/>
      <c r="E24" s="165"/>
      <c r="F24" s="165"/>
      <c r="G24" s="165"/>
      <c r="H24" s="165"/>
      <c r="I24" s="8" t="s">
        <v>133</v>
      </c>
      <c r="J24" s="8">
        <v>0.25</v>
      </c>
      <c r="K24" s="8" t="s">
        <v>27</v>
      </c>
      <c r="L24" s="77">
        <v>0.05</v>
      </c>
      <c r="M24" s="77" t="s">
        <v>56</v>
      </c>
      <c r="N24" s="77"/>
      <c r="O24" s="9">
        <v>18.375</v>
      </c>
      <c r="P24" s="77" t="s">
        <v>56</v>
      </c>
      <c r="Q24" s="77" t="s">
        <v>156</v>
      </c>
      <c r="R24" s="77"/>
    </row>
    <row r="25" spans="1:18" ht="33.75" customHeight="1" x14ac:dyDescent="0.25">
      <c r="A25" s="309" t="s">
        <v>194</v>
      </c>
      <c r="B25" s="309"/>
      <c r="C25" s="309"/>
      <c r="D25" s="309"/>
      <c r="E25" s="309"/>
      <c r="F25" s="165"/>
      <c r="G25" s="165"/>
      <c r="H25" s="165"/>
      <c r="I25" s="8" t="s">
        <v>134</v>
      </c>
      <c r="J25" s="8">
        <v>0.5</v>
      </c>
      <c r="K25" s="8" t="s">
        <v>27</v>
      </c>
      <c r="L25" s="77">
        <v>0.1</v>
      </c>
      <c r="M25" s="77" t="s">
        <v>56</v>
      </c>
      <c r="N25" s="77"/>
      <c r="O25" s="9">
        <v>36.75</v>
      </c>
      <c r="P25" s="77" t="s">
        <v>56</v>
      </c>
      <c r="Q25" s="77"/>
      <c r="R25" s="77"/>
    </row>
    <row r="26" spans="1:18" ht="15.75" thickBot="1" x14ac:dyDescent="0.3">
      <c r="A26" s="165"/>
      <c r="B26" s="165"/>
      <c r="C26" s="165"/>
      <c r="D26" s="165"/>
      <c r="E26" s="165"/>
      <c r="F26" s="165" t="s">
        <v>191</v>
      </c>
      <c r="G26" s="165" t="s">
        <v>195</v>
      </c>
      <c r="H26" s="165"/>
      <c r="I26" s="165" t="s">
        <v>135</v>
      </c>
      <c r="J26" s="77">
        <v>100</v>
      </c>
      <c r="K26" s="77"/>
      <c r="L26" s="77">
        <v>0</v>
      </c>
      <c r="M26" s="77" t="s">
        <v>56</v>
      </c>
      <c r="N26" s="77"/>
      <c r="O26" s="9">
        <v>0</v>
      </c>
      <c r="P26" s="77" t="s">
        <v>56</v>
      </c>
      <c r="Q26" s="77"/>
      <c r="R26" s="165"/>
    </row>
    <row r="27" spans="1:18" x14ac:dyDescent="0.25">
      <c r="A27" s="91" t="s">
        <v>50</v>
      </c>
      <c r="B27" s="92" t="s">
        <v>74</v>
      </c>
      <c r="C27" s="92" t="s">
        <v>52</v>
      </c>
      <c r="D27" s="92" t="s">
        <v>193</v>
      </c>
      <c r="E27" s="18" t="s">
        <v>196</v>
      </c>
      <c r="F27" s="165">
        <f>8*3</f>
        <v>24</v>
      </c>
      <c r="G27" s="93">
        <f>8*3*1.14</f>
        <v>27.36</v>
      </c>
      <c r="H27" s="165"/>
      <c r="I27" s="77" t="s">
        <v>136</v>
      </c>
      <c r="J27" s="77">
        <v>0.25</v>
      </c>
      <c r="K27" s="77" t="s">
        <v>137</v>
      </c>
      <c r="L27" s="77">
        <v>0.32</v>
      </c>
      <c r="M27" s="77" t="s">
        <v>56</v>
      </c>
      <c r="N27" s="77"/>
      <c r="O27" s="9">
        <v>117.60000000000001</v>
      </c>
      <c r="P27" s="77" t="s">
        <v>56</v>
      </c>
      <c r="Q27" s="77" t="s">
        <v>136</v>
      </c>
      <c r="R27" s="77"/>
    </row>
    <row r="28" spans="1:18" x14ac:dyDescent="0.25">
      <c r="A28" s="94" t="s">
        <v>189</v>
      </c>
      <c r="B28" s="95"/>
      <c r="C28" s="95"/>
      <c r="D28" s="96">
        <f>D21</f>
        <v>9.3555555555555561</v>
      </c>
      <c r="E28" s="165">
        <f>3*D28</f>
        <v>28.06666666666667</v>
      </c>
      <c r="F28" s="84">
        <f>D28*$F$27</f>
        <v>224.53333333333336</v>
      </c>
      <c r="G28" s="96">
        <f>D28*$G$27</f>
        <v>255.96800000000002</v>
      </c>
      <c r="H28" s="165"/>
      <c r="I28" s="77" t="s">
        <v>139</v>
      </c>
      <c r="J28" s="77">
        <v>2.5</v>
      </c>
      <c r="K28" s="77" t="s">
        <v>52</v>
      </c>
      <c r="L28" s="77">
        <v>0.05</v>
      </c>
      <c r="M28" s="77" t="s">
        <v>56</v>
      </c>
      <c r="N28" s="77"/>
      <c r="O28" s="9">
        <v>18.375</v>
      </c>
      <c r="P28" s="77" t="s">
        <v>56</v>
      </c>
      <c r="Q28" s="77" t="s">
        <v>139</v>
      </c>
      <c r="R28" s="77"/>
    </row>
    <row r="29" spans="1:18" x14ac:dyDescent="0.25">
      <c r="A29" s="94" t="s">
        <v>79</v>
      </c>
      <c r="B29" s="95"/>
      <c r="C29" s="95"/>
      <c r="D29" s="96">
        <f>18-SUM(D28,D30)</f>
        <v>6.6444444444444439</v>
      </c>
      <c r="E29" s="165">
        <f t="shared" ref="E29:E31" si="0">3*D29</f>
        <v>19.93333333333333</v>
      </c>
      <c r="F29" s="84">
        <f>D29*$F$27</f>
        <v>159.46666666666664</v>
      </c>
      <c r="G29" s="96">
        <f>D29*$G$27</f>
        <v>181.79199999999997</v>
      </c>
      <c r="H29" s="165"/>
      <c r="I29" s="77" t="s">
        <v>141</v>
      </c>
      <c r="J29" s="77">
        <v>1</v>
      </c>
      <c r="K29" s="77" t="s">
        <v>52</v>
      </c>
      <c r="L29" s="77">
        <v>3.3333333333333333E-2</v>
      </c>
      <c r="M29" s="77" t="s">
        <v>56</v>
      </c>
      <c r="N29" s="77"/>
      <c r="O29" s="9">
        <v>12.25</v>
      </c>
      <c r="P29" s="77" t="s">
        <v>56</v>
      </c>
      <c r="Q29" s="77"/>
      <c r="R29" s="77"/>
    </row>
    <row r="30" spans="1:18" x14ac:dyDescent="0.25">
      <c r="A30" s="94" t="s">
        <v>197</v>
      </c>
      <c r="B30" s="95"/>
      <c r="C30" s="95"/>
      <c r="D30" s="96">
        <v>2</v>
      </c>
      <c r="E30" s="165">
        <f t="shared" si="0"/>
        <v>6</v>
      </c>
      <c r="F30" s="84">
        <f>D30*$F$27</f>
        <v>48</v>
      </c>
      <c r="G30" s="96">
        <f>D30*$G$27</f>
        <v>54.72</v>
      </c>
      <c r="H30" s="165"/>
      <c r="I30" s="77" t="s">
        <v>138</v>
      </c>
      <c r="J30" s="77">
        <v>3.5</v>
      </c>
      <c r="K30" s="77" t="s">
        <v>137</v>
      </c>
      <c r="L30" s="77">
        <v>7.0000000000000007E-2</v>
      </c>
      <c r="M30" s="77" t="s">
        <v>56</v>
      </c>
      <c r="N30" s="77"/>
      <c r="O30" s="9">
        <v>25.725000000000005</v>
      </c>
      <c r="P30" s="77" t="s">
        <v>56</v>
      </c>
      <c r="Q30" s="77" t="s">
        <v>138</v>
      </c>
      <c r="R30" s="77"/>
    </row>
    <row r="31" spans="1:18" ht="15.75" thickBot="1" x14ac:dyDescent="0.3">
      <c r="A31" s="97" t="s">
        <v>80</v>
      </c>
      <c r="B31" s="98"/>
      <c r="C31" s="98"/>
      <c r="D31" s="99">
        <f>SUM(D28:D30)</f>
        <v>18</v>
      </c>
      <c r="E31" s="165">
        <f t="shared" si="0"/>
        <v>54</v>
      </c>
      <c r="F31" s="85">
        <f>D31*$F$27</f>
        <v>432</v>
      </c>
      <c r="G31" s="100">
        <f>D31*$G$27</f>
        <v>492.48</v>
      </c>
      <c r="H31" s="165"/>
      <c r="I31" s="77" t="s">
        <v>142</v>
      </c>
      <c r="J31" s="77">
        <v>10</v>
      </c>
      <c r="K31" s="77" t="s">
        <v>143</v>
      </c>
      <c r="L31" s="77">
        <v>4</v>
      </c>
      <c r="M31" s="77" t="s">
        <v>56</v>
      </c>
      <c r="N31" s="77"/>
      <c r="O31" s="9">
        <v>1470</v>
      </c>
      <c r="P31" s="77" t="s">
        <v>56</v>
      </c>
      <c r="Q31" s="77" t="s">
        <v>142</v>
      </c>
      <c r="R31" s="165"/>
    </row>
    <row r="32" spans="1:18" x14ac:dyDescent="0.25">
      <c r="A32" s="165"/>
      <c r="B32" s="165"/>
      <c r="C32" s="165"/>
      <c r="D32" s="165"/>
      <c r="E32" s="165"/>
      <c r="F32" s="165"/>
      <c r="G32" s="165"/>
      <c r="H32" s="165"/>
      <c r="I32" s="77" t="s">
        <v>144</v>
      </c>
      <c r="J32" s="77">
        <v>0.5</v>
      </c>
      <c r="K32" s="77" t="s">
        <v>145</v>
      </c>
      <c r="L32" s="77">
        <v>0.2</v>
      </c>
      <c r="M32" s="77" t="s">
        <v>56</v>
      </c>
      <c r="N32" s="77"/>
      <c r="O32" s="9">
        <v>73.5</v>
      </c>
      <c r="P32" s="77" t="s">
        <v>56</v>
      </c>
      <c r="Q32" s="77" t="s">
        <v>144</v>
      </c>
      <c r="R32" s="77"/>
    </row>
    <row r="33" spans="9:18" x14ac:dyDescent="0.25">
      <c r="I33" s="77" t="s">
        <v>159</v>
      </c>
      <c r="J33" s="77">
        <v>1</v>
      </c>
      <c r="K33" s="77" t="s">
        <v>147</v>
      </c>
      <c r="L33" s="77">
        <v>2</v>
      </c>
      <c r="M33" s="77" t="s">
        <v>56</v>
      </c>
      <c r="N33" s="77"/>
      <c r="O33" s="9">
        <v>735</v>
      </c>
      <c r="P33" s="77" t="s">
        <v>56</v>
      </c>
      <c r="Q33" s="77" t="s">
        <v>159</v>
      </c>
      <c r="R33" s="77"/>
    </row>
    <row r="34" spans="9:18" ht="75" x14ac:dyDescent="0.25">
      <c r="I34" s="5" t="s">
        <v>148</v>
      </c>
      <c r="J34" s="77">
        <v>5</v>
      </c>
      <c r="K34" s="77" t="s">
        <v>143</v>
      </c>
      <c r="L34" s="77">
        <v>2.2222222222222223</v>
      </c>
      <c r="M34" s="77" t="s">
        <v>56</v>
      </c>
      <c r="N34" s="77"/>
      <c r="O34" s="9">
        <v>816.66666666666674</v>
      </c>
      <c r="P34" s="77" t="s">
        <v>56</v>
      </c>
      <c r="Q34" s="77" t="s">
        <v>160</v>
      </c>
      <c r="R34" s="77"/>
    </row>
    <row r="35" spans="9:18" x14ac:dyDescent="0.25">
      <c r="I35" s="10" t="s">
        <v>149</v>
      </c>
      <c r="J35" s="11">
        <v>0</v>
      </c>
      <c r="K35" s="11" t="s">
        <v>143</v>
      </c>
      <c r="L35" s="11">
        <v>0</v>
      </c>
      <c r="M35" s="11" t="s">
        <v>56</v>
      </c>
      <c r="N35" s="11"/>
      <c r="O35" s="11">
        <v>0</v>
      </c>
      <c r="P35" s="77" t="s">
        <v>56</v>
      </c>
      <c r="Q35" s="77"/>
      <c r="R35" s="77"/>
    </row>
    <row r="36" spans="9:18" x14ac:dyDescent="0.25">
      <c r="I36" s="77" t="s">
        <v>161</v>
      </c>
      <c r="J36" s="77"/>
      <c r="K36" s="77"/>
      <c r="L36" s="8">
        <v>5.6444444444444439</v>
      </c>
      <c r="M36" s="77" t="s">
        <v>56</v>
      </c>
      <c r="N36" s="77"/>
      <c r="O36" s="9">
        <v>2074.3333333333335</v>
      </c>
      <c r="P36" s="77" t="s">
        <v>56</v>
      </c>
      <c r="Q36" s="77" t="s">
        <v>161</v>
      </c>
      <c r="R36" s="77"/>
    </row>
    <row r="37" spans="9:18" x14ac:dyDescent="0.25">
      <c r="I37" s="77"/>
      <c r="J37" s="77"/>
      <c r="K37" s="77"/>
      <c r="L37" s="77"/>
      <c r="M37" s="77"/>
      <c r="N37" s="77"/>
      <c r="O37" s="9"/>
      <c r="P37" s="77"/>
      <c r="Q37" s="12"/>
      <c r="R37" s="165"/>
    </row>
    <row r="38" spans="9:18" x14ac:dyDescent="0.25">
      <c r="I38" s="77"/>
      <c r="J38" s="77"/>
      <c r="K38" s="77" t="s">
        <v>162</v>
      </c>
      <c r="L38" s="13">
        <f>SUM(L20:L37)</f>
        <v>15</v>
      </c>
      <c r="M38" s="77" t="s">
        <v>56</v>
      </c>
      <c r="N38" s="77"/>
      <c r="O38" s="9">
        <v>5512.5</v>
      </c>
      <c r="P38" s="77" t="s">
        <v>56</v>
      </c>
      <c r="Q38" s="77"/>
      <c r="R38" s="165"/>
    </row>
  </sheetData>
  <mergeCells count="1">
    <mergeCell ref="A25:E25"/>
  </mergeCells>
  <pageMargins left="0.7" right="0.7" top="0.75" bottom="0.75" header="0.3" footer="0.3"/>
  <pageSetup orientation="portrait" horizontalDpi="300" verticalDpi="3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B6580-359F-47BC-9B72-E76F1586A26B}">
  <sheetPr codeName="Sheet4"/>
  <dimension ref="A1:AF193"/>
  <sheetViews>
    <sheetView zoomScale="85" zoomScaleNormal="85" workbookViewId="0">
      <selection activeCell="Q14" sqref="Q14"/>
    </sheetView>
  </sheetViews>
  <sheetFormatPr defaultRowHeight="15" x14ac:dyDescent="0.25"/>
  <cols>
    <col min="16" max="16" width="12.85546875" customWidth="1"/>
    <col min="19" max="19" width="12.85546875" customWidth="1"/>
    <col min="22" max="22" width="12" customWidth="1"/>
    <col min="25" max="25" width="15" customWidth="1"/>
  </cols>
  <sheetData>
    <row r="1" spans="1:29" ht="24" thickBot="1" x14ac:dyDescent="0.4">
      <c r="A1" s="165" t="s">
        <v>198</v>
      </c>
      <c r="B1" s="165" t="s">
        <v>199</v>
      </c>
      <c r="C1" s="165" t="s">
        <v>200</v>
      </c>
      <c r="D1" s="165" t="s">
        <v>201</v>
      </c>
      <c r="E1" s="165" t="s">
        <v>202</v>
      </c>
      <c r="F1" s="165"/>
      <c r="G1" s="165" t="s">
        <v>198</v>
      </c>
      <c r="H1" s="165" t="s">
        <v>199</v>
      </c>
      <c r="I1" s="165" t="s">
        <v>200</v>
      </c>
      <c r="J1" s="165" t="s">
        <v>201</v>
      </c>
      <c r="K1" s="165" t="s">
        <v>202</v>
      </c>
      <c r="L1" s="165" t="s">
        <v>203</v>
      </c>
      <c r="M1" s="165"/>
      <c r="N1" s="165"/>
      <c r="O1" s="310" t="s">
        <v>35</v>
      </c>
      <c r="P1" s="310"/>
      <c r="Q1" s="310"/>
      <c r="R1" s="310" t="s">
        <v>38</v>
      </c>
      <c r="S1" s="310"/>
      <c r="T1" s="310"/>
      <c r="U1" s="310" t="s">
        <v>41</v>
      </c>
      <c r="V1" s="310"/>
      <c r="W1" s="310"/>
      <c r="X1" s="310" t="s">
        <v>79</v>
      </c>
      <c r="Y1" s="310"/>
      <c r="Z1" s="310"/>
      <c r="AA1" s="165"/>
      <c r="AB1" s="165"/>
      <c r="AC1" s="165"/>
    </row>
    <row r="2" spans="1:29" ht="31.5" thickTop="1" thickBot="1" x14ac:dyDescent="0.3">
      <c r="A2" s="165" t="s">
        <v>204</v>
      </c>
      <c r="B2" s="165" t="s">
        <v>205</v>
      </c>
      <c r="C2" s="165" t="s">
        <v>206</v>
      </c>
      <c r="D2" s="165" t="s">
        <v>207</v>
      </c>
      <c r="E2" s="165">
        <v>32.69</v>
      </c>
      <c r="F2" s="165"/>
      <c r="G2" s="165" t="s">
        <v>204</v>
      </c>
      <c r="H2" s="165" t="s">
        <v>205</v>
      </c>
      <c r="I2" s="165" t="s">
        <v>206</v>
      </c>
      <c r="J2" s="165" t="s">
        <v>207</v>
      </c>
      <c r="K2" s="165">
        <v>32.69</v>
      </c>
      <c r="L2" s="165">
        <f>AVERAGE(K2:K4)</f>
        <v>32.786666666666669</v>
      </c>
      <c r="M2" s="165">
        <f>STDEV(K2:K4)</f>
        <v>8.7368949480542371E-2</v>
      </c>
      <c r="N2" s="165"/>
      <c r="O2" s="34" t="s">
        <v>208</v>
      </c>
      <c r="P2" s="35" t="s">
        <v>25</v>
      </c>
      <c r="Q2" s="34" t="s">
        <v>203</v>
      </c>
      <c r="R2" s="34" t="s">
        <v>208</v>
      </c>
      <c r="S2" s="35" t="s">
        <v>25</v>
      </c>
      <c r="T2" s="34" t="s">
        <v>203</v>
      </c>
      <c r="U2" s="34" t="s">
        <v>208</v>
      </c>
      <c r="V2" s="35" t="s">
        <v>25</v>
      </c>
      <c r="W2" s="34" t="s">
        <v>203</v>
      </c>
      <c r="X2" s="34" t="s">
        <v>208</v>
      </c>
      <c r="Y2" s="35" t="s">
        <v>25</v>
      </c>
      <c r="Z2" s="34" t="s">
        <v>203</v>
      </c>
      <c r="AA2" s="165"/>
      <c r="AB2" s="165"/>
      <c r="AC2" s="165"/>
    </row>
    <row r="3" spans="1:29" x14ac:dyDescent="0.25">
      <c r="A3" s="165" t="s">
        <v>204</v>
      </c>
      <c r="B3" s="165" t="s">
        <v>209</v>
      </c>
      <c r="C3" s="165" t="s">
        <v>206</v>
      </c>
      <c r="D3" s="165" t="s">
        <v>210</v>
      </c>
      <c r="E3" s="165">
        <v>28.51</v>
      </c>
      <c r="F3" s="165"/>
      <c r="G3" s="165" t="s">
        <v>211</v>
      </c>
      <c r="H3" s="165" t="s">
        <v>205</v>
      </c>
      <c r="I3" s="165" t="s">
        <v>206</v>
      </c>
      <c r="J3" s="165" t="s">
        <v>207</v>
      </c>
      <c r="K3" s="165">
        <v>32.86</v>
      </c>
      <c r="L3" s="165"/>
      <c r="M3" s="165"/>
      <c r="N3" s="165"/>
      <c r="O3" s="31" t="s">
        <v>30</v>
      </c>
      <c r="P3" s="32">
        <v>60220000000.000008</v>
      </c>
      <c r="Q3" s="33">
        <v>32.786666666666669</v>
      </c>
      <c r="R3" s="31" t="s">
        <v>30</v>
      </c>
      <c r="S3" s="32">
        <v>60220000000.000008</v>
      </c>
      <c r="T3" s="33">
        <v>31.933333333333326</v>
      </c>
      <c r="U3" s="31" t="s">
        <v>30</v>
      </c>
      <c r="V3" s="32">
        <v>60220000000.000008</v>
      </c>
      <c r="W3" s="33">
        <v>32.256666666666668</v>
      </c>
      <c r="X3" s="31" t="s">
        <v>30</v>
      </c>
      <c r="Y3" s="32">
        <v>60220000000.000008</v>
      </c>
      <c r="Z3" s="33">
        <v>32.81666666666667</v>
      </c>
      <c r="AA3" s="165"/>
      <c r="AB3" s="165"/>
      <c r="AC3" s="165"/>
    </row>
    <row r="4" spans="1:29" x14ac:dyDescent="0.25">
      <c r="A4" s="165" t="s">
        <v>211</v>
      </c>
      <c r="B4" s="165" t="s">
        <v>205</v>
      </c>
      <c r="C4" s="165" t="s">
        <v>206</v>
      </c>
      <c r="D4" s="165" t="s">
        <v>207</v>
      </c>
      <c r="E4" s="165">
        <v>32.86</v>
      </c>
      <c r="F4" s="165"/>
      <c r="G4" s="165" t="s">
        <v>212</v>
      </c>
      <c r="H4" s="165" t="s">
        <v>205</v>
      </c>
      <c r="I4" s="165" t="s">
        <v>206</v>
      </c>
      <c r="J4" s="165" t="s">
        <v>207</v>
      </c>
      <c r="K4" s="165">
        <v>32.81</v>
      </c>
      <c r="L4" s="165"/>
      <c r="M4" s="165"/>
      <c r="N4" s="165"/>
      <c r="O4" s="36" t="s">
        <v>31</v>
      </c>
      <c r="P4" s="38">
        <v>12044000000.000002</v>
      </c>
      <c r="Q4" s="37">
        <v>37.223333333333336</v>
      </c>
      <c r="R4" s="36" t="s">
        <v>31</v>
      </c>
      <c r="S4" s="38">
        <v>12044000000.000002</v>
      </c>
      <c r="T4" s="37">
        <v>36.396666666666668</v>
      </c>
      <c r="U4" s="36" t="s">
        <v>31</v>
      </c>
      <c r="V4" s="38">
        <v>12044000000.000002</v>
      </c>
      <c r="W4" s="37">
        <v>36.393333333333338</v>
      </c>
      <c r="X4" s="36" t="s">
        <v>31</v>
      </c>
      <c r="Y4" s="38">
        <v>12044000000.000002</v>
      </c>
      <c r="Z4" s="37">
        <v>36.860000000000007</v>
      </c>
      <c r="AA4" s="165"/>
      <c r="AB4" s="165"/>
      <c r="AC4" s="165"/>
    </row>
    <row r="5" spans="1:29" x14ac:dyDescent="0.25">
      <c r="A5" s="165" t="s">
        <v>211</v>
      </c>
      <c r="B5" s="165" t="s">
        <v>209</v>
      </c>
      <c r="C5" s="165" t="s">
        <v>206</v>
      </c>
      <c r="D5" s="165" t="s">
        <v>210</v>
      </c>
      <c r="E5" s="165">
        <v>28.57</v>
      </c>
      <c r="F5" s="165"/>
      <c r="G5" s="165" t="s">
        <v>213</v>
      </c>
      <c r="H5" s="165" t="s">
        <v>205</v>
      </c>
      <c r="I5" s="165" t="s">
        <v>206</v>
      </c>
      <c r="J5" s="165" t="s">
        <v>207</v>
      </c>
      <c r="K5" s="165">
        <v>36.950000000000003</v>
      </c>
      <c r="L5" s="165">
        <f>AVERAGE(K5:K7)</f>
        <v>37.223333333333336</v>
      </c>
      <c r="M5" s="165">
        <f>STDEV(K5:K7)</f>
        <v>0.41428653530296311</v>
      </c>
      <c r="N5" s="165"/>
      <c r="O5" s="36" t="s">
        <v>32</v>
      </c>
      <c r="P5" s="38">
        <v>1204400000.0000002</v>
      </c>
      <c r="Q5" s="37">
        <v>42.436666666666667</v>
      </c>
      <c r="R5" s="36" t="s">
        <v>32</v>
      </c>
      <c r="S5" s="38">
        <v>1204400000.0000002</v>
      </c>
      <c r="T5" s="37">
        <v>41.283333333333331</v>
      </c>
      <c r="U5" s="36" t="s">
        <v>32</v>
      </c>
      <c r="V5" s="38">
        <v>1204400000.0000002</v>
      </c>
      <c r="W5" s="37">
        <v>41.223333333333329</v>
      </c>
      <c r="X5" s="36" t="s">
        <v>32</v>
      </c>
      <c r="Y5" s="38">
        <v>1204400000.0000002</v>
      </c>
      <c r="Z5" s="37">
        <v>41.383333333333333</v>
      </c>
      <c r="AA5" s="165"/>
      <c r="AB5" s="165"/>
      <c r="AC5" s="165"/>
    </row>
    <row r="6" spans="1:29" x14ac:dyDescent="0.25">
      <c r="A6" s="165" t="s">
        <v>212</v>
      </c>
      <c r="B6" s="165" t="s">
        <v>205</v>
      </c>
      <c r="C6" s="165" t="s">
        <v>206</v>
      </c>
      <c r="D6" s="165" t="s">
        <v>207</v>
      </c>
      <c r="E6" s="165">
        <v>32.81</v>
      </c>
      <c r="F6" s="165"/>
      <c r="G6" s="165" t="s">
        <v>214</v>
      </c>
      <c r="H6" s="165" t="s">
        <v>205</v>
      </c>
      <c r="I6" s="165" t="s">
        <v>206</v>
      </c>
      <c r="J6" s="165" t="s">
        <v>207</v>
      </c>
      <c r="K6" s="165">
        <v>37.700000000000003</v>
      </c>
      <c r="L6" s="165"/>
      <c r="M6" s="165"/>
      <c r="N6" s="165"/>
      <c r="O6" s="36" t="s">
        <v>33</v>
      </c>
      <c r="P6" s="38">
        <v>120440000.00000003</v>
      </c>
      <c r="Q6" s="36"/>
      <c r="R6" s="36" t="s">
        <v>33</v>
      </c>
      <c r="S6" s="38">
        <v>120440000.00000003</v>
      </c>
      <c r="T6" s="36"/>
      <c r="U6" s="36" t="s">
        <v>33</v>
      </c>
      <c r="V6" s="38">
        <v>120440000.00000003</v>
      </c>
      <c r="W6" s="36"/>
      <c r="X6" s="36" t="s">
        <v>33</v>
      </c>
      <c r="Y6" s="38">
        <v>120440000.00000003</v>
      </c>
      <c r="Z6" s="36"/>
      <c r="AA6" s="165"/>
      <c r="AB6" s="165"/>
      <c r="AC6" s="165"/>
    </row>
    <row r="7" spans="1:29" x14ac:dyDescent="0.25">
      <c r="A7" s="165" t="s">
        <v>212</v>
      </c>
      <c r="B7" s="165" t="s">
        <v>209</v>
      </c>
      <c r="C7" s="165" t="s">
        <v>206</v>
      </c>
      <c r="D7" s="165" t="s">
        <v>210</v>
      </c>
      <c r="E7" s="165">
        <v>28.77</v>
      </c>
      <c r="F7" s="165"/>
      <c r="G7" s="165" t="s">
        <v>215</v>
      </c>
      <c r="H7" s="165" t="s">
        <v>205</v>
      </c>
      <c r="I7" s="165" t="s">
        <v>206</v>
      </c>
      <c r="J7" s="165" t="s">
        <v>207</v>
      </c>
      <c r="K7" s="165">
        <v>37.020000000000003</v>
      </c>
      <c r="L7" s="165"/>
      <c r="M7" s="165"/>
      <c r="N7" s="165"/>
      <c r="O7" s="36" t="s">
        <v>34</v>
      </c>
      <c r="P7" s="38">
        <v>12044000.000000004</v>
      </c>
      <c r="Q7" s="36"/>
      <c r="R7" s="36" t="s">
        <v>34</v>
      </c>
      <c r="S7" s="38">
        <v>12044000.000000004</v>
      </c>
      <c r="T7" s="36"/>
      <c r="U7" s="36" t="s">
        <v>34</v>
      </c>
      <c r="V7" s="38">
        <v>12044000.000000004</v>
      </c>
      <c r="W7" s="36"/>
      <c r="X7" s="36" t="s">
        <v>34</v>
      </c>
      <c r="Y7" s="38">
        <v>12044000.000000004</v>
      </c>
      <c r="Z7" s="36"/>
      <c r="AA7" s="165"/>
      <c r="AB7" s="165"/>
      <c r="AC7" s="165"/>
    </row>
    <row r="8" spans="1:29" x14ac:dyDescent="0.25">
      <c r="A8" s="165" t="s">
        <v>213</v>
      </c>
      <c r="B8" s="165" t="s">
        <v>205</v>
      </c>
      <c r="C8" s="165" t="s">
        <v>206</v>
      </c>
      <c r="D8" s="165" t="s">
        <v>207</v>
      </c>
      <c r="E8" s="165">
        <v>36.950000000000003</v>
      </c>
      <c r="F8" s="165"/>
      <c r="G8" s="165" t="s">
        <v>216</v>
      </c>
      <c r="H8" s="165" t="s">
        <v>205</v>
      </c>
      <c r="I8" s="165" t="s">
        <v>206</v>
      </c>
      <c r="J8" s="165" t="s">
        <v>207</v>
      </c>
      <c r="K8" s="165">
        <v>42.02</v>
      </c>
      <c r="L8" s="165">
        <f>AVERAGE(K8:K10)</f>
        <v>42.436666666666667</v>
      </c>
      <c r="M8" s="165">
        <f>STDEV(K8:K10)</f>
        <v>0.48562674281111351</v>
      </c>
      <c r="N8" s="165"/>
      <c r="O8" s="36" t="s">
        <v>35</v>
      </c>
      <c r="P8" s="38">
        <v>1204400.0000000005</v>
      </c>
      <c r="Q8" s="36"/>
      <c r="R8" s="36" t="s">
        <v>35</v>
      </c>
      <c r="S8" s="38">
        <v>1204400.0000000005</v>
      </c>
      <c r="T8" s="36"/>
      <c r="U8" s="36" t="s">
        <v>35</v>
      </c>
      <c r="V8" s="38">
        <v>1204400.0000000005</v>
      </c>
      <c r="W8" s="36"/>
      <c r="X8" s="36" t="s">
        <v>35</v>
      </c>
      <c r="Y8" s="38">
        <v>1204400.0000000005</v>
      </c>
      <c r="Z8" s="36"/>
      <c r="AA8" s="165"/>
      <c r="AB8" s="165"/>
      <c r="AC8" s="165"/>
    </row>
    <row r="9" spans="1:29" x14ac:dyDescent="0.25">
      <c r="A9" s="165" t="s">
        <v>213</v>
      </c>
      <c r="B9" s="165" t="s">
        <v>209</v>
      </c>
      <c r="C9" s="165" t="s">
        <v>206</v>
      </c>
      <c r="D9" s="165" t="s">
        <v>210</v>
      </c>
      <c r="E9" s="165">
        <v>29.86</v>
      </c>
      <c r="F9" s="165"/>
      <c r="G9" s="165" t="s">
        <v>217</v>
      </c>
      <c r="H9" s="165" t="s">
        <v>205</v>
      </c>
      <c r="I9" s="165" t="s">
        <v>206</v>
      </c>
      <c r="J9" s="165" t="s">
        <v>207</v>
      </c>
      <c r="K9" s="165">
        <v>42.32</v>
      </c>
      <c r="L9" s="165"/>
      <c r="M9" s="165"/>
      <c r="N9" s="165"/>
      <c r="O9" s="36" t="s">
        <v>36</v>
      </c>
      <c r="P9" s="38">
        <v>120440.00000000004</v>
      </c>
      <c r="Q9" s="36"/>
      <c r="R9" s="36" t="s">
        <v>36</v>
      </c>
      <c r="S9" s="38">
        <v>120440.00000000004</v>
      </c>
      <c r="T9" s="36"/>
      <c r="U9" s="36" t="s">
        <v>36</v>
      </c>
      <c r="V9" s="38">
        <v>120440.00000000004</v>
      </c>
      <c r="W9" s="36"/>
      <c r="X9" s="36" t="s">
        <v>36</v>
      </c>
      <c r="Y9" s="38">
        <v>120440.00000000004</v>
      </c>
      <c r="Z9" s="36"/>
      <c r="AA9" s="165"/>
      <c r="AB9" s="165"/>
      <c r="AC9" s="165"/>
    </row>
    <row r="10" spans="1:29" x14ac:dyDescent="0.25">
      <c r="A10" s="165" t="s">
        <v>214</v>
      </c>
      <c r="B10" s="165" t="s">
        <v>205</v>
      </c>
      <c r="C10" s="165" t="s">
        <v>206</v>
      </c>
      <c r="D10" s="165" t="s">
        <v>207</v>
      </c>
      <c r="E10" s="165">
        <v>37.700000000000003</v>
      </c>
      <c r="F10" s="165"/>
      <c r="G10" s="165" t="s">
        <v>218</v>
      </c>
      <c r="H10" s="165" t="s">
        <v>205</v>
      </c>
      <c r="I10" s="165" t="s">
        <v>206</v>
      </c>
      <c r="J10" s="165" t="s">
        <v>207</v>
      </c>
      <c r="K10" s="165">
        <v>42.97</v>
      </c>
      <c r="L10" s="165"/>
      <c r="M10" s="165"/>
      <c r="N10" s="165"/>
      <c r="O10" s="36" t="s">
        <v>37</v>
      </c>
      <c r="P10" s="38">
        <v>12044.000000000004</v>
      </c>
      <c r="Q10" s="36"/>
      <c r="R10" s="36" t="s">
        <v>37</v>
      </c>
      <c r="S10" s="38">
        <v>12044.000000000004</v>
      </c>
      <c r="T10" s="36"/>
      <c r="U10" s="36" t="s">
        <v>37</v>
      </c>
      <c r="V10" s="38">
        <v>12044.000000000004</v>
      </c>
      <c r="W10" s="36"/>
      <c r="X10" s="36" t="s">
        <v>37</v>
      </c>
      <c r="Y10" s="38">
        <v>12044.000000000004</v>
      </c>
      <c r="Z10" s="36"/>
      <c r="AA10" s="165"/>
      <c r="AB10" s="165"/>
      <c r="AC10" s="165"/>
    </row>
    <row r="11" spans="1:29" x14ac:dyDescent="0.25">
      <c r="A11" s="165" t="s">
        <v>214</v>
      </c>
      <c r="B11" s="165" t="s">
        <v>209</v>
      </c>
      <c r="C11" s="165" t="s">
        <v>206</v>
      </c>
      <c r="D11" s="165" t="s">
        <v>210</v>
      </c>
      <c r="E11" s="165">
        <v>29.44</v>
      </c>
      <c r="F11" s="165"/>
      <c r="G11" s="165" t="s">
        <v>219</v>
      </c>
      <c r="H11" s="165" t="s">
        <v>205</v>
      </c>
      <c r="I11" s="165" t="s">
        <v>206</v>
      </c>
      <c r="J11" s="165" t="s">
        <v>207</v>
      </c>
      <c r="K11" s="165" t="s">
        <v>220</v>
      </c>
      <c r="L11" s="165"/>
      <c r="M11" s="165"/>
      <c r="N11" s="165"/>
      <c r="O11" s="165"/>
      <c r="P11" s="165"/>
      <c r="Q11" s="165"/>
      <c r="R11" s="165"/>
      <c r="S11" s="165"/>
      <c r="T11" s="165"/>
      <c r="U11" s="165"/>
      <c r="V11" s="165"/>
      <c r="W11" s="165"/>
      <c r="X11" s="165"/>
      <c r="Y11" s="165"/>
      <c r="Z11" s="165"/>
      <c r="AA11" s="165"/>
      <c r="AB11" s="165"/>
      <c r="AC11" s="165"/>
    </row>
    <row r="12" spans="1:29" x14ac:dyDescent="0.25">
      <c r="A12" s="165" t="s">
        <v>215</v>
      </c>
      <c r="B12" s="165" t="s">
        <v>205</v>
      </c>
      <c r="C12" s="165" t="s">
        <v>206</v>
      </c>
      <c r="D12" s="165" t="s">
        <v>207</v>
      </c>
      <c r="E12" s="165">
        <v>37.020000000000003</v>
      </c>
      <c r="F12" s="165"/>
      <c r="G12" s="165" t="s">
        <v>221</v>
      </c>
      <c r="H12" s="165" t="s">
        <v>205</v>
      </c>
      <c r="I12" s="165" t="s">
        <v>206</v>
      </c>
      <c r="J12" s="165" t="s">
        <v>207</v>
      </c>
      <c r="K12" s="165" t="s">
        <v>220</v>
      </c>
      <c r="L12" s="165"/>
      <c r="M12" s="165"/>
      <c r="N12" s="165"/>
      <c r="O12" s="165"/>
      <c r="P12" s="165"/>
      <c r="Q12" s="165"/>
      <c r="R12" s="165"/>
      <c r="S12" s="165"/>
      <c r="T12" s="165"/>
      <c r="U12" s="165"/>
      <c r="V12" s="165"/>
      <c r="W12" s="165"/>
      <c r="X12" s="165"/>
      <c r="Y12" s="165"/>
      <c r="Z12" s="165"/>
      <c r="AA12" s="165"/>
      <c r="AB12" s="165"/>
      <c r="AC12" s="165"/>
    </row>
    <row r="13" spans="1:29" x14ac:dyDescent="0.25">
      <c r="A13" s="165" t="s">
        <v>215</v>
      </c>
      <c r="B13" s="165" t="s">
        <v>209</v>
      </c>
      <c r="C13" s="165" t="s">
        <v>206</v>
      </c>
      <c r="D13" s="165" t="s">
        <v>210</v>
      </c>
      <c r="E13" s="165">
        <v>29.31</v>
      </c>
      <c r="F13" s="165"/>
      <c r="G13" s="165" t="s">
        <v>222</v>
      </c>
      <c r="H13" s="165" t="s">
        <v>205</v>
      </c>
      <c r="I13" s="165" t="s">
        <v>206</v>
      </c>
      <c r="J13" s="165" t="s">
        <v>207</v>
      </c>
      <c r="K13" s="165" t="s">
        <v>220</v>
      </c>
      <c r="L13" s="165"/>
      <c r="M13" s="165"/>
      <c r="N13" s="165"/>
      <c r="O13" s="165"/>
      <c r="P13" s="165"/>
      <c r="Q13" s="165"/>
      <c r="R13" s="165"/>
      <c r="S13" s="165"/>
      <c r="T13" s="165"/>
      <c r="U13" s="165"/>
      <c r="V13" s="165"/>
      <c r="W13" s="165"/>
      <c r="X13" s="165"/>
      <c r="Y13" s="165"/>
      <c r="Z13" s="165"/>
      <c r="AA13" s="165"/>
      <c r="AB13" s="165"/>
      <c r="AC13" s="165"/>
    </row>
    <row r="14" spans="1:29" ht="45" x14ac:dyDescent="0.25">
      <c r="A14" s="165" t="s">
        <v>216</v>
      </c>
      <c r="B14" s="165" t="s">
        <v>205</v>
      </c>
      <c r="C14" s="165" t="s">
        <v>206</v>
      </c>
      <c r="D14" s="165" t="s">
        <v>207</v>
      </c>
      <c r="E14" s="165">
        <v>42.02</v>
      </c>
      <c r="F14" s="165"/>
      <c r="G14" s="165" t="s">
        <v>223</v>
      </c>
      <c r="H14" s="165" t="s">
        <v>205</v>
      </c>
      <c r="I14" s="165" t="s">
        <v>206</v>
      </c>
      <c r="J14" s="165" t="s">
        <v>207</v>
      </c>
      <c r="K14" s="165" t="s">
        <v>220</v>
      </c>
      <c r="L14" s="165"/>
      <c r="M14" s="165"/>
      <c r="N14" s="165"/>
      <c r="O14" s="165" t="s">
        <v>208</v>
      </c>
      <c r="P14" s="90" t="s">
        <v>25</v>
      </c>
      <c r="Q14" s="23" t="s">
        <v>224</v>
      </c>
      <c r="R14" s="23" t="s">
        <v>225</v>
      </c>
      <c r="S14" s="23" t="s">
        <v>226</v>
      </c>
      <c r="T14" s="23" t="s">
        <v>227</v>
      </c>
      <c r="U14" s="23" t="s">
        <v>228</v>
      </c>
      <c r="V14" s="23" t="s">
        <v>229</v>
      </c>
      <c r="W14" s="23" t="s">
        <v>227</v>
      </c>
      <c r="X14" s="23" t="s">
        <v>230</v>
      </c>
      <c r="Y14" s="23" t="s">
        <v>231</v>
      </c>
      <c r="Z14" s="23" t="s">
        <v>227</v>
      </c>
      <c r="AA14" s="23" t="s">
        <v>232</v>
      </c>
      <c r="AB14" s="23" t="s">
        <v>233</v>
      </c>
      <c r="AC14" s="23" t="s">
        <v>227</v>
      </c>
    </row>
    <row r="15" spans="1:29" x14ac:dyDescent="0.25">
      <c r="A15" s="165" t="s">
        <v>216</v>
      </c>
      <c r="B15" s="165" t="s">
        <v>209</v>
      </c>
      <c r="C15" s="165" t="s">
        <v>206</v>
      </c>
      <c r="D15" s="165" t="s">
        <v>210</v>
      </c>
      <c r="E15" s="165">
        <v>29.86</v>
      </c>
      <c r="F15" s="165"/>
      <c r="G15" s="165" t="s">
        <v>234</v>
      </c>
      <c r="H15" s="165" t="s">
        <v>205</v>
      </c>
      <c r="I15" s="165" t="s">
        <v>206</v>
      </c>
      <c r="J15" s="165" t="s">
        <v>207</v>
      </c>
      <c r="K15" s="165" t="s">
        <v>220</v>
      </c>
      <c r="L15" s="165"/>
      <c r="M15" s="165"/>
      <c r="N15" s="165"/>
      <c r="O15" s="165" t="s">
        <v>30</v>
      </c>
      <c r="P15" s="89">
        <v>60220000000.000008</v>
      </c>
      <c r="Q15" s="165">
        <f>LOG(P15)</f>
        <v>10.779740751176741</v>
      </c>
      <c r="R15" s="165">
        <v>32.786666666666669</v>
      </c>
      <c r="S15" s="165">
        <v>8.7368949480542371E-2</v>
      </c>
      <c r="T15" s="165">
        <f>2*S15</f>
        <v>0.17473789896108474</v>
      </c>
      <c r="U15" s="165">
        <v>31.933333333333326</v>
      </c>
      <c r="V15" s="165">
        <v>0.50520622851795016</v>
      </c>
      <c r="W15" s="165">
        <f>2*V15</f>
        <v>1.0104124570359003</v>
      </c>
      <c r="X15" s="165">
        <v>32.256666666666668</v>
      </c>
      <c r="Y15" s="165">
        <v>0.13503086067019551</v>
      </c>
      <c r="Z15" s="165">
        <f>2*Y15</f>
        <v>0.27006172134039103</v>
      </c>
      <c r="AA15" s="165">
        <v>32.81666666666667</v>
      </c>
      <c r="AB15" s="165">
        <v>0.31785741037976961</v>
      </c>
      <c r="AC15" s="165">
        <f>2*AB15</f>
        <v>0.63571482075953922</v>
      </c>
    </row>
    <row r="16" spans="1:29" x14ac:dyDescent="0.25">
      <c r="A16" s="165" t="s">
        <v>217</v>
      </c>
      <c r="B16" s="165" t="s">
        <v>205</v>
      </c>
      <c r="C16" s="165" t="s">
        <v>206</v>
      </c>
      <c r="D16" s="165" t="s">
        <v>207</v>
      </c>
      <c r="E16" s="165">
        <v>42.32</v>
      </c>
      <c r="F16" s="165"/>
      <c r="G16" s="165" t="s">
        <v>235</v>
      </c>
      <c r="H16" s="165" t="s">
        <v>205</v>
      </c>
      <c r="I16" s="165" t="s">
        <v>206</v>
      </c>
      <c r="J16" s="165" t="s">
        <v>207</v>
      </c>
      <c r="K16" s="165" t="s">
        <v>220</v>
      </c>
      <c r="L16" s="165"/>
      <c r="M16" s="165"/>
      <c r="N16" s="165"/>
      <c r="O16" s="165" t="s">
        <v>31</v>
      </c>
      <c r="P16" s="165">
        <v>12044000000.000002</v>
      </c>
      <c r="Q16" s="165">
        <f t="shared" ref="Q16:Q17" si="0">LOG(P16)</f>
        <v>10.080770746840722</v>
      </c>
      <c r="R16" s="165">
        <v>37.223333333333336</v>
      </c>
      <c r="S16" s="165">
        <v>0.41428653530296311</v>
      </c>
      <c r="T16" s="165">
        <f t="shared" ref="T16:T17" si="1">2*S16</f>
        <v>0.82857307060592622</v>
      </c>
      <c r="U16" s="165">
        <v>36.396666666666668</v>
      </c>
      <c r="V16" s="165">
        <v>0.20792626898334285</v>
      </c>
      <c r="W16" s="165">
        <f t="shared" ref="W16:W17" si="2">2*V16</f>
        <v>0.4158525379666857</v>
      </c>
      <c r="X16" s="165">
        <v>36.393333333333338</v>
      </c>
      <c r="Y16" s="165">
        <v>0.11846237095944676</v>
      </c>
      <c r="Z16" s="165">
        <f t="shared" ref="Z16:Z17" si="3">2*Y16</f>
        <v>0.23692474191889351</v>
      </c>
      <c r="AA16" s="165">
        <v>36.860000000000007</v>
      </c>
      <c r="AB16" s="165">
        <v>0.52459508194415971</v>
      </c>
      <c r="AC16" s="165">
        <f t="shared" ref="AC16:AC17" si="4">2*AB16</f>
        <v>1.0491901638883194</v>
      </c>
    </row>
    <row r="17" spans="1:32" x14ac:dyDescent="0.25">
      <c r="A17" s="165" t="s">
        <v>217</v>
      </c>
      <c r="B17" s="165" t="s">
        <v>209</v>
      </c>
      <c r="C17" s="165" t="s">
        <v>206</v>
      </c>
      <c r="D17" s="165" t="s">
        <v>210</v>
      </c>
      <c r="E17" s="165">
        <v>29.96</v>
      </c>
      <c r="F17" s="165"/>
      <c r="G17" s="165" t="s">
        <v>236</v>
      </c>
      <c r="H17" s="165" t="s">
        <v>205</v>
      </c>
      <c r="I17" s="165" t="s">
        <v>206</v>
      </c>
      <c r="J17" s="165" t="s">
        <v>207</v>
      </c>
      <c r="K17" s="165" t="s">
        <v>220</v>
      </c>
      <c r="L17" s="165"/>
      <c r="M17" s="165"/>
      <c r="N17" s="165"/>
      <c r="O17" s="165" t="s">
        <v>32</v>
      </c>
      <c r="P17" s="165">
        <v>1204400000.0000002</v>
      </c>
      <c r="Q17" s="165">
        <f t="shared" si="0"/>
        <v>9.0807707468407219</v>
      </c>
      <c r="R17" s="165">
        <v>42.436666666666667</v>
      </c>
      <c r="S17" s="165">
        <v>0.48562674281111351</v>
      </c>
      <c r="T17" s="165">
        <f t="shared" si="1"/>
        <v>0.97125348562222702</v>
      </c>
      <c r="U17" s="165">
        <v>41.283333333333331</v>
      </c>
      <c r="V17" s="165">
        <v>0.32715949219506923</v>
      </c>
      <c r="W17" s="165">
        <f t="shared" si="2"/>
        <v>0.65431898439013847</v>
      </c>
      <c r="X17" s="165">
        <v>41.223333333333329</v>
      </c>
      <c r="Y17" s="165">
        <v>0.30599564267050233</v>
      </c>
      <c r="Z17" s="165">
        <f t="shared" si="3"/>
        <v>0.61199128534100466</v>
      </c>
      <c r="AA17" s="165">
        <v>41.383333333333333</v>
      </c>
      <c r="AB17" s="165">
        <v>0.16502525059315384</v>
      </c>
      <c r="AC17" s="165">
        <f t="shared" si="4"/>
        <v>0.33005050118630769</v>
      </c>
      <c r="AD17" s="165"/>
      <c r="AE17" s="165"/>
      <c r="AF17" s="165"/>
    </row>
    <row r="18" spans="1:32" x14ac:dyDescent="0.25">
      <c r="A18" s="165" t="s">
        <v>218</v>
      </c>
      <c r="B18" s="165" t="s">
        <v>205</v>
      </c>
      <c r="C18" s="165" t="s">
        <v>206</v>
      </c>
      <c r="D18" s="165" t="s">
        <v>207</v>
      </c>
      <c r="E18" s="165">
        <v>42.97</v>
      </c>
      <c r="F18" s="165"/>
      <c r="G18" s="165" t="s">
        <v>237</v>
      </c>
      <c r="H18" s="165" t="s">
        <v>205</v>
      </c>
      <c r="I18" s="165" t="s">
        <v>206</v>
      </c>
      <c r="J18" s="165" t="s">
        <v>207</v>
      </c>
      <c r="K18" s="165" t="s">
        <v>220</v>
      </c>
      <c r="L18" s="165"/>
      <c r="M18" s="165"/>
      <c r="N18" s="165"/>
      <c r="O18" s="165"/>
      <c r="P18" s="165"/>
      <c r="Q18" s="165"/>
      <c r="R18" s="165"/>
      <c r="S18" s="165"/>
      <c r="T18" s="165"/>
      <c r="U18" s="165"/>
      <c r="V18" s="165"/>
      <c r="W18" s="165"/>
      <c r="X18" s="165"/>
      <c r="Y18" s="165"/>
      <c r="Z18" s="165"/>
      <c r="AA18" s="165"/>
      <c r="AB18" s="165"/>
      <c r="AC18" s="165"/>
      <c r="AD18" s="165"/>
      <c r="AE18" s="165"/>
      <c r="AF18" s="165"/>
    </row>
    <row r="19" spans="1:32" x14ac:dyDescent="0.25">
      <c r="A19" s="165" t="s">
        <v>218</v>
      </c>
      <c r="B19" s="165" t="s">
        <v>209</v>
      </c>
      <c r="C19" s="165" t="s">
        <v>206</v>
      </c>
      <c r="D19" s="165" t="s">
        <v>210</v>
      </c>
      <c r="E19" s="165">
        <v>30.2</v>
      </c>
      <c r="F19" s="165"/>
      <c r="G19" s="165" t="s">
        <v>238</v>
      </c>
      <c r="H19" s="165" t="s">
        <v>205</v>
      </c>
      <c r="I19" s="165" t="s">
        <v>206</v>
      </c>
      <c r="J19" s="165" t="s">
        <v>207</v>
      </c>
      <c r="K19" s="165" t="s">
        <v>220</v>
      </c>
      <c r="L19" s="165"/>
      <c r="M19" s="165"/>
      <c r="N19" s="165"/>
      <c r="O19" s="165"/>
      <c r="P19" s="165"/>
      <c r="Q19" s="165"/>
      <c r="R19" s="165"/>
      <c r="S19" s="165"/>
      <c r="T19" s="165"/>
      <c r="U19" s="165"/>
      <c r="V19" s="165"/>
      <c r="W19" s="165"/>
      <c r="X19" s="165"/>
      <c r="Y19" s="165"/>
      <c r="Z19" s="165"/>
      <c r="AA19" s="165"/>
      <c r="AB19" s="165"/>
      <c r="AC19" s="165"/>
      <c r="AD19" s="165"/>
      <c r="AE19" s="165"/>
      <c r="AF19" s="165"/>
    </row>
    <row r="20" spans="1:32" x14ac:dyDescent="0.25">
      <c r="A20" s="165" t="s">
        <v>219</v>
      </c>
      <c r="B20" s="165" t="s">
        <v>205</v>
      </c>
      <c r="C20" s="165" t="s">
        <v>206</v>
      </c>
      <c r="D20" s="165" t="s">
        <v>207</v>
      </c>
      <c r="E20" s="165" t="s">
        <v>220</v>
      </c>
      <c r="F20" s="165"/>
      <c r="G20" s="165" t="s">
        <v>239</v>
      </c>
      <c r="H20" s="165" t="s">
        <v>205</v>
      </c>
      <c r="I20" s="165" t="s">
        <v>206</v>
      </c>
      <c r="J20" s="165" t="s">
        <v>207</v>
      </c>
      <c r="K20" s="165" t="s">
        <v>220</v>
      </c>
      <c r="L20" s="165"/>
      <c r="M20" s="165"/>
      <c r="N20" s="165"/>
      <c r="O20" s="165"/>
      <c r="P20" s="165"/>
      <c r="Q20" s="165"/>
      <c r="R20" s="165"/>
      <c r="S20" s="165"/>
      <c r="T20" s="165"/>
      <c r="U20" s="165"/>
      <c r="V20" s="165"/>
      <c r="W20" s="165"/>
      <c r="X20" s="165"/>
      <c r="Y20" s="165"/>
      <c r="Z20" s="165"/>
      <c r="AA20" s="165"/>
      <c r="AB20" s="165"/>
      <c r="AC20" s="165"/>
      <c r="AD20" s="165" t="s">
        <v>147</v>
      </c>
      <c r="AE20" s="165" t="s">
        <v>240</v>
      </c>
      <c r="AF20" s="120" t="s">
        <v>241</v>
      </c>
    </row>
    <row r="21" spans="1:32" x14ac:dyDescent="0.25">
      <c r="A21" s="165" t="s">
        <v>219</v>
      </c>
      <c r="B21" s="165" t="s">
        <v>209</v>
      </c>
      <c r="C21" s="165" t="s">
        <v>206</v>
      </c>
      <c r="D21" s="165" t="s">
        <v>210</v>
      </c>
      <c r="E21" s="165">
        <v>29.96</v>
      </c>
      <c r="F21" s="165"/>
      <c r="G21" s="165" t="s">
        <v>242</v>
      </c>
      <c r="H21" s="165" t="s">
        <v>205</v>
      </c>
      <c r="I21" s="165" t="s">
        <v>206</v>
      </c>
      <c r="J21" s="165" t="s">
        <v>207</v>
      </c>
      <c r="K21" s="165" t="s">
        <v>220</v>
      </c>
      <c r="L21" s="165"/>
      <c r="M21" s="165"/>
      <c r="N21" s="165"/>
      <c r="O21" s="165"/>
      <c r="P21" s="165"/>
      <c r="Q21" s="165"/>
      <c r="R21" s="165"/>
      <c r="S21" s="165"/>
      <c r="T21" s="165"/>
      <c r="U21" s="165"/>
      <c r="V21" s="165"/>
      <c r="W21" s="165"/>
      <c r="X21" s="165"/>
      <c r="Y21" s="165"/>
      <c r="Z21" s="165"/>
      <c r="AA21" s="165"/>
      <c r="AB21" s="165"/>
      <c r="AC21" s="165" t="s">
        <v>35</v>
      </c>
      <c r="AD21" s="165">
        <f t="array" ref="AD21:AE21">LINEST(R15:R17,Q15:Q17)</f>
        <v>-5.6478085522669561</v>
      </c>
      <c r="AE21" s="165">
        <v>93.849765531671835</v>
      </c>
      <c r="AF21" s="120">
        <f>10^(-1/AD21)-1</f>
        <v>0.50334904513464007</v>
      </c>
    </row>
    <row r="22" spans="1:32" x14ac:dyDescent="0.25">
      <c r="A22" s="165" t="s">
        <v>221</v>
      </c>
      <c r="B22" s="165" t="s">
        <v>205</v>
      </c>
      <c r="C22" s="165" t="s">
        <v>206</v>
      </c>
      <c r="D22" s="165" t="s">
        <v>207</v>
      </c>
      <c r="E22" s="165" t="s">
        <v>220</v>
      </c>
      <c r="F22" s="165"/>
      <c r="G22" s="165" t="s">
        <v>243</v>
      </c>
      <c r="H22" s="165" t="s">
        <v>205</v>
      </c>
      <c r="I22" s="165" t="s">
        <v>206</v>
      </c>
      <c r="J22" s="165" t="s">
        <v>207</v>
      </c>
      <c r="K22" s="165" t="s">
        <v>220</v>
      </c>
      <c r="L22" s="165"/>
      <c r="M22" s="165"/>
      <c r="N22" s="165"/>
      <c r="O22" s="165"/>
      <c r="P22" s="165"/>
      <c r="Q22" s="165"/>
      <c r="R22" s="165"/>
      <c r="S22" s="165"/>
      <c r="T22" s="165"/>
      <c r="U22" s="165"/>
      <c r="V22" s="165"/>
      <c r="W22" s="165"/>
      <c r="X22" s="165"/>
      <c r="Y22" s="165"/>
      <c r="Z22" s="165"/>
      <c r="AA22" s="165"/>
      <c r="AB22" s="165"/>
      <c r="AC22" s="165" t="s">
        <v>38</v>
      </c>
      <c r="AD22" s="165">
        <f t="array" ref="AD22:AE22">LINEST(U15:U17,Q15:Q17)</f>
        <v>-5.4609039578135441</v>
      </c>
      <c r="AE22" s="165">
        <v>91.039933348763924</v>
      </c>
      <c r="AF22" s="120">
        <f t="shared" ref="AF22:AF24" si="5">10^(-1/AD22)-1</f>
        <v>0.52447345230994502</v>
      </c>
    </row>
    <row r="23" spans="1:32" x14ac:dyDescent="0.25">
      <c r="A23" s="165" t="s">
        <v>221</v>
      </c>
      <c r="B23" s="165" t="s">
        <v>209</v>
      </c>
      <c r="C23" s="165" t="s">
        <v>206</v>
      </c>
      <c r="D23" s="165" t="s">
        <v>210</v>
      </c>
      <c r="E23" s="165">
        <v>29.95</v>
      </c>
      <c r="F23" s="165"/>
      <c r="G23" s="165" t="s">
        <v>244</v>
      </c>
      <c r="H23" s="165" t="s">
        <v>205</v>
      </c>
      <c r="I23" s="165" t="s">
        <v>206</v>
      </c>
      <c r="J23" s="165" t="s">
        <v>207</v>
      </c>
      <c r="K23" s="165" t="s">
        <v>220</v>
      </c>
      <c r="L23" s="165"/>
      <c r="M23" s="165"/>
      <c r="N23" s="165"/>
      <c r="O23" s="165"/>
      <c r="P23" s="165"/>
      <c r="Q23" s="165"/>
      <c r="R23" s="165"/>
      <c r="S23" s="165"/>
      <c r="T23" s="165"/>
      <c r="U23" s="165"/>
      <c r="V23" s="165"/>
      <c r="W23" s="165"/>
      <c r="X23" s="165"/>
      <c r="Y23" s="165"/>
      <c r="Z23" s="165"/>
      <c r="AA23" s="165"/>
      <c r="AB23" s="165"/>
      <c r="AC23" s="165" t="s">
        <v>41</v>
      </c>
      <c r="AD23" s="165">
        <f t="array" ref="AD23:AE23">LINEST(X15:X17,Q15:Q17)</f>
        <v>-5.2469025268466725</v>
      </c>
      <c r="AE23" s="165">
        <v>88.990774266969709</v>
      </c>
      <c r="AF23" s="120">
        <f t="shared" si="5"/>
        <v>0.55091728704847975</v>
      </c>
    </row>
    <row r="24" spans="1:32" x14ac:dyDescent="0.25">
      <c r="A24" s="165" t="s">
        <v>222</v>
      </c>
      <c r="B24" s="165" t="s">
        <v>205</v>
      </c>
      <c r="C24" s="165" t="s">
        <v>206</v>
      </c>
      <c r="D24" s="165" t="s">
        <v>207</v>
      </c>
      <c r="E24" s="165" t="s">
        <v>220</v>
      </c>
      <c r="F24" s="165"/>
      <c r="G24" s="165" t="s">
        <v>245</v>
      </c>
      <c r="H24" s="165" t="s">
        <v>205</v>
      </c>
      <c r="I24" s="165" t="s">
        <v>206</v>
      </c>
      <c r="J24" s="165" t="s">
        <v>207</v>
      </c>
      <c r="K24" s="165" t="s">
        <v>220</v>
      </c>
      <c r="L24" s="165"/>
      <c r="M24" s="165"/>
      <c r="N24" s="165"/>
      <c r="O24" s="165"/>
      <c r="P24" s="165"/>
      <c r="Q24" s="165"/>
      <c r="R24" s="165"/>
      <c r="S24" s="165"/>
      <c r="T24" s="165"/>
      <c r="U24" s="165"/>
      <c r="V24" s="165"/>
      <c r="W24" s="165"/>
      <c r="X24" s="165"/>
      <c r="Y24" s="165"/>
      <c r="Z24" s="165"/>
      <c r="AA24" s="165"/>
      <c r="AB24" s="165"/>
      <c r="AC24" s="165" t="s">
        <v>246</v>
      </c>
      <c r="AD24" s="165">
        <f t="array" ref="AD24:AE24">LINEST(AA15:AA17,Q15:Q17)</f>
        <v>-5.0065647222884717</v>
      </c>
      <c r="AE24" s="165">
        <v>86.987655809063057</v>
      </c>
      <c r="AF24" s="120">
        <f t="shared" si="5"/>
        <v>0.58393645871582645</v>
      </c>
    </row>
    <row r="25" spans="1:32" x14ac:dyDescent="0.25">
      <c r="A25" s="165" t="s">
        <v>222</v>
      </c>
      <c r="B25" s="165" t="s">
        <v>209</v>
      </c>
      <c r="C25" s="165" t="s">
        <v>206</v>
      </c>
      <c r="D25" s="165" t="s">
        <v>210</v>
      </c>
      <c r="E25" s="165">
        <v>30.14</v>
      </c>
      <c r="F25" s="165"/>
      <c r="G25" s="165" t="s">
        <v>247</v>
      </c>
      <c r="H25" s="165" t="s">
        <v>205</v>
      </c>
      <c r="I25" s="165" t="s">
        <v>206</v>
      </c>
      <c r="J25" s="165" t="s">
        <v>207</v>
      </c>
      <c r="K25" s="165" t="s">
        <v>220</v>
      </c>
      <c r="L25" s="165"/>
      <c r="M25" s="165"/>
      <c r="N25" s="165"/>
      <c r="O25" s="165"/>
      <c r="P25" s="165"/>
      <c r="Q25" s="165"/>
      <c r="R25" s="165"/>
      <c r="S25" s="165"/>
      <c r="T25" s="165"/>
      <c r="U25" s="165"/>
      <c r="V25" s="165"/>
      <c r="W25" s="165"/>
      <c r="X25" s="165"/>
      <c r="Y25" s="165"/>
      <c r="Z25" s="165"/>
      <c r="AA25" s="165"/>
      <c r="AB25" s="165"/>
      <c r="AC25" s="165"/>
      <c r="AD25" s="165"/>
      <c r="AE25" s="165"/>
      <c r="AF25" s="165"/>
    </row>
    <row r="26" spans="1:32" x14ac:dyDescent="0.25">
      <c r="A26" s="165" t="s">
        <v>223</v>
      </c>
      <c r="B26" s="165" t="s">
        <v>205</v>
      </c>
      <c r="C26" s="165" t="s">
        <v>206</v>
      </c>
      <c r="D26" s="165" t="s">
        <v>207</v>
      </c>
      <c r="E26" s="165" t="s">
        <v>220</v>
      </c>
      <c r="F26" s="165"/>
      <c r="G26" s="165" t="s">
        <v>248</v>
      </c>
      <c r="H26" s="165" t="s">
        <v>205</v>
      </c>
      <c r="I26" s="165" t="s">
        <v>206</v>
      </c>
      <c r="J26" s="165" t="s">
        <v>207</v>
      </c>
      <c r="K26" s="165">
        <v>32.229999999999997</v>
      </c>
      <c r="L26" s="165">
        <f>AVERAGE(K26:K28)</f>
        <v>31.933333333333326</v>
      </c>
      <c r="M26" s="165">
        <f>STDEV(K26:K28)</f>
        <v>0.50520622851795016</v>
      </c>
      <c r="N26" s="165"/>
      <c r="O26" s="165"/>
      <c r="P26" s="165"/>
      <c r="Q26" s="165"/>
      <c r="R26" s="165"/>
      <c r="S26" s="165"/>
      <c r="T26" s="165"/>
      <c r="U26" s="165"/>
      <c r="V26" s="165"/>
      <c r="W26" s="165"/>
      <c r="X26" s="165"/>
      <c r="Y26" s="165"/>
      <c r="Z26" s="165"/>
      <c r="AA26" s="165"/>
      <c r="AB26" s="165"/>
      <c r="AC26" s="165"/>
      <c r="AD26" s="165"/>
      <c r="AE26" s="165"/>
      <c r="AF26" s="165"/>
    </row>
    <row r="27" spans="1:32" x14ac:dyDescent="0.25">
      <c r="A27" s="165" t="s">
        <v>223</v>
      </c>
      <c r="B27" s="165" t="s">
        <v>209</v>
      </c>
      <c r="C27" s="165" t="s">
        <v>206</v>
      </c>
      <c r="D27" s="165" t="s">
        <v>210</v>
      </c>
      <c r="E27" s="165">
        <v>29.81</v>
      </c>
      <c r="F27" s="165"/>
      <c r="G27" s="165" t="s">
        <v>249</v>
      </c>
      <c r="H27" s="165" t="s">
        <v>205</v>
      </c>
      <c r="I27" s="165" t="s">
        <v>206</v>
      </c>
      <c r="J27" s="165" t="s">
        <v>207</v>
      </c>
      <c r="K27" s="165">
        <v>32.22</v>
      </c>
      <c r="L27" s="165"/>
      <c r="M27" s="165"/>
      <c r="N27" s="165"/>
      <c r="O27" s="165"/>
      <c r="P27" s="165"/>
      <c r="Q27" s="165"/>
      <c r="R27" s="165"/>
      <c r="S27" s="165"/>
      <c r="T27" s="165"/>
      <c r="U27" s="165"/>
      <c r="V27" s="165"/>
      <c r="W27" s="165"/>
      <c r="X27" s="165"/>
      <c r="Y27" s="165"/>
      <c r="Z27" s="165"/>
      <c r="AA27" s="165"/>
      <c r="AB27" s="165"/>
      <c r="AC27" s="165"/>
      <c r="AD27" s="165"/>
      <c r="AE27" s="165"/>
      <c r="AF27" s="165"/>
    </row>
    <row r="28" spans="1:32" x14ac:dyDescent="0.25">
      <c r="A28" s="165" t="s">
        <v>234</v>
      </c>
      <c r="B28" s="165" t="s">
        <v>205</v>
      </c>
      <c r="C28" s="165" t="s">
        <v>206</v>
      </c>
      <c r="D28" s="165" t="s">
        <v>207</v>
      </c>
      <c r="E28" s="165" t="s">
        <v>220</v>
      </c>
      <c r="F28" s="165"/>
      <c r="G28" s="165" t="s">
        <v>250</v>
      </c>
      <c r="H28" s="165" t="s">
        <v>205</v>
      </c>
      <c r="I28" s="165" t="s">
        <v>206</v>
      </c>
      <c r="J28" s="165" t="s">
        <v>207</v>
      </c>
      <c r="K28" s="165">
        <v>31.35</v>
      </c>
      <c r="L28" s="165"/>
      <c r="M28" s="165"/>
      <c r="N28" s="165"/>
      <c r="O28" s="165"/>
      <c r="P28" s="165"/>
      <c r="Q28" s="165"/>
      <c r="R28" s="165"/>
      <c r="S28" s="165"/>
      <c r="T28" s="165"/>
      <c r="U28" s="165"/>
      <c r="V28" s="165"/>
      <c r="W28" s="165"/>
      <c r="X28" s="165"/>
      <c r="Y28" s="165"/>
      <c r="Z28" s="165"/>
      <c r="AA28" s="165"/>
      <c r="AB28" s="165"/>
      <c r="AC28" s="165"/>
      <c r="AD28" s="165"/>
      <c r="AE28" s="165"/>
      <c r="AF28" s="165"/>
    </row>
    <row r="29" spans="1:32" x14ac:dyDescent="0.25">
      <c r="A29" s="165" t="s">
        <v>234</v>
      </c>
      <c r="B29" s="165" t="s">
        <v>209</v>
      </c>
      <c r="C29" s="165" t="s">
        <v>206</v>
      </c>
      <c r="D29" s="165" t="s">
        <v>210</v>
      </c>
      <c r="E29" s="165">
        <v>29.96</v>
      </c>
      <c r="F29" s="165"/>
      <c r="G29" s="165" t="s">
        <v>251</v>
      </c>
      <c r="H29" s="165" t="s">
        <v>205</v>
      </c>
      <c r="I29" s="165" t="s">
        <v>206</v>
      </c>
      <c r="J29" s="165" t="s">
        <v>207</v>
      </c>
      <c r="K29" s="165">
        <v>36.159999999999997</v>
      </c>
      <c r="L29" s="165">
        <f>AVERAGE(K29:K31)</f>
        <v>36.396666666666668</v>
      </c>
      <c r="M29" s="165">
        <f>STDEV(K29:K31)</f>
        <v>0.20792626898334285</v>
      </c>
      <c r="N29" s="165"/>
      <c r="O29" s="165"/>
      <c r="P29" s="165"/>
      <c r="Q29" s="165"/>
      <c r="R29" s="165"/>
      <c r="S29" s="165"/>
      <c r="T29" s="165"/>
      <c r="U29" s="165"/>
      <c r="V29" s="165"/>
      <c r="W29" s="165"/>
      <c r="X29" s="165"/>
      <c r="Y29" s="165"/>
      <c r="Z29" s="165"/>
      <c r="AA29" s="165"/>
      <c r="AB29" s="165"/>
      <c r="AC29" s="165"/>
      <c r="AD29" s="165"/>
      <c r="AE29" s="165"/>
      <c r="AF29" s="165"/>
    </row>
    <row r="30" spans="1:32" x14ac:dyDescent="0.25">
      <c r="A30" s="165" t="s">
        <v>235</v>
      </c>
      <c r="B30" s="165" t="s">
        <v>205</v>
      </c>
      <c r="C30" s="165" t="s">
        <v>206</v>
      </c>
      <c r="D30" s="165" t="s">
        <v>207</v>
      </c>
      <c r="E30" s="165" t="s">
        <v>220</v>
      </c>
      <c r="F30" s="165"/>
      <c r="G30" s="165" t="s">
        <v>252</v>
      </c>
      <c r="H30" s="165" t="s">
        <v>205</v>
      </c>
      <c r="I30" s="165" t="s">
        <v>206</v>
      </c>
      <c r="J30" s="165" t="s">
        <v>207</v>
      </c>
      <c r="K30" s="165">
        <v>36.549999999999997</v>
      </c>
      <c r="L30" s="165"/>
      <c r="M30" s="165"/>
      <c r="N30" s="165"/>
      <c r="O30" s="165"/>
      <c r="P30" s="165"/>
      <c r="Q30" s="165"/>
      <c r="R30" s="165"/>
      <c r="S30" s="165"/>
      <c r="T30" s="165"/>
      <c r="U30" s="165"/>
      <c r="V30" s="165"/>
      <c r="W30" s="165"/>
      <c r="X30" s="165"/>
      <c r="Y30" s="165"/>
      <c r="Z30" s="165"/>
      <c r="AA30" s="165"/>
      <c r="AB30" s="165"/>
      <c r="AC30" s="165"/>
      <c r="AD30" s="165"/>
      <c r="AE30" s="165"/>
      <c r="AF30" s="165"/>
    </row>
    <row r="31" spans="1:32" x14ac:dyDescent="0.25">
      <c r="A31" s="165" t="s">
        <v>235</v>
      </c>
      <c r="B31" s="165" t="s">
        <v>209</v>
      </c>
      <c r="C31" s="165" t="s">
        <v>206</v>
      </c>
      <c r="D31" s="165" t="s">
        <v>210</v>
      </c>
      <c r="E31" s="165">
        <v>29.69</v>
      </c>
      <c r="F31" s="165"/>
      <c r="G31" s="165" t="s">
        <v>253</v>
      </c>
      <c r="H31" s="165" t="s">
        <v>205</v>
      </c>
      <c r="I31" s="165" t="s">
        <v>206</v>
      </c>
      <c r="J31" s="165" t="s">
        <v>207</v>
      </c>
      <c r="K31" s="165">
        <v>36.479999999999997</v>
      </c>
      <c r="L31" s="165"/>
      <c r="M31" s="165"/>
      <c r="N31" s="165"/>
      <c r="O31" s="165"/>
      <c r="P31" s="165"/>
      <c r="Q31" s="165"/>
      <c r="R31" s="165"/>
      <c r="S31" s="165"/>
      <c r="T31" s="165"/>
      <c r="U31" s="165"/>
      <c r="V31" s="165"/>
      <c r="W31" s="165"/>
      <c r="X31" s="165"/>
      <c r="Y31" s="165"/>
      <c r="Z31" s="165"/>
      <c r="AA31" s="165"/>
      <c r="AB31" s="165"/>
      <c r="AC31" s="165"/>
      <c r="AD31" s="165"/>
      <c r="AE31" s="165"/>
      <c r="AF31" s="165"/>
    </row>
    <row r="32" spans="1:32" x14ac:dyDescent="0.25">
      <c r="A32" s="165" t="s">
        <v>236</v>
      </c>
      <c r="B32" s="165" t="s">
        <v>205</v>
      </c>
      <c r="C32" s="165" t="s">
        <v>206</v>
      </c>
      <c r="D32" s="165" t="s">
        <v>207</v>
      </c>
      <c r="E32" s="165" t="s">
        <v>220</v>
      </c>
      <c r="F32" s="165"/>
      <c r="G32" s="165" t="s">
        <v>254</v>
      </c>
      <c r="H32" s="165" t="s">
        <v>205</v>
      </c>
      <c r="I32" s="165" t="s">
        <v>206</v>
      </c>
      <c r="J32" s="165" t="s">
        <v>207</v>
      </c>
      <c r="K32" s="165">
        <v>41.42</v>
      </c>
      <c r="L32" s="165">
        <f>AVERAGE(K32:K34)</f>
        <v>41.283333333333331</v>
      </c>
      <c r="M32" s="165">
        <f>STDEV(K32:K34)</f>
        <v>0.32715949219506923</v>
      </c>
      <c r="N32" s="165"/>
      <c r="O32" s="165"/>
      <c r="P32" s="165"/>
      <c r="Q32" s="165"/>
      <c r="R32" s="165"/>
      <c r="S32" s="165"/>
      <c r="T32" s="165"/>
      <c r="U32" s="165"/>
      <c r="V32" s="165"/>
      <c r="W32" s="165"/>
      <c r="X32" s="165"/>
      <c r="Y32" s="165"/>
      <c r="Z32" s="165"/>
      <c r="AA32" s="165"/>
      <c r="AB32" s="165"/>
      <c r="AC32" s="165"/>
      <c r="AD32" s="165"/>
      <c r="AE32" s="165"/>
      <c r="AF32" s="165"/>
    </row>
    <row r="33" spans="1:27" x14ac:dyDescent="0.25">
      <c r="A33" s="165" t="s">
        <v>236</v>
      </c>
      <c r="B33" s="165" t="s">
        <v>209</v>
      </c>
      <c r="C33" s="165" t="s">
        <v>206</v>
      </c>
      <c r="D33" s="165" t="s">
        <v>210</v>
      </c>
      <c r="E33" s="165">
        <v>29.86</v>
      </c>
      <c r="F33" s="165"/>
      <c r="G33" s="165" t="s">
        <v>255</v>
      </c>
      <c r="H33" s="165" t="s">
        <v>205</v>
      </c>
      <c r="I33" s="165" t="s">
        <v>206</v>
      </c>
      <c r="J33" s="165" t="s">
        <v>207</v>
      </c>
      <c r="K33" s="165">
        <v>41.52</v>
      </c>
      <c r="L33" s="165"/>
      <c r="M33" s="165"/>
      <c r="N33" s="165"/>
      <c r="O33" s="165"/>
      <c r="P33" s="165"/>
      <c r="Q33" s="165"/>
      <c r="R33" s="165"/>
      <c r="S33" s="165"/>
      <c r="T33" s="165"/>
      <c r="U33" s="165"/>
      <c r="V33" s="165"/>
      <c r="W33" s="165"/>
      <c r="X33" s="165"/>
      <c r="Y33" s="165"/>
      <c r="Z33" s="165"/>
      <c r="AA33" s="165"/>
    </row>
    <row r="34" spans="1:27" x14ac:dyDescent="0.25">
      <c r="A34" s="165" t="s">
        <v>237</v>
      </c>
      <c r="B34" s="165" t="s">
        <v>205</v>
      </c>
      <c r="C34" s="165" t="s">
        <v>206</v>
      </c>
      <c r="D34" s="165" t="s">
        <v>207</v>
      </c>
      <c r="E34" s="165" t="s">
        <v>220</v>
      </c>
      <c r="F34" s="165"/>
      <c r="G34" s="165" t="s">
        <v>256</v>
      </c>
      <c r="H34" s="165" t="s">
        <v>205</v>
      </c>
      <c r="I34" s="165" t="s">
        <v>206</v>
      </c>
      <c r="J34" s="165" t="s">
        <v>207</v>
      </c>
      <c r="K34" s="165">
        <v>40.909999999999997</v>
      </c>
      <c r="L34" s="165"/>
      <c r="M34" s="165"/>
      <c r="N34" s="165"/>
      <c r="O34" s="165"/>
      <c r="P34" s="165"/>
      <c r="Q34" s="165"/>
      <c r="R34" s="165"/>
      <c r="S34" s="165"/>
      <c r="T34" s="165"/>
      <c r="U34" s="165"/>
      <c r="V34" s="165"/>
      <c r="W34" s="165"/>
      <c r="X34" s="165"/>
      <c r="Y34" s="165"/>
      <c r="Z34" s="165"/>
      <c r="AA34" s="165"/>
    </row>
    <row r="35" spans="1:27" x14ac:dyDescent="0.25">
      <c r="A35" s="165" t="s">
        <v>237</v>
      </c>
      <c r="B35" s="165" t="s">
        <v>209</v>
      </c>
      <c r="C35" s="165" t="s">
        <v>206</v>
      </c>
      <c r="D35" s="165" t="s">
        <v>210</v>
      </c>
      <c r="E35" s="165">
        <v>30.14</v>
      </c>
      <c r="F35" s="165"/>
      <c r="G35" s="165" t="s">
        <v>257</v>
      </c>
      <c r="H35" s="165" t="s">
        <v>205</v>
      </c>
      <c r="I35" s="165" t="s">
        <v>206</v>
      </c>
      <c r="J35" s="165" t="s">
        <v>207</v>
      </c>
      <c r="K35" s="165" t="s">
        <v>220</v>
      </c>
      <c r="L35" s="165"/>
      <c r="M35" s="165"/>
      <c r="N35" s="165"/>
      <c r="O35" s="165"/>
      <c r="P35" s="165"/>
      <c r="Q35" s="165"/>
      <c r="R35" s="165"/>
      <c r="S35" s="165"/>
      <c r="T35" s="165"/>
      <c r="U35" s="165"/>
      <c r="V35" s="165"/>
      <c r="W35" s="165"/>
      <c r="X35" s="165"/>
      <c r="Y35" s="165"/>
      <c r="Z35" s="165"/>
      <c r="AA35" s="165"/>
    </row>
    <row r="36" spans="1:27" x14ac:dyDescent="0.25">
      <c r="A36" s="165" t="s">
        <v>238</v>
      </c>
      <c r="B36" s="165" t="s">
        <v>205</v>
      </c>
      <c r="C36" s="165" t="s">
        <v>206</v>
      </c>
      <c r="D36" s="165" t="s">
        <v>207</v>
      </c>
      <c r="E36" s="165" t="s">
        <v>220</v>
      </c>
      <c r="F36" s="165"/>
      <c r="G36" s="165" t="s">
        <v>258</v>
      </c>
      <c r="H36" s="165" t="s">
        <v>205</v>
      </c>
      <c r="I36" s="165" t="s">
        <v>206</v>
      </c>
      <c r="J36" s="165" t="s">
        <v>207</v>
      </c>
      <c r="K36" s="165" t="s">
        <v>220</v>
      </c>
      <c r="L36" s="165"/>
      <c r="M36" s="165"/>
      <c r="N36" s="165"/>
      <c r="O36" s="165"/>
      <c r="P36" s="165"/>
      <c r="Q36" s="165"/>
      <c r="R36" s="165"/>
      <c r="S36" s="165"/>
      <c r="T36" s="165"/>
      <c r="U36" s="165"/>
      <c r="V36" s="165"/>
      <c r="W36" s="165"/>
      <c r="X36" s="165"/>
      <c r="Y36" s="165"/>
      <c r="Z36" s="165"/>
      <c r="AA36" s="165"/>
    </row>
    <row r="37" spans="1:27" x14ac:dyDescent="0.25">
      <c r="A37" s="165" t="s">
        <v>238</v>
      </c>
      <c r="B37" s="165" t="s">
        <v>209</v>
      </c>
      <c r="C37" s="165" t="s">
        <v>206</v>
      </c>
      <c r="D37" s="165" t="s">
        <v>210</v>
      </c>
      <c r="E37" s="165">
        <v>30.06</v>
      </c>
      <c r="F37" s="165"/>
      <c r="G37" s="165" t="s">
        <v>259</v>
      </c>
      <c r="H37" s="165" t="s">
        <v>205</v>
      </c>
      <c r="I37" s="165" t="s">
        <v>206</v>
      </c>
      <c r="J37" s="165" t="s">
        <v>207</v>
      </c>
      <c r="K37" s="165" t="s">
        <v>220</v>
      </c>
      <c r="L37" s="165"/>
      <c r="M37" s="165"/>
      <c r="N37" s="165"/>
      <c r="O37" s="165"/>
      <c r="P37" s="165"/>
      <c r="Q37" s="165"/>
      <c r="R37" s="165"/>
      <c r="S37" s="165"/>
      <c r="T37" s="165"/>
      <c r="U37" s="165"/>
      <c r="V37" s="165"/>
      <c r="W37" s="165"/>
      <c r="X37" s="165"/>
      <c r="Y37" s="165"/>
      <c r="Z37" s="165"/>
      <c r="AA37" s="165"/>
    </row>
    <row r="38" spans="1:27" x14ac:dyDescent="0.25">
      <c r="A38" s="165" t="s">
        <v>239</v>
      </c>
      <c r="B38" s="165" t="s">
        <v>205</v>
      </c>
      <c r="C38" s="165" t="s">
        <v>206</v>
      </c>
      <c r="D38" s="165" t="s">
        <v>207</v>
      </c>
      <c r="E38" s="165" t="s">
        <v>220</v>
      </c>
      <c r="F38" s="165"/>
      <c r="G38" s="165" t="s">
        <v>260</v>
      </c>
      <c r="H38" s="165" t="s">
        <v>205</v>
      </c>
      <c r="I38" s="165" t="s">
        <v>206</v>
      </c>
      <c r="J38" s="165" t="s">
        <v>207</v>
      </c>
      <c r="K38" s="165" t="s">
        <v>220</v>
      </c>
      <c r="L38" s="165"/>
      <c r="M38" s="165"/>
      <c r="N38" s="165"/>
      <c r="O38" s="165"/>
      <c r="P38" s="165"/>
      <c r="Q38" s="165"/>
      <c r="R38" s="165"/>
      <c r="S38" s="165"/>
      <c r="T38" s="165"/>
      <c r="U38" s="165"/>
      <c r="V38" s="165"/>
      <c r="W38" s="165"/>
      <c r="X38" s="165"/>
      <c r="Y38" s="165"/>
      <c r="Z38" s="165"/>
      <c r="AA38" s="165"/>
    </row>
    <row r="39" spans="1:27" x14ac:dyDescent="0.25">
      <c r="A39" s="165" t="s">
        <v>239</v>
      </c>
      <c r="B39" s="165" t="s">
        <v>209</v>
      </c>
      <c r="C39" s="165" t="s">
        <v>206</v>
      </c>
      <c r="D39" s="165" t="s">
        <v>210</v>
      </c>
      <c r="E39" s="165">
        <v>30.19</v>
      </c>
      <c r="F39" s="165"/>
      <c r="G39" s="165" t="s">
        <v>261</v>
      </c>
      <c r="H39" s="165" t="s">
        <v>205</v>
      </c>
      <c r="I39" s="165" t="s">
        <v>206</v>
      </c>
      <c r="J39" s="165" t="s">
        <v>207</v>
      </c>
      <c r="K39" s="165" t="s">
        <v>220</v>
      </c>
      <c r="L39" s="165"/>
      <c r="M39" s="165"/>
      <c r="N39" s="165"/>
      <c r="O39" s="165"/>
      <c r="P39" s="165"/>
      <c r="Q39" s="165"/>
      <c r="R39" s="165"/>
      <c r="S39" s="165"/>
      <c r="T39" s="165"/>
      <c r="U39" s="165"/>
      <c r="V39" s="165"/>
      <c r="W39" s="165"/>
      <c r="X39" s="165"/>
      <c r="Y39" s="165"/>
      <c r="Z39" s="165"/>
      <c r="AA39" s="165"/>
    </row>
    <row r="40" spans="1:27" x14ac:dyDescent="0.25">
      <c r="A40" s="165" t="s">
        <v>242</v>
      </c>
      <c r="B40" s="165" t="s">
        <v>205</v>
      </c>
      <c r="C40" s="165" t="s">
        <v>206</v>
      </c>
      <c r="D40" s="165" t="s">
        <v>207</v>
      </c>
      <c r="E40" s="165" t="s">
        <v>220</v>
      </c>
      <c r="F40" s="165"/>
      <c r="G40" s="165" t="s">
        <v>262</v>
      </c>
      <c r="H40" s="165" t="s">
        <v>205</v>
      </c>
      <c r="I40" s="165" t="s">
        <v>206</v>
      </c>
      <c r="J40" s="165" t="s">
        <v>207</v>
      </c>
      <c r="K40" s="165" t="s">
        <v>220</v>
      </c>
      <c r="L40" s="165"/>
      <c r="M40" s="165"/>
      <c r="N40" s="165"/>
      <c r="O40" s="165"/>
      <c r="P40" s="165"/>
      <c r="Q40" s="165"/>
      <c r="R40" s="165"/>
      <c r="S40" s="165"/>
      <c r="T40" s="165"/>
      <c r="U40" s="165"/>
      <c r="V40" s="165"/>
      <c r="W40" s="165"/>
      <c r="X40" s="165"/>
      <c r="Y40" s="165"/>
      <c r="Z40" s="165"/>
      <c r="AA40" s="165"/>
    </row>
    <row r="41" spans="1:27" x14ac:dyDescent="0.25">
      <c r="A41" s="165" t="s">
        <v>242</v>
      </c>
      <c r="B41" s="165" t="s">
        <v>209</v>
      </c>
      <c r="C41" s="165" t="s">
        <v>206</v>
      </c>
      <c r="D41" s="165" t="s">
        <v>210</v>
      </c>
      <c r="E41" s="165">
        <v>30.04</v>
      </c>
      <c r="F41" s="165"/>
      <c r="G41" s="165" t="s">
        <v>263</v>
      </c>
      <c r="H41" s="165" t="s">
        <v>205</v>
      </c>
      <c r="I41" s="165" t="s">
        <v>206</v>
      </c>
      <c r="J41" s="165" t="s">
        <v>207</v>
      </c>
      <c r="K41" s="165" t="s">
        <v>220</v>
      </c>
      <c r="L41" s="165"/>
      <c r="M41" s="165"/>
      <c r="N41" s="165"/>
      <c r="O41" s="165"/>
      <c r="P41" s="165"/>
      <c r="Q41" s="165"/>
      <c r="R41" s="165"/>
      <c r="S41" s="165"/>
      <c r="T41" s="165"/>
      <c r="U41" s="165"/>
      <c r="V41" s="165"/>
      <c r="W41" s="165"/>
      <c r="X41" s="165"/>
      <c r="Y41" s="165"/>
      <c r="Z41" s="165"/>
      <c r="AA41" s="165"/>
    </row>
    <row r="42" spans="1:27" x14ac:dyDescent="0.25">
      <c r="A42" s="165" t="s">
        <v>243</v>
      </c>
      <c r="B42" s="165" t="s">
        <v>205</v>
      </c>
      <c r="C42" s="165" t="s">
        <v>206</v>
      </c>
      <c r="D42" s="165" t="s">
        <v>207</v>
      </c>
      <c r="E42" s="165" t="s">
        <v>220</v>
      </c>
      <c r="F42" s="165"/>
      <c r="G42" s="165" t="s">
        <v>264</v>
      </c>
      <c r="H42" s="165" t="s">
        <v>205</v>
      </c>
      <c r="I42" s="165" t="s">
        <v>206</v>
      </c>
      <c r="J42" s="165" t="s">
        <v>207</v>
      </c>
      <c r="K42" s="165" t="s">
        <v>220</v>
      </c>
      <c r="L42" s="165"/>
      <c r="M42" s="165"/>
      <c r="N42" s="165"/>
      <c r="O42" s="165"/>
      <c r="P42" s="165"/>
      <c r="Q42" s="165"/>
      <c r="R42" s="165"/>
      <c r="S42" s="165"/>
      <c r="T42" s="165"/>
      <c r="U42" s="165"/>
      <c r="V42" s="165"/>
      <c r="W42" s="165"/>
      <c r="X42" s="165"/>
      <c r="Y42" s="165"/>
      <c r="Z42" s="165"/>
      <c r="AA42" s="165"/>
    </row>
    <row r="43" spans="1:27" x14ac:dyDescent="0.25">
      <c r="A43" s="165" t="s">
        <v>243</v>
      </c>
      <c r="B43" s="165" t="s">
        <v>209</v>
      </c>
      <c r="C43" s="165" t="s">
        <v>206</v>
      </c>
      <c r="D43" s="165" t="s">
        <v>210</v>
      </c>
      <c r="E43" s="165">
        <v>30.26</v>
      </c>
      <c r="F43" s="165"/>
      <c r="G43" s="165" t="s">
        <v>265</v>
      </c>
      <c r="H43" s="165" t="s">
        <v>205</v>
      </c>
      <c r="I43" s="165" t="s">
        <v>206</v>
      </c>
      <c r="J43" s="165" t="s">
        <v>207</v>
      </c>
      <c r="K43" s="165" t="s">
        <v>220</v>
      </c>
      <c r="L43" s="165"/>
      <c r="M43" s="165"/>
      <c r="N43" s="165"/>
      <c r="O43" s="165"/>
      <c r="P43" s="165"/>
      <c r="Q43" s="165"/>
      <c r="R43" s="165"/>
      <c r="S43" s="165"/>
      <c r="T43" s="165"/>
      <c r="U43" s="165"/>
      <c r="V43" s="165"/>
      <c r="W43" s="165"/>
      <c r="X43" s="165"/>
      <c r="Y43" s="165"/>
      <c r="Z43" s="165"/>
      <c r="AA43" s="165"/>
    </row>
    <row r="44" spans="1:27" x14ac:dyDescent="0.25">
      <c r="A44" s="165" t="s">
        <v>244</v>
      </c>
      <c r="B44" s="165" t="s">
        <v>205</v>
      </c>
      <c r="C44" s="165" t="s">
        <v>206</v>
      </c>
      <c r="D44" s="165" t="s">
        <v>207</v>
      </c>
      <c r="E44" s="165" t="s">
        <v>220</v>
      </c>
      <c r="F44" s="165"/>
      <c r="G44" s="165" t="s">
        <v>266</v>
      </c>
      <c r="H44" s="165" t="s">
        <v>205</v>
      </c>
      <c r="I44" s="165" t="s">
        <v>206</v>
      </c>
      <c r="J44" s="165" t="s">
        <v>207</v>
      </c>
      <c r="K44" s="165" t="s">
        <v>220</v>
      </c>
      <c r="L44" s="165"/>
      <c r="M44" s="165"/>
      <c r="N44" s="165"/>
      <c r="O44" s="165"/>
      <c r="P44" s="165"/>
      <c r="Q44" s="165"/>
      <c r="R44" s="165"/>
      <c r="S44" s="165"/>
      <c r="T44" s="165"/>
      <c r="U44" s="165"/>
      <c r="V44" s="165"/>
      <c r="W44" s="165"/>
      <c r="X44" s="165"/>
      <c r="Y44" s="165"/>
      <c r="Z44" s="165"/>
      <c r="AA44" s="165"/>
    </row>
    <row r="45" spans="1:27" x14ac:dyDescent="0.25">
      <c r="A45" s="165" t="s">
        <v>244</v>
      </c>
      <c r="B45" s="165" t="s">
        <v>209</v>
      </c>
      <c r="C45" s="165" t="s">
        <v>206</v>
      </c>
      <c r="D45" s="165" t="s">
        <v>210</v>
      </c>
      <c r="E45" s="165">
        <v>29.99</v>
      </c>
      <c r="F45" s="165"/>
      <c r="G45" s="165" t="s">
        <v>267</v>
      </c>
      <c r="H45" s="165" t="s">
        <v>205</v>
      </c>
      <c r="I45" s="165" t="s">
        <v>206</v>
      </c>
      <c r="J45" s="165" t="s">
        <v>207</v>
      </c>
      <c r="K45" s="165" t="s">
        <v>220</v>
      </c>
      <c r="L45" s="165"/>
      <c r="M45" s="165"/>
      <c r="N45" s="165"/>
      <c r="O45" s="165"/>
      <c r="P45" s="165"/>
      <c r="Q45" s="165"/>
      <c r="R45" s="165"/>
      <c r="S45" s="165"/>
      <c r="T45" s="165"/>
      <c r="U45" s="165"/>
      <c r="V45" s="165"/>
      <c r="W45" s="165"/>
      <c r="X45" s="165"/>
      <c r="Y45" s="165"/>
      <c r="Z45" s="165"/>
      <c r="AA45" s="165"/>
    </row>
    <row r="46" spans="1:27" x14ac:dyDescent="0.25">
      <c r="A46" s="165" t="s">
        <v>245</v>
      </c>
      <c r="B46" s="165" t="s">
        <v>205</v>
      </c>
      <c r="C46" s="165" t="s">
        <v>206</v>
      </c>
      <c r="D46" s="165" t="s">
        <v>207</v>
      </c>
      <c r="E46" s="165" t="s">
        <v>220</v>
      </c>
      <c r="F46" s="165"/>
      <c r="G46" s="165" t="s">
        <v>268</v>
      </c>
      <c r="H46" s="165" t="s">
        <v>205</v>
      </c>
      <c r="I46" s="165" t="s">
        <v>206</v>
      </c>
      <c r="J46" s="165" t="s">
        <v>207</v>
      </c>
      <c r="K46" s="165" t="s">
        <v>220</v>
      </c>
      <c r="L46" s="165"/>
      <c r="M46" s="165"/>
      <c r="N46" s="165"/>
      <c r="O46" s="165"/>
      <c r="P46" s="165" t="s">
        <v>269</v>
      </c>
      <c r="Q46" s="165"/>
      <c r="R46" s="165"/>
      <c r="S46" s="165"/>
      <c r="T46" s="165"/>
      <c r="U46" s="165"/>
      <c r="V46" s="165"/>
      <c r="W46" s="165"/>
      <c r="X46" s="165"/>
      <c r="Y46" s="165"/>
      <c r="Z46" s="165"/>
      <c r="AA46" s="165"/>
    </row>
    <row r="47" spans="1:27" x14ac:dyDescent="0.25">
      <c r="A47" s="165" t="s">
        <v>245</v>
      </c>
      <c r="B47" s="165" t="s">
        <v>209</v>
      </c>
      <c r="C47" s="165" t="s">
        <v>206</v>
      </c>
      <c r="D47" s="165" t="s">
        <v>210</v>
      </c>
      <c r="E47" s="165">
        <v>29.96</v>
      </c>
      <c r="F47" s="165"/>
      <c r="G47" s="165" t="s">
        <v>270</v>
      </c>
      <c r="H47" s="165" t="s">
        <v>205</v>
      </c>
      <c r="I47" s="165" t="s">
        <v>206</v>
      </c>
      <c r="J47" s="165" t="s">
        <v>207</v>
      </c>
      <c r="K47" s="165" t="s">
        <v>220</v>
      </c>
      <c r="L47" s="165"/>
      <c r="M47" s="165"/>
      <c r="N47" s="165"/>
      <c r="O47" s="165"/>
      <c r="P47" s="309" t="s">
        <v>271</v>
      </c>
      <c r="Q47" s="309"/>
      <c r="R47" s="309"/>
      <c r="S47" s="309"/>
      <c r="T47" s="309"/>
      <c r="U47" s="309"/>
      <c r="V47" s="309"/>
      <c r="W47" s="309"/>
      <c r="X47" s="309"/>
      <c r="Y47" s="309"/>
      <c r="Z47" s="309"/>
      <c r="AA47" s="309"/>
    </row>
    <row r="48" spans="1:27" x14ac:dyDescent="0.25">
      <c r="A48" s="165" t="s">
        <v>247</v>
      </c>
      <c r="B48" s="165" t="s">
        <v>205</v>
      </c>
      <c r="C48" s="165" t="s">
        <v>206</v>
      </c>
      <c r="D48" s="165" t="s">
        <v>207</v>
      </c>
      <c r="E48" s="165" t="s">
        <v>220</v>
      </c>
      <c r="F48" s="165"/>
      <c r="G48" s="165" t="s">
        <v>272</v>
      </c>
      <c r="H48" s="165" t="s">
        <v>205</v>
      </c>
      <c r="I48" s="165" t="s">
        <v>206</v>
      </c>
      <c r="J48" s="165" t="s">
        <v>207</v>
      </c>
      <c r="K48" s="165" t="s">
        <v>220</v>
      </c>
      <c r="L48" s="165"/>
      <c r="M48" s="165"/>
      <c r="N48" s="165"/>
      <c r="O48" s="165"/>
      <c r="P48" s="309"/>
      <c r="Q48" s="309"/>
      <c r="R48" s="309"/>
      <c r="S48" s="309"/>
      <c r="T48" s="309"/>
      <c r="U48" s="309"/>
      <c r="V48" s="309"/>
      <c r="W48" s="309"/>
      <c r="X48" s="309"/>
      <c r="Y48" s="309"/>
      <c r="Z48" s="309"/>
      <c r="AA48" s="309"/>
    </row>
    <row r="49" spans="1:27" x14ac:dyDescent="0.25">
      <c r="A49" s="165" t="s">
        <v>247</v>
      </c>
      <c r="B49" s="165" t="s">
        <v>209</v>
      </c>
      <c r="C49" s="165" t="s">
        <v>206</v>
      </c>
      <c r="D49" s="165" t="s">
        <v>210</v>
      </c>
      <c r="E49" s="165">
        <v>30.37</v>
      </c>
      <c r="F49" s="165"/>
      <c r="G49" s="165" t="s">
        <v>273</v>
      </c>
      <c r="H49" s="165" t="s">
        <v>205</v>
      </c>
      <c r="I49" s="165" t="s">
        <v>206</v>
      </c>
      <c r="J49" s="165" t="s">
        <v>207</v>
      </c>
      <c r="K49" s="165" t="s">
        <v>220</v>
      </c>
      <c r="L49" s="165"/>
      <c r="M49" s="165"/>
      <c r="N49" s="165"/>
      <c r="O49" s="165"/>
      <c r="P49" s="309"/>
      <c r="Q49" s="309"/>
      <c r="R49" s="309"/>
      <c r="S49" s="309"/>
      <c r="T49" s="309"/>
      <c r="U49" s="309"/>
      <c r="V49" s="309"/>
      <c r="W49" s="309"/>
      <c r="X49" s="309"/>
      <c r="Y49" s="309"/>
      <c r="Z49" s="309"/>
      <c r="AA49" s="309"/>
    </row>
    <row r="50" spans="1:27" x14ac:dyDescent="0.25">
      <c r="A50" s="165" t="s">
        <v>248</v>
      </c>
      <c r="B50" s="165" t="s">
        <v>205</v>
      </c>
      <c r="C50" s="165" t="s">
        <v>206</v>
      </c>
      <c r="D50" s="165" t="s">
        <v>207</v>
      </c>
      <c r="E50" s="165">
        <v>32.229999999999997</v>
      </c>
      <c r="F50" s="165"/>
      <c r="G50" s="165" t="s">
        <v>274</v>
      </c>
      <c r="H50" s="165" t="s">
        <v>205</v>
      </c>
      <c r="I50" s="165" t="s">
        <v>206</v>
      </c>
      <c r="J50" s="165" t="s">
        <v>207</v>
      </c>
      <c r="K50" s="165">
        <v>32.26</v>
      </c>
      <c r="L50" s="165">
        <f>AVERAGE(K50:K52)</f>
        <v>32.256666666666668</v>
      </c>
      <c r="M50" s="165">
        <f>STDEV(K50:K52)</f>
        <v>0.13503086067019551</v>
      </c>
      <c r="N50" s="165"/>
      <c r="O50" s="165"/>
      <c r="P50" s="309"/>
      <c r="Q50" s="309"/>
      <c r="R50" s="309"/>
      <c r="S50" s="309"/>
      <c r="T50" s="309"/>
      <c r="U50" s="309"/>
      <c r="V50" s="309"/>
      <c r="W50" s="309"/>
      <c r="X50" s="309"/>
      <c r="Y50" s="309"/>
      <c r="Z50" s="309"/>
      <c r="AA50" s="309"/>
    </row>
    <row r="51" spans="1:27" x14ac:dyDescent="0.25">
      <c r="A51" s="165" t="s">
        <v>248</v>
      </c>
      <c r="B51" s="165" t="s">
        <v>209</v>
      </c>
      <c r="C51" s="165" t="s">
        <v>206</v>
      </c>
      <c r="D51" s="165" t="s">
        <v>210</v>
      </c>
      <c r="E51" s="165">
        <v>37.79</v>
      </c>
      <c r="F51" s="165"/>
      <c r="G51" s="165" t="s">
        <v>275</v>
      </c>
      <c r="H51" s="165" t="s">
        <v>205</v>
      </c>
      <c r="I51" s="165" t="s">
        <v>206</v>
      </c>
      <c r="J51" s="165" t="s">
        <v>207</v>
      </c>
      <c r="K51" s="165">
        <v>32.39</v>
      </c>
      <c r="L51" s="165"/>
      <c r="M51" s="165"/>
      <c r="N51" s="165"/>
      <c r="O51" s="165"/>
      <c r="P51" s="309"/>
      <c r="Q51" s="309"/>
      <c r="R51" s="309"/>
      <c r="S51" s="309"/>
      <c r="T51" s="309"/>
      <c r="U51" s="309"/>
      <c r="V51" s="309"/>
      <c r="W51" s="309"/>
      <c r="X51" s="309"/>
      <c r="Y51" s="309"/>
      <c r="Z51" s="309"/>
      <c r="AA51" s="309"/>
    </row>
    <row r="52" spans="1:27" x14ac:dyDescent="0.25">
      <c r="A52" s="165" t="s">
        <v>249</v>
      </c>
      <c r="B52" s="165" t="s">
        <v>205</v>
      </c>
      <c r="C52" s="165" t="s">
        <v>206</v>
      </c>
      <c r="D52" s="165" t="s">
        <v>207</v>
      </c>
      <c r="E52" s="165">
        <v>32.22</v>
      </c>
      <c r="F52" s="165"/>
      <c r="G52" s="165" t="s">
        <v>276</v>
      </c>
      <c r="H52" s="165" t="s">
        <v>205</v>
      </c>
      <c r="I52" s="165" t="s">
        <v>206</v>
      </c>
      <c r="J52" s="165" t="s">
        <v>207</v>
      </c>
      <c r="K52" s="165">
        <v>32.119999999999997</v>
      </c>
      <c r="L52" s="165"/>
      <c r="M52" s="165"/>
      <c r="N52" s="165"/>
      <c r="O52" s="165"/>
      <c r="P52" s="309"/>
      <c r="Q52" s="309"/>
      <c r="R52" s="309"/>
      <c r="S52" s="309"/>
      <c r="T52" s="309"/>
      <c r="U52" s="309"/>
      <c r="V52" s="309"/>
      <c r="W52" s="309"/>
      <c r="X52" s="309"/>
      <c r="Y52" s="309"/>
      <c r="Z52" s="309"/>
      <c r="AA52" s="309"/>
    </row>
    <row r="53" spans="1:27" x14ac:dyDescent="0.25">
      <c r="A53" s="165" t="s">
        <v>249</v>
      </c>
      <c r="B53" s="165" t="s">
        <v>209</v>
      </c>
      <c r="C53" s="165" t="s">
        <v>206</v>
      </c>
      <c r="D53" s="165" t="s">
        <v>210</v>
      </c>
      <c r="E53" s="165">
        <v>37.93</v>
      </c>
      <c r="F53" s="165"/>
      <c r="G53" s="165" t="s">
        <v>277</v>
      </c>
      <c r="H53" s="165" t="s">
        <v>205</v>
      </c>
      <c r="I53" s="165" t="s">
        <v>206</v>
      </c>
      <c r="J53" s="165" t="s">
        <v>207</v>
      </c>
      <c r="K53" s="165">
        <v>36.33</v>
      </c>
      <c r="L53" s="165">
        <f>AVERAGE(K53:K55)</f>
        <v>36.393333333333338</v>
      </c>
      <c r="M53" s="165">
        <f>STDEV(K53:K55)</f>
        <v>0.11846237095944676</v>
      </c>
      <c r="N53" s="165"/>
      <c r="O53" s="165"/>
      <c r="P53" s="309"/>
      <c r="Q53" s="309"/>
      <c r="R53" s="309"/>
      <c r="S53" s="309"/>
      <c r="T53" s="309"/>
      <c r="U53" s="309"/>
      <c r="V53" s="309"/>
      <c r="W53" s="309"/>
      <c r="X53" s="309"/>
      <c r="Y53" s="309"/>
      <c r="Z53" s="309"/>
      <c r="AA53" s="309"/>
    </row>
    <row r="54" spans="1:27" x14ac:dyDescent="0.25">
      <c r="A54" s="165" t="s">
        <v>250</v>
      </c>
      <c r="B54" s="165" t="s">
        <v>205</v>
      </c>
      <c r="C54" s="165" t="s">
        <v>206</v>
      </c>
      <c r="D54" s="165" t="s">
        <v>207</v>
      </c>
      <c r="E54" s="165">
        <v>31.35</v>
      </c>
      <c r="F54" s="165"/>
      <c r="G54" s="165" t="s">
        <v>278</v>
      </c>
      <c r="H54" s="165" t="s">
        <v>205</v>
      </c>
      <c r="I54" s="165" t="s">
        <v>206</v>
      </c>
      <c r="J54" s="165" t="s">
        <v>207</v>
      </c>
      <c r="K54" s="165">
        <v>36.53</v>
      </c>
      <c r="L54" s="165"/>
      <c r="M54" s="165"/>
      <c r="N54" s="165"/>
      <c r="O54" s="165"/>
      <c r="P54" s="309"/>
      <c r="Q54" s="309"/>
      <c r="R54" s="309"/>
      <c r="S54" s="309"/>
      <c r="T54" s="309"/>
      <c r="U54" s="309"/>
      <c r="V54" s="309"/>
      <c r="W54" s="309"/>
      <c r="X54" s="309"/>
      <c r="Y54" s="309"/>
      <c r="Z54" s="309"/>
      <c r="AA54" s="309"/>
    </row>
    <row r="55" spans="1:27" x14ac:dyDescent="0.25">
      <c r="A55" s="165" t="s">
        <v>250</v>
      </c>
      <c r="B55" s="165" t="s">
        <v>209</v>
      </c>
      <c r="C55" s="165" t="s">
        <v>206</v>
      </c>
      <c r="D55" s="165" t="s">
        <v>210</v>
      </c>
      <c r="E55" s="165">
        <v>38.520000000000003</v>
      </c>
      <c r="F55" s="165"/>
      <c r="G55" s="165" t="s">
        <v>279</v>
      </c>
      <c r="H55" s="165" t="s">
        <v>205</v>
      </c>
      <c r="I55" s="165" t="s">
        <v>206</v>
      </c>
      <c r="J55" s="165" t="s">
        <v>207</v>
      </c>
      <c r="K55" s="165">
        <v>36.32</v>
      </c>
      <c r="L55" s="165"/>
      <c r="M55" s="165"/>
      <c r="N55" s="165"/>
      <c r="O55" s="165"/>
      <c r="P55" s="165"/>
      <c r="Q55" s="165"/>
      <c r="R55" s="165"/>
      <c r="S55" s="165"/>
      <c r="T55" s="165"/>
      <c r="U55" s="165"/>
      <c r="V55" s="165"/>
      <c r="W55" s="165"/>
      <c r="X55" s="165"/>
      <c r="Y55" s="165"/>
      <c r="Z55" s="165"/>
      <c r="AA55" s="165"/>
    </row>
    <row r="56" spans="1:27" x14ac:dyDescent="0.25">
      <c r="A56" s="165" t="s">
        <v>251</v>
      </c>
      <c r="B56" s="165" t="s">
        <v>205</v>
      </c>
      <c r="C56" s="165" t="s">
        <v>206</v>
      </c>
      <c r="D56" s="165" t="s">
        <v>207</v>
      </c>
      <c r="E56" s="165">
        <v>36.159999999999997</v>
      </c>
      <c r="F56" s="165"/>
      <c r="G56" s="165" t="s">
        <v>280</v>
      </c>
      <c r="H56" s="165" t="s">
        <v>205</v>
      </c>
      <c r="I56" s="165" t="s">
        <v>206</v>
      </c>
      <c r="J56" s="165" t="s">
        <v>207</v>
      </c>
      <c r="K56" s="165">
        <v>40.869999999999997</v>
      </c>
      <c r="L56" s="165">
        <f>AVERAGE(K56:K58)</f>
        <v>41.223333333333329</v>
      </c>
      <c r="M56" s="165">
        <f>STDEV(K56:K58)</f>
        <v>0.30599564267050233</v>
      </c>
      <c r="N56" s="165"/>
      <c r="O56" s="165"/>
      <c r="P56" s="165"/>
      <c r="Q56" s="165"/>
      <c r="R56" s="165"/>
      <c r="S56" s="165"/>
      <c r="T56" s="165"/>
      <c r="U56" s="165"/>
      <c r="V56" s="165"/>
      <c r="W56" s="165"/>
      <c r="X56" s="165"/>
      <c r="Y56" s="165"/>
      <c r="Z56" s="165"/>
      <c r="AA56" s="165"/>
    </row>
    <row r="57" spans="1:27" x14ac:dyDescent="0.25">
      <c r="A57" s="165" t="s">
        <v>251</v>
      </c>
      <c r="B57" s="165" t="s">
        <v>209</v>
      </c>
      <c r="C57" s="165" t="s">
        <v>206</v>
      </c>
      <c r="D57" s="165" t="s">
        <v>210</v>
      </c>
      <c r="E57" s="165">
        <v>37.74</v>
      </c>
      <c r="F57" s="165"/>
      <c r="G57" s="165" t="s">
        <v>281</v>
      </c>
      <c r="H57" s="165" t="s">
        <v>205</v>
      </c>
      <c r="I57" s="165" t="s">
        <v>206</v>
      </c>
      <c r="J57" s="165" t="s">
        <v>207</v>
      </c>
      <c r="K57" s="165">
        <v>41.4</v>
      </c>
      <c r="L57" s="165"/>
      <c r="M57" s="165"/>
      <c r="N57" s="165"/>
      <c r="O57" s="165"/>
      <c r="P57" s="165"/>
      <c r="Q57" s="165"/>
      <c r="R57" s="165"/>
      <c r="S57" s="165"/>
      <c r="T57" s="165"/>
      <c r="U57" s="165"/>
      <c r="V57" s="165"/>
      <c r="W57" s="165"/>
      <c r="X57" s="165"/>
      <c r="Y57" s="165"/>
      <c r="Z57" s="165"/>
      <c r="AA57" s="165"/>
    </row>
    <row r="58" spans="1:27" x14ac:dyDescent="0.25">
      <c r="A58" s="165" t="s">
        <v>252</v>
      </c>
      <c r="B58" s="165" t="s">
        <v>205</v>
      </c>
      <c r="C58" s="165" t="s">
        <v>206</v>
      </c>
      <c r="D58" s="165" t="s">
        <v>207</v>
      </c>
      <c r="E58" s="165">
        <v>36.549999999999997</v>
      </c>
      <c r="F58" s="165"/>
      <c r="G58" s="165" t="s">
        <v>282</v>
      </c>
      <c r="H58" s="165" t="s">
        <v>205</v>
      </c>
      <c r="I58" s="165" t="s">
        <v>206</v>
      </c>
      <c r="J58" s="165" t="s">
        <v>207</v>
      </c>
      <c r="K58" s="165">
        <v>41.4</v>
      </c>
      <c r="L58" s="165"/>
      <c r="M58" s="165"/>
      <c r="N58" s="165"/>
      <c r="O58" s="165"/>
      <c r="P58" s="165"/>
      <c r="Q58" s="165"/>
      <c r="R58" s="165"/>
      <c r="S58" s="165"/>
      <c r="T58" s="165"/>
      <c r="U58" s="165"/>
      <c r="V58" s="165"/>
      <c r="W58" s="165"/>
      <c r="X58" s="165"/>
      <c r="Y58" s="165"/>
      <c r="Z58" s="165"/>
      <c r="AA58" s="165"/>
    </row>
    <row r="59" spans="1:27" x14ac:dyDescent="0.25">
      <c r="A59" s="165" t="s">
        <v>252</v>
      </c>
      <c r="B59" s="165" t="s">
        <v>209</v>
      </c>
      <c r="C59" s="165" t="s">
        <v>206</v>
      </c>
      <c r="D59" s="165" t="s">
        <v>210</v>
      </c>
      <c r="E59" s="165">
        <v>38.270000000000003</v>
      </c>
      <c r="F59" s="165"/>
      <c r="G59" s="165" t="s">
        <v>283</v>
      </c>
      <c r="H59" s="165" t="s">
        <v>205</v>
      </c>
      <c r="I59" s="165" t="s">
        <v>206</v>
      </c>
      <c r="J59" s="165" t="s">
        <v>207</v>
      </c>
      <c r="K59" s="165" t="s">
        <v>220</v>
      </c>
      <c r="L59" s="165"/>
      <c r="M59" s="165"/>
      <c r="N59" s="165"/>
      <c r="O59" s="165"/>
      <c r="P59" s="165"/>
      <c r="Q59" s="165"/>
      <c r="R59" s="165"/>
      <c r="S59" s="165"/>
      <c r="T59" s="165"/>
      <c r="U59" s="165"/>
      <c r="V59" s="165"/>
      <c r="W59" s="165"/>
      <c r="X59" s="165"/>
      <c r="Y59" s="165"/>
      <c r="Z59" s="165"/>
      <c r="AA59" s="165"/>
    </row>
    <row r="60" spans="1:27" x14ac:dyDescent="0.25">
      <c r="A60" s="165" t="s">
        <v>253</v>
      </c>
      <c r="B60" s="165" t="s">
        <v>205</v>
      </c>
      <c r="C60" s="165" t="s">
        <v>206</v>
      </c>
      <c r="D60" s="165" t="s">
        <v>207</v>
      </c>
      <c r="E60" s="165">
        <v>36.479999999999997</v>
      </c>
      <c r="F60" s="165"/>
      <c r="G60" s="165" t="s">
        <v>284</v>
      </c>
      <c r="H60" s="165" t="s">
        <v>205</v>
      </c>
      <c r="I60" s="165" t="s">
        <v>206</v>
      </c>
      <c r="J60" s="165" t="s">
        <v>207</v>
      </c>
      <c r="K60" s="165" t="s">
        <v>220</v>
      </c>
      <c r="L60" s="165"/>
      <c r="M60" s="165"/>
      <c r="N60" s="165"/>
      <c r="O60" s="165"/>
      <c r="P60" s="165"/>
      <c r="Q60" s="165"/>
      <c r="R60" s="165"/>
      <c r="S60" s="165"/>
      <c r="T60" s="165"/>
      <c r="U60" s="165"/>
      <c r="V60" s="165"/>
      <c r="W60" s="165"/>
      <c r="X60" s="165"/>
      <c r="Y60" s="165"/>
      <c r="Z60" s="165"/>
      <c r="AA60" s="165"/>
    </row>
    <row r="61" spans="1:27" x14ac:dyDescent="0.25">
      <c r="A61" s="165" t="s">
        <v>253</v>
      </c>
      <c r="B61" s="165" t="s">
        <v>209</v>
      </c>
      <c r="C61" s="165" t="s">
        <v>206</v>
      </c>
      <c r="D61" s="165" t="s">
        <v>210</v>
      </c>
      <c r="E61" s="165">
        <v>38.17</v>
      </c>
      <c r="F61" s="165"/>
      <c r="G61" s="165" t="s">
        <v>285</v>
      </c>
      <c r="H61" s="165" t="s">
        <v>205</v>
      </c>
      <c r="I61" s="165" t="s">
        <v>206</v>
      </c>
      <c r="J61" s="165" t="s">
        <v>207</v>
      </c>
      <c r="K61" s="165" t="s">
        <v>220</v>
      </c>
      <c r="L61" s="165"/>
      <c r="M61" s="165"/>
      <c r="N61" s="165"/>
      <c r="O61" s="165"/>
      <c r="P61" s="165"/>
      <c r="Q61" s="165"/>
      <c r="R61" s="165"/>
      <c r="S61" s="165"/>
      <c r="T61" s="165"/>
      <c r="U61" s="165"/>
      <c r="V61" s="165"/>
      <c r="W61" s="165"/>
      <c r="X61" s="165"/>
      <c r="Y61" s="165"/>
      <c r="Z61" s="165"/>
      <c r="AA61" s="165"/>
    </row>
    <row r="62" spans="1:27" x14ac:dyDescent="0.25">
      <c r="A62" s="165" t="s">
        <v>254</v>
      </c>
      <c r="B62" s="165" t="s">
        <v>205</v>
      </c>
      <c r="C62" s="165" t="s">
        <v>206</v>
      </c>
      <c r="D62" s="165" t="s">
        <v>207</v>
      </c>
      <c r="E62" s="165">
        <v>41.42</v>
      </c>
      <c r="F62" s="165"/>
      <c r="G62" s="165" t="s">
        <v>286</v>
      </c>
      <c r="H62" s="165" t="s">
        <v>205</v>
      </c>
      <c r="I62" s="165" t="s">
        <v>206</v>
      </c>
      <c r="J62" s="165" t="s">
        <v>207</v>
      </c>
      <c r="K62" s="165" t="s">
        <v>220</v>
      </c>
      <c r="L62" s="165"/>
      <c r="M62" s="165"/>
      <c r="N62" s="165"/>
      <c r="O62" s="165"/>
      <c r="P62" s="165"/>
      <c r="Q62" s="165"/>
      <c r="R62" s="165"/>
      <c r="S62" s="165"/>
      <c r="T62" s="165"/>
      <c r="U62" s="165"/>
      <c r="V62" s="165"/>
      <c r="W62" s="165"/>
      <c r="X62" s="165"/>
      <c r="Y62" s="165"/>
      <c r="Z62" s="165"/>
      <c r="AA62" s="165"/>
    </row>
    <row r="63" spans="1:27" x14ac:dyDescent="0.25">
      <c r="A63" s="165" t="s">
        <v>254</v>
      </c>
      <c r="B63" s="165" t="s">
        <v>209</v>
      </c>
      <c r="C63" s="165" t="s">
        <v>206</v>
      </c>
      <c r="D63" s="165" t="s">
        <v>210</v>
      </c>
      <c r="E63" s="165">
        <v>39.64</v>
      </c>
      <c r="F63" s="165"/>
      <c r="G63" s="165" t="s">
        <v>287</v>
      </c>
      <c r="H63" s="165" t="s">
        <v>205</v>
      </c>
      <c r="I63" s="165" t="s">
        <v>206</v>
      </c>
      <c r="J63" s="165" t="s">
        <v>207</v>
      </c>
      <c r="K63" s="165" t="s">
        <v>220</v>
      </c>
      <c r="L63" s="165"/>
      <c r="M63" s="165"/>
      <c r="N63" s="165"/>
      <c r="O63" s="165"/>
      <c r="P63" s="165"/>
      <c r="Q63" s="165"/>
      <c r="R63" s="165"/>
      <c r="S63" s="165"/>
      <c r="T63" s="165"/>
      <c r="U63" s="165"/>
      <c r="V63" s="165"/>
      <c r="W63" s="165"/>
      <c r="X63" s="165"/>
      <c r="Y63" s="165"/>
      <c r="Z63" s="165"/>
      <c r="AA63" s="165"/>
    </row>
    <row r="64" spans="1:27" x14ac:dyDescent="0.25">
      <c r="A64" s="165" t="s">
        <v>255</v>
      </c>
      <c r="B64" s="165" t="s">
        <v>205</v>
      </c>
      <c r="C64" s="165" t="s">
        <v>206</v>
      </c>
      <c r="D64" s="165" t="s">
        <v>207</v>
      </c>
      <c r="E64" s="165">
        <v>41.52</v>
      </c>
      <c r="F64" s="165"/>
      <c r="G64" s="165" t="s">
        <v>288</v>
      </c>
      <c r="H64" s="165" t="s">
        <v>205</v>
      </c>
      <c r="I64" s="165" t="s">
        <v>206</v>
      </c>
      <c r="J64" s="165" t="s">
        <v>207</v>
      </c>
      <c r="K64" s="165" t="s">
        <v>220</v>
      </c>
      <c r="L64" s="165"/>
      <c r="M64" s="165"/>
      <c r="N64" s="165"/>
      <c r="O64" s="165"/>
      <c r="P64" s="165"/>
      <c r="Q64" s="165"/>
      <c r="R64" s="165"/>
      <c r="S64" s="165"/>
      <c r="T64" s="165"/>
      <c r="U64" s="165"/>
      <c r="V64" s="165"/>
      <c r="W64" s="165"/>
      <c r="X64" s="165"/>
      <c r="Y64" s="165"/>
      <c r="Z64" s="165"/>
      <c r="AA64" s="165"/>
    </row>
    <row r="65" spans="1:13" x14ac:dyDescent="0.25">
      <c r="A65" s="165" t="s">
        <v>255</v>
      </c>
      <c r="B65" s="165" t="s">
        <v>209</v>
      </c>
      <c r="C65" s="165" t="s">
        <v>206</v>
      </c>
      <c r="D65" s="165" t="s">
        <v>210</v>
      </c>
      <c r="E65" s="165">
        <v>38.96</v>
      </c>
      <c r="F65" s="165"/>
      <c r="G65" s="165" t="s">
        <v>289</v>
      </c>
      <c r="H65" s="165" t="s">
        <v>205</v>
      </c>
      <c r="I65" s="165" t="s">
        <v>206</v>
      </c>
      <c r="J65" s="165" t="s">
        <v>207</v>
      </c>
      <c r="K65" s="165" t="s">
        <v>220</v>
      </c>
      <c r="L65" s="165"/>
      <c r="M65" s="165"/>
    </row>
    <row r="66" spans="1:13" x14ac:dyDescent="0.25">
      <c r="A66" s="165" t="s">
        <v>256</v>
      </c>
      <c r="B66" s="165" t="s">
        <v>205</v>
      </c>
      <c r="C66" s="165" t="s">
        <v>206</v>
      </c>
      <c r="D66" s="165" t="s">
        <v>207</v>
      </c>
      <c r="E66" s="165">
        <v>40.909999999999997</v>
      </c>
      <c r="F66" s="165"/>
      <c r="G66" s="165" t="s">
        <v>290</v>
      </c>
      <c r="H66" s="165" t="s">
        <v>205</v>
      </c>
      <c r="I66" s="165" t="s">
        <v>206</v>
      </c>
      <c r="J66" s="165" t="s">
        <v>207</v>
      </c>
      <c r="K66" s="165" t="s">
        <v>220</v>
      </c>
      <c r="L66" s="165"/>
      <c r="M66" s="165"/>
    </row>
    <row r="67" spans="1:13" x14ac:dyDescent="0.25">
      <c r="A67" s="165" t="s">
        <v>256</v>
      </c>
      <c r="B67" s="165" t="s">
        <v>209</v>
      </c>
      <c r="C67" s="165" t="s">
        <v>206</v>
      </c>
      <c r="D67" s="165" t="s">
        <v>210</v>
      </c>
      <c r="E67" s="165">
        <v>39.409999999999997</v>
      </c>
      <c r="F67" s="165"/>
      <c r="G67" s="165" t="s">
        <v>291</v>
      </c>
      <c r="H67" s="165" t="s">
        <v>205</v>
      </c>
      <c r="I67" s="165" t="s">
        <v>206</v>
      </c>
      <c r="J67" s="165" t="s">
        <v>207</v>
      </c>
      <c r="K67" s="165" t="s">
        <v>220</v>
      </c>
      <c r="L67" s="165"/>
      <c r="M67" s="165"/>
    </row>
    <row r="68" spans="1:13" x14ac:dyDescent="0.25">
      <c r="A68" s="165" t="s">
        <v>257</v>
      </c>
      <c r="B68" s="165" t="s">
        <v>205</v>
      </c>
      <c r="C68" s="165" t="s">
        <v>206</v>
      </c>
      <c r="D68" s="165" t="s">
        <v>207</v>
      </c>
      <c r="E68" s="165" t="s">
        <v>220</v>
      </c>
      <c r="F68" s="165"/>
      <c r="G68" s="165" t="s">
        <v>292</v>
      </c>
      <c r="H68" s="165" t="s">
        <v>205</v>
      </c>
      <c r="I68" s="165" t="s">
        <v>206</v>
      </c>
      <c r="J68" s="165" t="s">
        <v>207</v>
      </c>
      <c r="K68" s="165" t="s">
        <v>220</v>
      </c>
      <c r="L68" s="165"/>
      <c r="M68" s="165"/>
    </row>
    <row r="69" spans="1:13" x14ac:dyDescent="0.25">
      <c r="A69" s="165" t="s">
        <v>257</v>
      </c>
      <c r="B69" s="165" t="s">
        <v>209</v>
      </c>
      <c r="C69" s="165" t="s">
        <v>206</v>
      </c>
      <c r="D69" s="165" t="s">
        <v>210</v>
      </c>
      <c r="E69" s="165">
        <v>38.99</v>
      </c>
      <c r="F69" s="165"/>
      <c r="G69" s="165" t="s">
        <v>293</v>
      </c>
      <c r="H69" s="165" t="s">
        <v>205</v>
      </c>
      <c r="I69" s="165" t="s">
        <v>206</v>
      </c>
      <c r="J69" s="165" t="s">
        <v>207</v>
      </c>
      <c r="K69" s="165" t="s">
        <v>220</v>
      </c>
      <c r="L69" s="165"/>
      <c r="M69" s="165"/>
    </row>
    <row r="70" spans="1:13" x14ac:dyDescent="0.25">
      <c r="A70" s="165" t="s">
        <v>258</v>
      </c>
      <c r="B70" s="165" t="s">
        <v>205</v>
      </c>
      <c r="C70" s="165" t="s">
        <v>206</v>
      </c>
      <c r="D70" s="165" t="s">
        <v>207</v>
      </c>
      <c r="E70" s="165" t="s">
        <v>220</v>
      </c>
      <c r="F70" s="165"/>
      <c r="G70" s="165" t="s">
        <v>294</v>
      </c>
      <c r="H70" s="165" t="s">
        <v>205</v>
      </c>
      <c r="I70" s="165" t="s">
        <v>206</v>
      </c>
      <c r="J70" s="165" t="s">
        <v>207</v>
      </c>
      <c r="K70" s="165" t="s">
        <v>220</v>
      </c>
      <c r="L70" s="165"/>
      <c r="M70" s="165"/>
    </row>
    <row r="71" spans="1:13" x14ac:dyDescent="0.25">
      <c r="A71" s="165" t="s">
        <v>258</v>
      </c>
      <c r="B71" s="165" t="s">
        <v>209</v>
      </c>
      <c r="C71" s="165" t="s">
        <v>206</v>
      </c>
      <c r="D71" s="165" t="s">
        <v>210</v>
      </c>
      <c r="E71" s="165">
        <v>39.22</v>
      </c>
      <c r="F71" s="165"/>
      <c r="G71" s="165" t="s">
        <v>295</v>
      </c>
      <c r="H71" s="165" t="s">
        <v>205</v>
      </c>
      <c r="I71" s="165" t="s">
        <v>206</v>
      </c>
      <c r="J71" s="165" t="s">
        <v>207</v>
      </c>
      <c r="K71" s="165" t="s">
        <v>220</v>
      </c>
      <c r="L71" s="165"/>
      <c r="M71" s="165"/>
    </row>
    <row r="72" spans="1:13" x14ac:dyDescent="0.25">
      <c r="A72" s="165" t="s">
        <v>259</v>
      </c>
      <c r="B72" s="165" t="s">
        <v>205</v>
      </c>
      <c r="C72" s="165" t="s">
        <v>206</v>
      </c>
      <c r="D72" s="165" t="s">
        <v>207</v>
      </c>
      <c r="E72" s="165" t="s">
        <v>220</v>
      </c>
      <c r="F72" s="165"/>
      <c r="G72" s="165" t="s">
        <v>296</v>
      </c>
      <c r="H72" s="165" t="s">
        <v>205</v>
      </c>
      <c r="I72" s="165" t="s">
        <v>206</v>
      </c>
      <c r="J72" s="165" t="s">
        <v>207</v>
      </c>
      <c r="K72" s="165" t="s">
        <v>220</v>
      </c>
      <c r="L72" s="165"/>
      <c r="M72" s="165"/>
    </row>
    <row r="73" spans="1:13" x14ac:dyDescent="0.25">
      <c r="A73" s="165" t="s">
        <v>259</v>
      </c>
      <c r="B73" s="165" t="s">
        <v>209</v>
      </c>
      <c r="C73" s="165" t="s">
        <v>206</v>
      </c>
      <c r="D73" s="165" t="s">
        <v>210</v>
      </c>
      <c r="E73" s="165">
        <v>39.25</v>
      </c>
      <c r="F73" s="165"/>
      <c r="G73" s="165" t="s">
        <v>297</v>
      </c>
      <c r="H73" s="165" t="s">
        <v>205</v>
      </c>
      <c r="I73" s="165" t="s">
        <v>206</v>
      </c>
      <c r="J73" s="165" t="s">
        <v>207</v>
      </c>
      <c r="K73" s="165" t="s">
        <v>220</v>
      </c>
      <c r="L73" s="165"/>
      <c r="M73" s="165"/>
    </row>
    <row r="74" spans="1:13" x14ac:dyDescent="0.25">
      <c r="A74" s="165" t="s">
        <v>260</v>
      </c>
      <c r="B74" s="165" t="s">
        <v>205</v>
      </c>
      <c r="C74" s="165" t="s">
        <v>206</v>
      </c>
      <c r="D74" s="165" t="s">
        <v>207</v>
      </c>
      <c r="E74" s="165" t="s">
        <v>220</v>
      </c>
      <c r="F74" s="165"/>
      <c r="G74" s="165" t="s">
        <v>298</v>
      </c>
      <c r="H74" s="165" t="s">
        <v>205</v>
      </c>
      <c r="I74" s="165" t="s">
        <v>206</v>
      </c>
      <c r="J74" s="165" t="s">
        <v>207</v>
      </c>
      <c r="K74" s="165">
        <v>32.92</v>
      </c>
      <c r="L74" s="165">
        <f>AVERAGE(K74:K76)</f>
        <v>32.81666666666667</v>
      </c>
      <c r="M74" s="165">
        <f>STDEV(K74:K76)</f>
        <v>0.31785741037976961</v>
      </c>
    </row>
    <row r="75" spans="1:13" x14ac:dyDescent="0.25">
      <c r="A75" s="165" t="s">
        <v>260</v>
      </c>
      <c r="B75" s="165" t="s">
        <v>209</v>
      </c>
      <c r="C75" s="165" t="s">
        <v>206</v>
      </c>
      <c r="D75" s="165" t="s">
        <v>210</v>
      </c>
      <c r="E75" s="165">
        <v>38.979999999999997</v>
      </c>
      <c r="F75" s="165"/>
      <c r="G75" s="165" t="s">
        <v>299</v>
      </c>
      <c r="H75" s="165" t="s">
        <v>205</v>
      </c>
      <c r="I75" s="165" t="s">
        <v>206</v>
      </c>
      <c r="J75" s="165" t="s">
        <v>207</v>
      </c>
      <c r="K75" s="165">
        <v>33.07</v>
      </c>
      <c r="L75" s="165"/>
      <c r="M75" s="165"/>
    </row>
    <row r="76" spans="1:13" x14ac:dyDescent="0.25">
      <c r="A76" s="165" t="s">
        <v>261</v>
      </c>
      <c r="B76" s="165" t="s">
        <v>205</v>
      </c>
      <c r="C76" s="165" t="s">
        <v>206</v>
      </c>
      <c r="D76" s="165" t="s">
        <v>207</v>
      </c>
      <c r="E76" s="165" t="s">
        <v>220</v>
      </c>
      <c r="F76" s="165"/>
      <c r="G76" s="165" t="s">
        <v>300</v>
      </c>
      <c r="H76" s="165" t="s">
        <v>205</v>
      </c>
      <c r="I76" s="165" t="s">
        <v>206</v>
      </c>
      <c r="J76" s="165" t="s">
        <v>207</v>
      </c>
      <c r="K76" s="165">
        <v>32.46</v>
      </c>
      <c r="L76" s="165"/>
      <c r="M76" s="165"/>
    </row>
    <row r="77" spans="1:13" x14ac:dyDescent="0.25">
      <c r="A77" s="165" t="s">
        <v>261</v>
      </c>
      <c r="B77" s="165" t="s">
        <v>209</v>
      </c>
      <c r="C77" s="165" t="s">
        <v>206</v>
      </c>
      <c r="D77" s="165" t="s">
        <v>210</v>
      </c>
      <c r="E77" s="165">
        <v>39.4</v>
      </c>
      <c r="F77" s="165"/>
      <c r="G77" s="165" t="s">
        <v>301</v>
      </c>
      <c r="H77" s="165" t="s">
        <v>205</v>
      </c>
      <c r="I77" s="165" t="s">
        <v>206</v>
      </c>
      <c r="J77" s="165" t="s">
        <v>207</v>
      </c>
      <c r="K77" s="165">
        <v>36.78</v>
      </c>
      <c r="L77" s="165">
        <f>AVERAGE(K77:K79)</f>
        <v>36.860000000000007</v>
      </c>
      <c r="M77" s="165">
        <f>STDEV(K77:K79)</f>
        <v>0.52459508194415971</v>
      </c>
    </row>
    <row r="78" spans="1:13" x14ac:dyDescent="0.25">
      <c r="A78" s="165" t="s">
        <v>262</v>
      </c>
      <c r="B78" s="165" t="s">
        <v>205</v>
      </c>
      <c r="C78" s="165" t="s">
        <v>206</v>
      </c>
      <c r="D78" s="165" t="s">
        <v>207</v>
      </c>
      <c r="E78" s="165" t="s">
        <v>220</v>
      </c>
      <c r="F78" s="165"/>
      <c r="G78" s="165" t="s">
        <v>302</v>
      </c>
      <c r="H78" s="165" t="s">
        <v>205</v>
      </c>
      <c r="I78" s="165" t="s">
        <v>206</v>
      </c>
      <c r="J78" s="165" t="s">
        <v>207</v>
      </c>
      <c r="K78" s="165">
        <v>37.42</v>
      </c>
      <c r="L78" s="165"/>
      <c r="M78" s="165"/>
    </row>
    <row r="79" spans="1:13" x14ac:dyDescent="0.25">
      <c r="A79" s="165" t="s">
        <v>262</v>
      </c>
      <c r="B79" s="165" t="s">
        <v>209</v>
      </c>
      <c r="C79" s="165" t="s">
        <v>206</v>
      </c>
      <c r="D79" s="165" t="s">
        <v>210</v>
      </c>
      <c r="E79" s="165">
        <v>38.78</v>
      </c>
      <c r="F79" s="165"/>
      <c r="G79" s="165" t="s">
        <v>303</v>
      </c>
      <c r="H79" s="165" t="s">
        <v>205</v>
      </c>
      <c r="I79" s="165" t="s">
        <v>206</v>
      </c>
      <c r="J79" s="165" t="s">
        <v>207</v>
      </c>
      <c r="K79" s="165">
        <v>36.380000000000003</v>
      </c>
      <c r="L79" s="165"/>
      <c r="M79" s="165"/>
    </row>
    <row r="80" spans="1:13" x14ac:dyDescent="0.25">
      <c r="A80" s="165" t="s">
        <v>263</v>
      </c>
      <c r="B80" s="165" t="s">
        <v>205</v>
      </c>
      <c r="C80" s="165" t="s">
        <v>206</v>
      </c>
      <c r="D80" s="165" t="s">
        <v>207</v>
      </c>
      <c r="E80" s="165" t="s">
        <v>220</v>
      </c>
      <c r="F80" s="165"/>
      <c r="G80" s="165" t="s">
        <v>304</v>
      </c>
      <c r="H80" s="165" t="s">
        <v>205</v>
      </c>
      <c r="I80" s="165" t="s">
        <v>206</v>
      </c>
      <c r="J80" s="165" t="s">
        <v>207</v>
      </c>
      <c r="K80" s="165">
        <v>41.43</v>
      </c>
      <c r="L80" s="165">
        <f>AVERAGE(K80:K82)</f>
        <v>41.383333333333333</v>
      </c>
      <c r="M80" s="165">
        <f>STDEV(K80:K82)</f>
        <v>0.16502525059315384</v>
      </c>
    </row>
    <row r="81" spans="1:11" x14ac:dyDescent="0.25">
      <c r="A81" s="165" t="s">
        <v>263</v>
      </c>
      <c r="B81" s="165" t="s">
        <v>209</v>
      </c>
      <c r="C81" s="165" t="s">
        <v>206</v>
      </c>
      <c r="D81" s="165" t="s">
        <v>210</v>
      </c>
      <c r="E81" s="165">
        <v>39.4</v>
      </c>
      <c r="F81" s="165"/>
      <c r="G81" s="165" t="s">
        <v>305</v>
      </c>
      <c r="H81" s="165" t="s">
        <v>205</v>
      </c>
      <c r="I81" s="165" t="s">
        <v>206</v>
      </c>
      <c r="J81" s="165" t="s">
        <v>207</v>
      </c>
      <c r="K81" s="165">
        <v>41.2</v>
      </c>
    </row>
    <row r="82" spans="1:11" x14ac:dyDescent="0.25">
      <c r="A82" s="165" t="s">
        <v>264</v>
      </c>
      <c r="B82" s="165" t="s">
        <v>205</v>
      </c>
      <c r="C82" s="165" t="s">
        <v>206</v>
      </c>
      <c r="D82" s="165" t="s">
        <v>207</v>
      </c>
      <c r="E82" s="165" t="s">
        <v>220</v>
      </c>
      <c r="F82" s="165"/>
      <c r="G82" s="165" t="s">
        <v>306</v>
      </c>
      <c r="H82" s="165" t="s">
        <v>205</v>
      </c>
      <c r="I82" s="165" t="s">
        <v>206</v>
      </c>
      <c r="J82" s="165" t="s">
        <v>207</v>
      </c>
      <c r="K82" s="165">
        <v>41.52</v>
      </c>
    </row>
    <row r="83" spans="1:11" x14ac:dyDescent="0.25">
      <c r="A83" s="165" t="s">
        <v>264</v>
      </c>
      <c r="B83" s="165" t="s">
        <v>209</v>
      </c>
      <c r="C83" s="165" t="s">
        <v>206</v>
      </c>
      <c r="D83" s="165" t="s">
        <v>210</v>
      </c>
      <c r="E83" s="165">
        <v>39.57</v>
      </c>
      <c r="F83" s="165"/>
      <c r="G83" s="165" t="s">
        <v>307</v>
      </c>
      <c r="H83" s="165" t="s">
        <v>205</v>
      </c>
      <c r="I83" s="165" t="s">
        <v>206</v>
      </c>
      <c r="J83" s="165" t="s">
        <v>207</v>
      </c>
      <c r="K83" s="165" t="s">
        <v>220</v>
      </c>
    </row>
    <row r="84" spans="1:11" x14ac:dyDescent="0.25">
      <c r="A84" s="165" t="s">
        <v>265</v>
      </c>
      <c r="B84" s="165" t="s">
        <v>205</v>
      </c>
      <c r="C84" s="165" t="s">
        <v>206</v>
      </c>
      <c r="D84" s="165" t="s">
        <v>207</v>
      </c>
      <c r="E84" s="165" t="s">
        <v>220</v>
      </c>
      <c r="F84" s="165"/>
      <c r="G84" s="165" t="s">
        <v>308</v>
      </c>
      <c r="H84" s="165" t="s">
        <v>205</v>
      </c>
      <c r="I84" s="165" t="s">
        <v>206</v>
      </c>
      <c r="J84" s="165" t="s">
        <v>207</v>
      </c>
      <c r="K84" s="165" t="s">
        <v>220</v>
      </c>
    </row>
    <row r="85" spans="1:11" x14ac:dyDescent="0.25">
      <c r="A85" s="165" t="s">
        <v>265</v>
      </c>
      <c r="B85" s="165" t="s">
        <v>209</v>
      </c>
      <c r="C85" s="165" t="s">
        <v>206</v>
      </c>
      <c r="D85" s="165" t="s">
        <v>210</v>
      </c>
      <c r="E85" s="165">
        <v>39.47</v>
      </c>
      <c r="F85" s="165"/>
      <c r="G85" s="165" t="s">
        <v>309</v>
      </c>
      <c r="H85" s="165" t="s">
        <v>205</v>
      </c>
      <c r="I85" s="165" t="s">
        <v>206</v>
      </c>
      <c r="J85" s="165" t="s">
        <v>207</v>
      </c>
      <c r="K85" s="165" t="s">
        <v>220</v>
      </c>
    </row>
    <row r="86" spans="1:11" x14ac:dyDescent="0.25">
      <c r="A86" s="165" t="s">
        <v>266</v>
      </c>
      <c r="B86" s="165" t="s">
        <v>205</v>
      </c>
      <c r="C86" s="165" t="s">
        <v>206</v>
      </c>
      <c r="D86" s="165" t="s">
        <v>207</v>
      </c>
      <c r="E86" s="165" t="s">
        <v>220</v>
      </c>
      <c r="F86" s="165"/>
      <c r="G86" s="165" t="s">
        <v>310</v>
      </c>
      <c r="H86" s="165" t="s">
        <v>205</v>
      </c>
      <c r="I86" s="165" t="s">
        <v>206</v>
      </c>
      <c r="J86" s="165" t="s">
        <v>207</v>
      </c>
      <c r="K86" s="165" t="s">
        <v>220</v>
      </c>
    </row>
    <row r="87" spans="1:11" x14ac:dyDescent="0.25">
      <c r="A87" s="165" t="s">
        <v>266</v>
      </c>
      <c r="B87" s="165" t="s">
        <v>209</v>
      </c>
      <c r="C87" s="165" t="s">
        <v>206</v>
      </c>
      <c r="D87" s="165" t="s">
        <v>210</v>
      </c>
      <c r="E87" s="165">
        <v>38.380000000000003</v>
      </c>
      <c r="F87" s="165"/>
      <c r="G87" s="165" t="s">
        <v>311</v>
      </c>
      <c r="H87" s="165" t="s">
        <v>205</v>
      </c>
      <c r="I87" s="165" t="s">
        <v>206</v>
      </c>
      <c r="J87" s="165" t="s">
        <v>207</v>
      </c>
      <c r="K87" s="165" t="s">
        <v>220</v>
      </c>
    </row>
    <row r="88" spans="1:11" x14ac:dyDescent="0.25">
      <c r="A88" s="165" t="s">
        <v>267</v>
      </c>
      <c r="B88" s="165" t="s">
        <v>205</v>
      </c>
      <c r="C88" s="165" t="s">
        <v>206</v>
      </c>
      <c r="D88" s="165" t="s">
        <v>207</v>
      </c>
      <c r="E88" s="165" t="s">
        <v>220</v>
      </c>
      <c r="F88" s="165"/>
      <c r="G88" s="165" t="s">
        <v>312</v>
      </c>
      <c r="H88" s="165" t="s">
        <v>205</v>
      </c>
      <c r="I88" s="165" t="s">
        <v>206</v>
      </c>
      <c r="J88" s="165" t="s">
        <v>207</v>
      </c>
      <c r="K88" s="165" t="s">
        <v>220</v>
      </c>
    </row>
    <row r="89" spans="1:11" x14ac:dyDescent="0.25">
      <c r="A89" s="165" t="s">
        <v>267</v>
      </c>
      <c r="B89" s="165" t="s">
        <v>209</v>
      </c>
      <c r="C89" s="165" t="s">
        <v>206</v>
      </c>
      <c r="D89" s="165" t="s">
        <v>210</v>
      </c>
      <c r="E89" s="165">
        <v>38.85</v>
      </c>
      <c r="F89" s="165"/>
      <c r="G89" s="165" t="s">
        <v>313</v>
      </c>
      <c r="H89" s="165" t="s">
        <v>205</v>
      </c>
      <c r="I89" s="165" t="s">
        <v>206</v>
      </c>
      <c r="J89" s="165" t="s">
        <v>207</v>
      </c>
      <c r="K89" s="165" t="s">
        <v>220</v>
      </c>
    </row>
    <row r="90" spans="1:11" x14ac:dyDescent="0.25">
      <c r="A90" s="165" t="s">
        <v>268</v>
      </c>
      <c r="B90" s="165" t="s">
        <v>205</v>
      </c>
      <c r="C90" s="165" t="s">
        <v>206</v>
      </c>
      <c r="D90" s="165" t="s">
        <v>207</v>
      </c>
      <c r="E90" s="165" t="s">
        <v>220</v>
      </c>
      <c r="F90" s="165"/>
      <c r="G90" s="165" t="s">
        <v>314</v>
      </c>
      <c r="H90" s="165" t="s">
        <v>205</v>
      </c>
      <c r="I90" s="165" t="s">
        <v>206</v>
      </c>
      <c r="J90" s="165" t="s">
        <v>207</v>
      </c>
      <c r="K90" s="165" t="s">
        <v>220</v>
      </c>
    </row>
    <row r="91" spans="1:11" x14ac:dyDescent="0.25">
      <c r="A91" s="165" t="s">
        <v>268</v>
      </c>
      <c r="B91" s="165" t="s">
        <v>209</v>
      </c>
      <c r="C91" s="165" t="s">
        <v>206</v>
      </c>
      <c r="D91" s="165" t="s">
        <v>210</v>
      </c>
      <c r="E91" s="165">
        <v>40.32</v>
      </c>
      <c r="F91" s="165"/>
      <c r="G91" s="165" t="s">
        <v>315</v>
      </c>
      <c r="H91" s="165" t="s">
        <v>205</v>
      </c>
      <c r="I91" s="165" t="s">
        <v>206</v>
      </c>
      <c r="J91" s="165" t="s">
        <v>207</v>
      </c>
      <c r="K91" s="165" t="s">
        <v>220</v>
      </c>
    </row>
    <row r="92" spans="1:11" x14ac:dyDescent="0.25">
      <c r="A92" s="165" t="s">
        <v>270</v>
      </c>
      <c r="B92" s="165" t="s">
        <v>205</v>
      </c>
      <c r="C92" s="165" t="s">
        <v>206</v>
      </c>
      <c r="D92" s="165" t="s">
        <v>207</v>
      </c>
      <c r="E92" s="165" t="s">
        <v>220</v>
      </c>
      <c r="F92" s="165"/>
      <c r="G92" s="165" t="s">
        <v>316</v>
      </c>
      <c r="H92" s="165" t="s">
        <v>205</v>
      </c>
      <c r="I92" s="165" t="s">
        <v>206</v>
      </c>
      <c r="J92" s="165" t="s">
        <v>207</v>
      </c>
      <c r="K92" s="165" t="s">
        <v>220</v>
      </c>
    </row>
    <row r="93" spans="1:11" x14ac:dyDescent="0.25">
      <c r="A93" s="165" t="s">
        <v>270</v>
      </c>
      <c r="B93" s="165" t="s">
        <v>209</v>
      </c>
      <c r="C93" s="165" t="s">
        <v>206</v>
      </c>
      <c r="D93" s="165" t="s">
        <v>210</v>
      </c>
      <c r="E93" s="165">
        <v>39.15</v>
      </c>
      <c r="F93" s="165"/>
      <c r="G93" s="165" t="s">
        <v>317</v>
      </c>
      <c r="H93" s="165" t="s">
        <v>205</v>
      </c>
      <c r="I93" s="165" t="s">
        <v>206</v>
      </c>
      <c r="J93" s="165" t="s">
        <v>207</v>
      </c>
      <c r="K93" s="165" t="s">
        <v>220</v>
      </c>
    </row>
    <row r="94" spans="1:11" x14ac:dyDescent="0.25">
      <c r="A94" s="165" t="s">
        <v>272</v>
      </c>
      <c r="B94" s="165" t="s">
        <v>205</v>
      </c>
      <c r="C94" s="165" t="s">
        <v>206</v>
      </c>
      <c r="D94" s="165" t="s">
        <v>207</v>
      </c>
      <c r="E94" s="165" t="s">
        <v>220</v>
      </c>
      <c r="F94" s="165"/>
      <c r="G94" s="165" t="s">
        <v>318</v>
      </c>
      <c r="H94" s="165" t="s">
        <v>205</v>
      </c>
      <c r="I94" s="165" t="s">
        <v>206</v>
      </c>
      <c r="J94" s="165" t="s">
        <v>207</v>
      </c>
      <c r="K94" s="165" t="s">
        <v>220</v>
      </c>
    </row>
    <row r="95" spans="1:11" x14ac:dyDescent="0.25">
      <c r="A95" s="165" t="s">
        <v>272</v>
      </c>
      <c r="B95" s="165" t="s">
        <v>209</v>
      </c>
      <c r="C95" s="165" t="s">
        <v>206</v>
      </c>
      <c r="D95" s="165" t="s">
        <v>210</v>
      </c>
      <c r="E95" s="165">
        <v>39.5</v>
      </c>
      <c r="F95" s="165"/>
      <c r="G95" s="165" t="s">
        <v>319</v>
      </c>
      <c r="H95" s="165" t="s">
        <v>205</v>
      </c>
      <c r="I95" s="165" t="s">
        <v>320</v>
      </c>
      <c r="J95" s="165" t="s">
        <v>207</v>
      </c>
      <c r="K95" s="165" t="s">
        <v>220</v>
      </c>
    </row>
    <row r="96" spans="1:11" x14ac:dyDescent="0.25">
      <c r="A96" s="165" t="s">
        <v>273</v>
      </c>
      <c r="B96" s="165" t="s">
        <v>205</v>
      </c>
      <c r="C96" s="165" t="s">
        <v>206</v>
      </c>
      <c r="D96" s="165" t="s">
        <v>207</v>
      </c>
      <c r="E96" s="165" t="s">
        <v>220</v>
      </c>
      <c r="F96" s="165"/>
      <c r="G96" s="165" t="s">
        <v>321</v>
      </c>
      <c r="H96" s="165" t="s">
        <v>205</v>
      </c>
      <c r="I96" s="165" t="s">
        <v>320</v>
      </c>
      <c r="J96" s="165" t="s">
        <v>207</v>
      </c>
      <c r="K96" s="165" t="s">
        <v>220</v>
      </c>
    </row>
    <row r="97" spans="1:12" x14ac:dyDescent="0.25">
      <c r="A97" s="165" t="s">
        <v>273</v>
      </c>
      <c r="B97" s="165" t="s">
        <v>209</v>
      </c>
      <c r="C97" s="165" t="s">
        <v>206</v>
      </c>
      <c r="D97" s="165" t="s">
        <v>210</v>
      </c>
      <c r="E97" s="165">
        <v>39.340000000000003</v>
      </c>
      <c r="F97" s="165"/>
      <c r="G97" s="165" t="s">
        <v>322</v>
      </c>
      <c r="H97" s="165" t="s">
        <v>205</v>
      </c>
      <c r="I97" s="165" t="s">
        <v>320</v>
      </c>
      <c r="J97" s="165" t="s">
        <v>207</v>
      </c>
      <c r="K97" s="165" t="s">
        <v>220</v>
      </c>
      <c r="L97" s="165"/>
    </row>
    <row r="98" spans="1:12" x14ac:dyDescent="0.25">
      <c r="A98" s="165" t="s">
        <v>274</v>
      </c>
      <c r="B98" s="165" t="s">
        <v>205</v>
      </c>
      <c r="C98" s="165" t="s">
        <v>206</v>
      </c>
      <c r="D98" s="165" t="s">
        <v>207</v>
      </c>
      <c r="E98" s="165">
        <v>32.26</v>
      </c>
      <c r="F98" s="165"/>
      <c r="G98" s="165" t="s">
        <v>204</v>
      </c>
      <c r="H98" s="165" t="s">
        <v>209</v>
      </c>
      <c r="I98" s="165" t="s">
        <v>206</v>
      </c>
      <c r="J98" s="165" t="s">
        <v>210</v>
      </c>
      <c r="K98" s="165">
        <v>28.51</v>
      </c>
      <c r="L98" s="165">
        <f>AVERAGE(K98:K100)</f>
        <v>28.616666666666664</v>
      </c>
    </row>
    <row r="99" spans="1:12" x14ac:dyDescent="0.25">
      <c r="A99" s="165" t="s">
        <v>274</v>
      </c>
      <c r="B99" s="165" t="s">
        <v>209</v>
      </c>
      <c r="C99" s="165" t="s">
        <v>206</v>
      </c>
      <c r="D99" s="165" t="s">
        <v>210</v>
      </c>
      <c r="E99" s="165">
        <v>40.72</v>
      </c>
      <c r="F99" s="165"/>
      <c r="G99" s="165" t="s">
        <v>211</v>
      </c>
      <c r="H99" s="165" t="s">
        <v>209</v>
      </c>
      <c r="I99" s="165" t="s">
        <v>206</v>
      </c>
      <c r="J99" s="165" t="s">
        <v>210</v>
      </c>
      <c r="K99" s="165">
        <v>28.57</v>
      </c>
      <c r="L99" s="165"/>
    </row>
    <row r="100" spans="1:12" x14ac:dyDescent="0.25">
      <c r="A100" s="165" t="s">
        <v>275</v>
      </c>
      <c r="B100" s="165" t="s">
        <v>205</v>
      </c>
      <c r="C100" s="165" t="s">
        <v>206</v>
      </c>
      <c r="D100" s="165" t="s">
        <v>207</v>
      </c>
      <c r="E100" s="165">
        <v>32.39</v>
      </c>
      <c r="F100" s="165"/>
      <c r="G100" s="165" t="s">
        <v>212</v>
      </c>
      <c r="H100" s="165" t="s">
        <v>209</v>
      </c>
      <c r="I100" s="165" t="s">
        <v>206</v>
      </c>
      <c r="J100" s="165" t="s">
        <v>210</v>
      </c>
      <c r="K100" s="165">
        <v>28.77</v>
      </c>
      <c r="L100" s="165"/>
    </row>
    <row r="101" spans="1:12" x14ac:dyDescent="0.25">
      <c r="A101" s="165" t="s">
        <v>275</v>
      </c>
      <c r="B101" s="165" t="s">
        <v>209</v>
      </c>
      <c r="C101" s="165" t="s">
        <v>206</v>
      </c>
      <c r="D101" s="165" t="s">
        <v>210</v>
      </c>
      <c r="E101" s="165">
        <v>41.62</v>
      </c>
      <c r="F101" s="165"/>
      <c r="G101" s="165" t="s">
        <v>213</v>
      </c>
      <c r="H101" s="165" t="s">
        <v>209</v>
      </c>
      <c r="I101" s="165" t="s">
        <v>206</v>
      </c>
      <c r="J101" s="165" t="s">
        <v>210</v>
      </c>
      <c r="K101" s="165">
        <v>29.86</v>
      </c>
      <c r="L101" s="165">
        <f>AVERAGE(K101:K103)</f>
        <v>29.536666666666665</v>
      </c>
    </row>
    <row r="102" spans="1:12" x14ac:dyDescent="0.25">
      <c r="A102" s="165" t="s">
        <v>276</v>
      </c>
      <c r="B102" s="165" t="s">
        <v>205</v>
      </c>
      <c r="C102" s="165" t="s">
        <v>206</v>
      </c>
      <c r="D102" s="165" t="s">
        <v>207</v>
      </c>
      <c r="E102" s="165">
        <v>32.119999999999997</v>
      </c>
      <c r="F102" s="165"/>
      <c r="G102" s="165" t="s">
        <v>214</v>
      </c>
      <c r="H102" s="165" t="s">
        <v>209</v>
      </c>
      <c r="I102" s="165" t="s">
        <v>206</v>
      </c>
      <c r="J102" s="165" t="s">
        <v>210</v>
      </c>
      <c r="K102" s="165">
        <v>29.44</v>
      </c>
      <c r="L102" s="165"/>
    </row>
    <row r="103" spans="1:12" x14ac:dyDescent="0.25">
      <c r="A103" s="165" t="s">
        <v>276</v>
      </c>
      <c r="B103" s="165" t="s">
        <v>209</v>
      </c>
      <c r="C103" s="165" t="s">
        <v>206</v>
      </c>
      <c r="D103" s="165" t="s">
        <v>210</v>
      </c>
      <c r="E103" s="165">
        <v>43.08</v>
      </c>
      <c r="F103" s="165"/>
      <c r="G103" s="165" t="s">
        <v>215</v>
      </c>
      <c r="H103" s="165" t="s">
        <v>209</v>
      </c>
      <c r="I103" s="165" t="s">
        <v>206</v>
      </c>
      <c r="J103" s="165" t="s">
        <v>210</v>
      </c>
      <c r="K103" s="165">
        <v>29.31</v>
      </c>
      <c r="L103" s="165"/>
    </row>
    <row r="104" spans="1:12" x14ac:dyDescent="0.25">
      <c r="A104" s="165" t="s">
        <v>277</v>
      </c>
      <c r="B104" s="165" t="s">
        <v>205</v>
      </c>
      <c r="C104" s="165" t="s">
        <v>206</v>
      </c>
      <c r="D104" s="165" t="s">
        <v>207</v>
      </c>
      <c r="E104" s="165">
        <v>36.33</v>
      </c>
      <c r="F104" s="165"/>
      <c r="G104" s="165" t="s">
        <v>216</v>
      </c>
      <c r="H104" s="165" t="s">
        <v>209</v>
      </c>
      <c r="I104" s="165" t="s">
        <v>206</v>
      </c>
      <c r="J104" s="165" t="s">
        <v>210</v>
      </c>
      <c r="K104" s="165">
        <v>29.86</v>
      </c>
      <c r="L104" s="165">
        <f>AVERAGE(K104:K106)</f>
        <v>30.006666666666664</v>
      </c>
    </row>
    <row r="105" spans="1:12" x14ac:dyDescent="0.25">
      <c r="A105" s="165" t="s">
        <v>277</v>
      </c>
      <c r="B105" s="165" t="s">
        <v>209</v>
      </c>
      <c r="C105" s="165" t="s">
        <v>206</v>
      </c>
      <c r="D105" s="165" t="s">
        <v>210</v>
      </c>
      <c r="E105" s="165">
        <v>41.41</v>
      </c>
      <c r="F105" s="165"/>
      <c r="G105" s="165" t="s">
        <v>217</v>
      </c>
      <c r="H105" s="165" t="s">
        <v>209</v>
      </c>
      <c r="I105" s="165" t="s">
        <v>206</v>
      </c>
      <c r="J105" s="165" t="s">
        <v>210</v>
      </c>
      <c r="K105" s="165">
        <v>29.96</v>
      </c>
      <c r="L105" s="165"/>
    </row>
    <row r="106" spans="1:12" x14ac:dyDescent="0.25">
      <c r="A106" s="165" t="s">
        <v>278</v>
      </c>
      <c r="B106" s="165" t="s">
        <v>205</v>
      </c>
      <c r="C106" s="165" t="s">
        <v>206</v>
      </c>
      <c r="D106" s="165" t="s">
        <v>207</v>
      </c>
      <c r="E106" s="165">
        <v>36.53</v>
      </c>
      <c r="F106" s="165"/>
      <c r="G106" s="165" t="s">
        <v>218</v>
      </c>
      <c r="H106" s="165" t="s">
        <v>209</v>
      </c>
      <c r="I106" s="165" t="s">
        <v>206</v>
      </c>
      <c r="J106" s="165" t="s">
        <v>210</v>
      </c>
      <c r="K106" s="165">
        <v>30.2</v>
      </c>
      <c r="L106" s="165"/>
    </row>
    <row r="107" spans="1:12" x14ac:dyDescent="0.25">
      <c r="A107" s="165" t="s">
        <v>278</v>
      </c>
      <c r="B107" s="165" t="s">
        <v>209</v>
      </c>
      <c r="C107" s="165" t="s">
        <v>206</v>
      </c>
      <c r="D107" s="165" t="s">
        <v>210</v>
      </c>
      <c r="E107" s="165">
        <v>41.93</v>
      </c>
      <c r="F107" s="165"/>
      <c r="G107" s="165" t="s">
        <v>219</v>
      </c>
      <c r="H107" s="165" t="s">
        <v>209</v>
      </c>
      <c r="I107" s="165" t="s">
        <v>206</v>
      </c>
      <c r="J107" s="165" t="s">
        <v>210</v>
      </c>
      <c r="K107" s="165">
        <v>29.96</v>
      </c>
      <c r="L107" s="165">
        <f>AVERAGE(K107:K109)</f>
        <v>30.016666666666666</v>
      </c>
    </row>
    <row r="108" spans="1:12" x14ac:dyDescent="0.25">
      <c r="A108" s="165" t="s">
        <v>279</v>
      </c>
      <c r="B108" s="165" t="s">
        <v>205</v>
      </c>
      <c r="C108" s="165" t="s">
        <v>206</v>
      </c>
      <c r="D108" s="165" t="s">
        <v>207</v>
      </c>
      <c r="E108" s="165">
        <v>36.32</v>
      </c>
      <c r="F108" s="165"/>
      <c r="G108" s="165" t="s">
        <v>221</v>
      </c>
      <c r="H108" s="165" t="s">
        <v>209</v>
      </c>
      <c r="I108" s="165" t="s">
        <v>206</v>
      </c>
      <c r="J108" s="165" t="s">
        <v>210</v>
      </c>
      <c r="K108" s="165">
        <v>29.95</v>
      </c>
      <c r="L108" s="165"/>
    </row>
    <row r="109" spans="1:12" x14ac:dyDescent="0.25">
      <c r="A109" s="165" t="s">
        <v>279</v>
      </c>
      <c r="B109" s="165" t="s">
        <v>209</v>
      </c>
      <c r="C109" s="165" t="s">
        <v>206</v>
      </c>
      <c r="D109" s="165" t="s">
        <v>210</v>
      </c>
      <c r="E109" s="165">
        <v>41.53</v>
      </c>
      <c r="F109" s="165"/>
      <c r="G109" s="165" t="s">
        <v>222</v>
      </c>
      <c r="H109" s="165" t="s">
        <v>209</v>
      </c>
      <c r="I109" s="165" t="s">
        <v>206</v>
      </c>
      <c r="J109" s="165" t="s">
        <v>210</v>
      </c>
      <c r="K109" s="165">
        <v>30.14</v>
      </c>
      <c r="L109" s="165"/>
    </row>
    <row r="110" spans="1:12" x14ac:dyDescent="0.25">
      <c r="A110" s="165" t="s">
        <v>280</v>
      </c>
      <c r="B110" s="165" t="s">
        <v>205</v>
      </c>
      <c r="C110" s="165" t="s">
        <v>206</v>
      </c>
      <c r="D110" s="165" t="s">
        <v>207</v>
      </c>
      <c r="E110" s="165">
        <v>40.869999999999997</v>
      </c>
      <c r="F110" s="165"/>
      <c r="G110" s="165" t="s">
        <v>223</v>
      </c>
      <c r="H110" s="165" t="s">
        <v>209</v>
      </c>
      <c r="I110" s="165" t="s">
        <v>206</v>
      </c>
      <c r="J110" s="165" t="s">
        <v>210</v>
      </c>
      <c r="K110" s="165">
        <v>29.81</v>
      </c>
      <c r="L110" s="165">
        <f>AVERAGE(K110:K112)</f>
        <v>29.819999999999997</v>
      </c>
    </row>
    <row r="111" spans="1:12" x14ac:dyDescent="0.25">
      <c r="A111" s="165" t="s">
        <v>280</v>
      </c>
      <c r="B111" s="165" t="s">
        <v>209</v>
      </c>
      <c r="C111" s="165" t="s">
        <v>206</v>
      </c>
      <c r="D111" s="165" t="s">
        <v>210</v>
      </c>
      <c r="E111" s="165">
        <v>41.06</v>
      </c>
      <c r="F111" s="165"/>
      <c r="G111" s="165" t="s">
        <v>234</v>
      </c>
      <c r="H111" s="165" t="s">
        <v>209</v>
      </c>
      <c r="I111" s="165" t="s">
        <v>206</v>
      </c>
      <c r="J111" s="165" t="s">
        <v>210</v>
      </c>
      <c r="K111" s="165">
        <v>29.96</v>
      </c>
      <c r="L111" s="165"/>
    </row>
    <row r="112" spans="1:12" x14ac:dyDescent="0.25">
      <c r="A112" s="165" t="s">
        <v>281</v>
      </c>
      <c r="B112" s="165" t="s">
        <v>205</v>
      </c>
      <c r="C112" s="165" t="s">
        <v>206</v>
      </c>
      <c r="D112" s="165" t="s">
        <v>207</v>
      </c>
      <c r="E112" s="165">
        <v>41.4</v>
      </c>
      <c r="F112" s="165"/>
      <c r="G112" s="165" t="s">
        <v>235</v>
      </c>
      <c r="H112" s="165" t="s">
        <v>209</v>
      </c>
      <c r="I112" s="165" t="s">
        <v>206</v>
      </c>
      <c r="J112" s="165" t="s">
        <v>210</v>
      </c>
      <c r="K112" s="165">
        <v>29.69</v>
      </c>
      <c r="L112" s="165"/>
    </row>
    <row r="113" spans="1:12" x14ac:dyDescent="0.25">
      <c r="A113" s="165" t="s">
        <v>281</v>
      </c>
      <c r="B113" s="165" t="s">
        <v>209</v>
      </c>
      <c r="C113" s="165" t="s">
        <v>206</v>
      </c>
      <c r="D113" s="165" t="s">
        <v>210</v>
      </c>
      <c r="E113" s="165">
        <v>41.04</v>
      </c>
      <c r="F113" s="165"/>
      <c r="G113" s="165" t="s">
        <v>236</v>
      </c>
      <c r="H113" s="165" t="s">
        <v>209</v>
      </c>
      <c r="I113" s="165" t="s">
        <v>206</v>
      </c>
      <c r="J113" s="165" t="s">
        <v>210</v>
      </c>
      <c r="K113" s="165">
        <v>29.86</v>
      </c>
      <c r="L113" s="165">
        <f>AVERAGE(K113:K115)</f>
        <v>30.02</v>
      </c>
    </row>
    <row r="114" spans="1:12" x14ac:dyDescent="0.25">
      <c r="A114" s="165" t="s">
        <v>282</v>
      </c>
      <c r="B114" s="165" t="s">
        <v>205</v>
      </c>
      <c r="C114" s="165" t="s">
        <v>206</v>
      </c>
      <c r="D114" s="165" t="s">
        <v>207</v>
      </c>
      <c r="E114" s="165">
        <v>41.4</v>
      </c>
      <c r="F114" s="165"/>
      <c r="G114" s="165" t="s">
        <v>237</v>
      </c>
      <c r="H114" s="165" t="s">
        <v>209</v>
      </c>
      <c r="I114" s="165" t="s">
        <v>206</v>
      </c>
      <c r="J114" s="165" t="s">
        <v>210</v>
      </c>
      <c r="K114" s="165">
        <v>30.14</v>
      </c>
      <c r="L114" s="165"/>
    </row>
    <row r="115" spans="1:12" x14ac:dyDescent="0.25">
      <c r="A115" s="165" t="s">
        <v>282</v>
      </c>
      <c r="B115" s="165" t="s">
        <v>209</v>
      </c>
      <c r="C115" s="165" t="s">
        <v>206</v>
      </c>
      <c r="D115" s="165" t="s">
        <v>210</v>
      </c>
      <c r="E115" s="165">
        <v>42.76</v>
      </c>
      <c r="F115" s="165"/>
      <c r="G115" s="165" t="s">
        <v>238</v>
      </c>
      <c r="H115" s="165" t="s">
        <v>209</v>
      </c>
      <c r="I115" s="165" t="s">
        <v>206</v>
      </c>
      <c r="J115" s="165" t="s">
        <v>210</v>
      </c>
      <c r="K115" s="165">
        <v>30.06</v>
      </c>
      <c r="L115" s="165"/>
    </row>
    <row r="116" spans="1:12" x14ac:dyDescent="0.25">
      <c r="A116" s="165" t="s">
        <v>283</v>
      </c>
      <c r="B116" s="165" t="s">
        <v>205</v>
      </c>
      <c r="C116" s="165" t="s">
        <v>206</v>
      </c>
      <c r="D116" s="165" t="s">
        <v>207</v>
      </c>
      <c r="E116" s="165" t="s">
        <v>220</v>
      </c>
      <c r="F116" s="165"/>
      <c r="G116" s="165" t="s">
        <v>239</v>
      </c>
      <c r="H116" s="165" t="s">
        <v>209</v>
      </c>
      <c r="I116" s="165" t="s">
        <v>206</v>
      </c>
      <c r="J116" s="165" t="s">
        <v>210</v>
      </c>
      <c r="K116" s="165">
        <v>30.19</v>
      </c>
      <c r="L116" s="165">
        <f>AVERAGE(K116:K118)</f>
        <v>30.163333333333338</v>
      </c>
    </row>
    <row r="117" spans="1:12" x14ac:dyDescent="0.25">
      <c r="A117" s="165" t="s">
        <v>283</v>
      </c>
      <c r="B117" s="165" t="s">
        <v>209</v>
      </c>
      <c r="C117" s="165" t="s">
        <v>206</v>
      </c>
      <c r="D117" s="165" t="s">
        <v>210</v>
      </c>
      <c r="E117" s="165">
        <v>42.08</v>
      </c>
      <c r="F117" s="165"/>
      <c r="G117" s="165" t="s">
        <v>242</v>
      </c>
      <c r="H117" s="165" t="s">
        <v>209</v>
      </c>
      <c r="I117" s="165" t="s">
        <v>206</v>
      </c>
      <c r="J117" s="165" t="s">
        <v>210</v>
      </c>
      <c r="K117" s="165">
        <v>30.04</v>
      </c>
      <c r="L117" s="165"/>
    </row>
    <row r="118" spans="1:12" x14ac:dyDescent="0.25">
      <c r="A118" s="165" t="s">
        <v>284</v>
      </c>
      <c r="B118" s="165" t="s">
        <v>205</v>
      </c>
      <c r="C118" s="165" t="s">
        <v>206</v>
      </c>
      <c r="D118" s="165" t="s">
        <v>207</v>
      </c>
      <c r="E118" s="165" t="s">
        <v>220</v>
      </c>
      <c r="F118" s="165"/>
      <c r="G118" s="165" t="s">
        <v>243</v>
      </c>
      <c r="H118" s="165" t="s">
        <v>209</v>
      </c>
      <c r="I118" s="165" t="s">
        <v>206</v>
      </c>
      <c r="J118" s="165" t="s">
        <v>210</v>
      </c>
      <c r="K118" s="165">
        <v>30.26</v>
      </c>
      <c r="L118" s="165"/>
    </row>
    <row r="119" spans="1:12" x14ac:dyDescent="0.25">
      <c r="A119" s="165" t="s">
        <v>284</v>
      </c>
      <c r="B119" s="165" t="s">
        <v>209</v>
      </c>
      <c r="C119" s="165" t="s">
        <v>206</v>
      </c>
      <c r="D119" s="165" t="s">
        <v>210</v>
      </c>
      <c r="E119" s="165">
        <v>41.71</v>
      </c>
      <c r="F119" s="165"/>
      <c r="G119" s="165" t="s">
        <v>244</v>
      </c>
      <c r="H119" s="165" t="s">
        <v>209</v>
      </c>
      <c r="I119" s="165" t="s">
        <v>206</v>
      </c>
      <c r="J119" s="165" t="s">
        <v>210</v>
      </c>
      <c r="K119" s="165">
        <v>29.99</v>
      </c>
      <c r="L119" s="165">
        <f>AVERAGE(K119:K121)</f>
        <v>30.106666666666669</v>
      </c>
    </row>
    <row r="120" spans="1:12" x14ac:dyDescent="0.25">
      <c r="A120" s="165" t="s">
        <v>285</v>
      </c>
      <c r="B120" s="165" t="s">
        <v>205</v>
      </c>
      <c r="C120" s="165" t="s">
        <v>206</v>
      </c>
      <c r="D120" s="165" t="s">
        <v>207</v>
      </c>
      <c r="E120" s="165" t="s">
        <v>220</v>
      </c>
      <c r="F120" s="165"/>
      <c r="G120" s="165" t="s">
        <v>245</v>
      </c>
      <c r="H120" s="165" t="s">
        <v>209</v>
      </c>
      <c r="I120" s="165" t="s">
        <v>206</v>
      </c>
      <c r="J120" s="165" t="s">
        <v>210</v>
      </c>
      <c r="K120" s="165">
        <v>29.96</v>
      </c>
      <c r="L120" s="165"/>
    </row>
    <row r="121" spans="1:12" x14ac:dyDescent="0.25">
      <c r="A121" s="165" t="s">
        <v>285</v>
      </c>
      <c r="B121" s="165" t="s">
        <v>209</v>
      </c>
      <c r="C121" s="165" t="s">
        <v>206</v>
      </c>
      <c r="D121" s="165" t="s">
        <v>210</v>
      </c>
      <c r="E121" s="165">
        <v>42.13</v>
      </c>
      <c r="F121" s="165"/>
      <c r="G121" s="165" t="s">
        <v>247</v>
      </c>
      <c r="H121" s="165" t="s">
        <v>209</v>
      </c>
      <c r="I121" s="165" t="s">
        <v>206</v>
      </c>
      <c r="J121" s="165" t="s">
        <v>210</v>
      </c>
      <c r="K121" s="165">
        <v>30.37</v>
      </c>
      <c r="L121" s="165"/>
    </row>
    <row r="122" spans="1:12" x14ac:dyDescent="0.25">
      <c r="A122" s="165" t="s">
        <v>286</v>
      </c>
      <c r="B122" s="165" t="s">
        <v>205</v>
      </c>
      <c r="C122" s="165" t="s">
        <v>206</v>
      </c>
      <c r="D122" s="165" t="s">
        <v>207</v>
      </c>
      <c r="E122" s="165" t="s">
        <v>220</v>
      </c>
      <c r="F122" s="165"/>
      <c r="G122" s="165" t="s">
        <v>248</v>
      </c>
      <c r="H122" s="165" t="s">
        <v>209</v>
      </c>
      <c r="I122" s="165" t="s">
        <v>206</v>
      </c>
      <c r="J122" s="165" t="s">
        <v>210</v>
      </c>
      <c r="K122" s="165">
        <v>37.79</v>
      </c>
      <c r="L122" s="165">
        <f>AVERAGE(K122:K124)</f>
        <v>38.080000000000005</v>
      </c>
    </row>
    <row r="123" spans="1:12" x14ac:dyDescent="0.25">
      <c r="A123" s="165" t="s">
        <v>286</v>
      </c>
      <c r="B123" s="165" t="s">
        <v>209</v>
      </c>
      <c r="C123" s="165" t="s">
        <v>206</v>
      </c>
      <c r="D123" s="165" t="s">
        <v>210</v>
      </c>
      <c r="E123" s="165">
        <v>41.74</v>
      </c>
      <c r="F123" s="165"/>
      <c r="G123" s="165" t="s">
        <v>249</v>
      </c>
      <c r="H123" s="165" t="s">
        <v>209</v>
      </c>
      <c r="I123" s="165" t="s">
        <v>206</v>
      </c>
      <c r="J123" s="165" t="s">
        <v>210</v>
      </c>
      <c r="K123" s="165">
        <v>37.93</v>
      </c>
      <c r="L123" s="165"/>
    </row>
    <row r="124" spans="1:12" x14ac:dyDescent="0.25">
      <c r="A124" s="165" t="s">
        <v>287</v>
      </c>
      <c r="B124" s="165" t="s">
        <v>205</v>
      </c>
      <c r="C124" s="165" t="s">
        <v>206</v>
      </c>
      <c r="D124" s="165" t="s">
        <v>207</v>
      </c>
      <c r="E124" s="165" t="s">
        <v>220</v>
      </c>
      <c r="F124" s="165"/>
      <c r="G124" s="165" t="s">
        <v>250</v>
      </c>
      <c r="H124" s="165" t="s">
        <v>209</v>
      </c>
      <c r="I124" s="165" t="s">
        <v>206</v>
      </c>
      <c r="J124" s="165" t="s">
        <v>210</v>
      </c>
      <c r="K124" s="165">
        <v>38.520000000000003</v>
      </c>
      <c r="L124" s="165"/>
    </row>
    <row r="125" spans="1:12" x14ac:dyDescent="0.25">
      <c r="A125" s="165" t="s">
        <v>287</v>
      </c>
      <c r="B125" s="165" t="s">
        <v>209</v>
      </c>
      <c r="C125" s="165" t="s">
        <v>206</v>
      </c>
      <c r="D125" s="165" t="s">
        <v>210</v>
      </c>
      <c r="E125" s="165">
        <v>41.5</v>
      </c>
      <c r="F125" s="165"/>
      <c r="G125" s="165" t="s">
        <v>251</v>
      </c>
      <c r="H125" s="165" t="s">
        <v>209</v>
      </c>
      <c r="I125" s="165" t="s">
        <v>206</v>
      </c>
      <c r="J125" s="165" t="s">
        <v>210</v>
      </c>
      <c r="K125" s="165">
        <v>37.74</v>
      </c>
      <c r="L125" s="165">
        <f>AVERAGE(K125:K127)</f>
        <v>38.06</v>
      </c>
    </row>
    <row r="126" spans="1:12" x14ac:dyDescent="0.25">
      <c r="A126" s="165" t="s">
        <v>288</v>
      </c>
      <c r="B126" s="165" t="s">
        <v>205</v>
      </c>
      <c r="C126" s="165" t="s">
        <v>206</v>
      </c>
      <c r="D126" s="165" t="s">
        <v>207</v>
      </c>
      <c r="E126" s="165" t="s">
        <v>220</v>
      </c>
      <c r="F126" s="165"/>
      <c r="G126" s="165" t="s">
        <v>252</v>
      </c>
      <c r="H126" s="165" t="s">
        <v>209</v>
      </c>
      <c r="I126" s="165" t="s">
        <v>206</v>
      </c>
      <c r="J126" s="165" t="s">
        <v>210</v>
      </c>
      <c r="K126" s="165">
        <v>38.270000000000003</v>
      </c>
      <c r="L126" s="165"/>
    </row>
    <row r="127" spans="1:12" x14ac:dyDescent="0.25">
      <c r="A127" s="165" t="s">
        <v>288</v>
      </c>
      <c r="B127" s="165" t="s">
        <v>209</v>
      </c>
      <c r="C127" s="165" t="s">
        <v>206</v>
      </c>
      <c r="D127" s="165" t="s">
        <v>210</v>
      </c>
      <c r="E127" s="165">
        <v>41.98</v>
      </c>
      <c r="F127" s="165"/>
      <c r="G127" s="165" t="s">
        <v>253</v>
      </c>
      <c r="H127" s="165" t="s">
        <v>209</v>
      </c>
      <c r="I127" s="165" t="s">
        <v>206</v>
      </c>
      <c r="J127" s="165" t="s">
        <v>210</v>
      </c>
      <c r="K127" s="165">
        <v>38.17</v>
      </c>
      <c r="L127" s="165"/>
    </row>
    <row r="128" spans="1:12" x14ac:dyDescent="0.25">
      <c r="A128" s="165" t="s">
        <v>289</v>
      </c>
      <c r="B128" s="165" t="s">
        <v>205</v>
      </c>
      <c r="C128" s="165" t="s">
        <v>206</v>
      </c>
      <c r="D128" s="165" t="s">
        <v>207</v>
      </c>
      <c r="E128" s="165" t="s">
        <v>220</v>
      </c>
      <c r="F128" s="165"/>
      <c r="G128" s="165" t="s">
        <v>254</v>
      </c>
      <c r="H128" s="165" t="s">
        <v>209</v>
      </c>
      <c r="I128" s="165" t="s">
        <v>206</v>
      </c>
      <c r="J128" s="165" t="s">
        <v>210</v>
      </c>
      <c r="K128" s="165">
        <v>39.64</v>
      </c>
      <c r="L128" s="165">
        <f>AVERAGE(K128:K130)</f>
        <v>39.336666666666666</v>
      </c>
    </row>
    <row r="129" spans="1:12" x14ac:dyDescent="0.25">
      <c r="A129" s="165" t="s">
        <v>289</v>
      </c>
      <c r="B129" s="165" t="s">
        <v>209</v>
      </c>
      <c r="C129" s="165" t="s">
        <v>206</v>
      </c>
      <c r="D129" s="165" t="s">
        <v>210</v>
      </c>
      <c r="E129" s="165">
        <v>41.17</v>
      </c>
      <c r="F129" s="165"/>
      <c r="G129" s="165" t="s">
        <v>255</v>
      </c>
      <c r="H129" s="165" t="s">
        <v>209</v>
      </c>
      <c r="I129" s="165" t="s">
        <v>206</v>
      </c>
      <c r="J129" s="165" t="s">
        <v>210</v>
      </c>
      <c r="K129" s="165">
        <v>38.96</v>
      </c>
      <c r="L129" s="165"/>
    </row>
    <row r="130" spans="1:12" x14ac:dyDescent="0.25">
      <c r="A130" s="165" t="s">
        <v>290</v>
      </c>
      <c r="B130" s="165" t="s">
        <v>205</v>
      </c>
      <c r="C130" s="165" t="s">
        <v>206</v>
      </c>
      <c r="D130" s="165" t="s">
        <v>207</v>
      </c>
      <c r="E130" s="165" t="s">
        <v>220</v>
      </c>
      <c r="F130" s="165"/>
      <c r="G130" s="165" t="s">
        <v>256</v>
      </c>
      <c r="H130" s="165" t="s">
        <v>209</v>
      </c>
      <c r="I130" s="165" t="s">
        <v>206</v>
      </c>
      <c r="J130" s="165" t="s">
        <v>210</v>
      </c>
      <c r="K130" s="165">
        <v>39.409999999999997</v>
      </c>
      <c r="L130" s="165"/>
    </row>
    <row r="131" spans="1:12" x14ac:dyDescent="0.25">
      <c r="A131" s="165" t="s">
        <v>290</v>
      </c>
      <c r="B131" s="165" t="s">
        <v>209</v>
      </c>
      <c r="C131" s="165" t="s">
        <v>206</v>
      </c>
      <c r="D131" s="165" t="s">
        <v>210</v>
      </c>
      <c r="E131" s="165">
        <v>41.01</v>
      </c>
      <c r="F131" s="165"/>
      <c r="G131" s="165" t="s">
        <v>257</v>
      </c>
      <c r="H131" s="165" t="s">
        <v>209</v>
      </c>
      <c r="I131" s="165" t="s">
        <v>206</v>
      </c>
      <c r="J131" s="165" t="s">
        <v>210</v>
      </c>
      <c r="K131" s="165">
        <v>38.99</v>
      </c>
      <c r="L131" s="165">
        <f>AVERAGE(K131:K133)</f>
        <v>39.153333333333336</v>
      </c>
    </row>
    <row r="132" spans="1:12" x14ac:dyDescent="0.25">
      <c r="A132" s="165" t="s">
        <v>291</v>
      </c>
      <c r="B132" s="165" t="s">
        <v>205</v>
      </c>
      <c r="C132" s="165" t="s">
        <v>206</v>
      </c>
      <c r="D132" s="165" t="s">
        <v>207</v>
      </c>
      <c r="E132" s="165" t="s">
        <v>220</v>
      </c>
      <c r="F132" s="165"/>
      <c r="G132" s="165" t="s">
        <v>258</v>
      </c>
      <c r="H132" s="165" t="s">
        <v>209</v>
      </c>
      <c r="I132" s="165" t="s">
        <v>206</v>
      </c>
      <c r="J132" s="165" t="s">
        <v>210</v>
      </c>
      <c r="K132" s="165">
        <v>39.22</v>
      </c>
      <c r="L132" s="165"/>
    </row>
    <row r="133" spans="1:12" x14ac:dyDescent="0.25">
      <c r="A133" s="165" t="s">
        <v>291</v>
      </c>
      <c r="B133" s="165" t="s">
        <v>209</v>
      </c>
      <c r="C133" s="165" t="s">
        <v>206</v>
      </c>
      <c r="D133" s="165" t="s">
        <v>210</v>
      </c>
      <c r="E133" s="165">
        <v>41.98</v>
      </c>
      <c r="F133" s="165"/>
      <c r="G133" s="165" t="s">
        <v>259</v>
      </c>
      <c r="H133" s="165" t="s">
        <v>209</v>
      </c>
      <c r="I133" s="165" t="s">
        <v>206</v>
      </c>
      <c r="J133" s="165" t="s">
        <v>210</v>
      </c>
      <c r="K133" s="165">
        <v>39.25</v>
      </c>
      <c r="L133" s="165"/>
    </row>
    <row r="134" spans="1:12" x14ac:dyDescent="0.25">
      <c r="A134" s="165" t="s">
        <v>292</v>
      </c>
      <c r="B134" s="165" t="s">
        <v>205</v>
      </c>
      <c r="C134" s="165" t="s">
        <v>206</v>
      </c>
      <c r="D134" s="165" t="s">
        <v>207</v>
      </c>
      <c r="E134" s="165" t="s">
        <v>220</v>
      </c>
      <c r="F134" s="165"/>
      <c r="G134" s="165" t="s">
        <v>260</v>
      </c>
      <c r="H134" s="165" t="s">
        <v>209</v>
      </c>
      <c r="I134" s="165" t="s">
        <v>206</v>
      </c>
      <c r="J134" s="165" t="s">
        <v>210</v>
      </c>
      <c r="K134" s="165">
        <v>38.979999999999997</v>
      </c>
      <c r="L134" s="165">
        <f>AVERAGE(K134:K136)</f>
        <v>39.053333333333335</v>
      </c>
    </row>
    <row r="135" spans="1:12" x14ac:dyDescent="0.25">
      <c r="A135" s="165" t="s">
        <v>292</v>
      </c>
      <c r="B135" s="165" t="s">
        <v>209</v>
      </c>
      <c r="C135" s="165" t="s">
        <v>206</v>
      </c>
      <c r="D135" s="165" t="s">
        <v>210</v>
      </c>
      <c r="E135" s="165">
        <v>41.08</v>
      </c>
      <c r="F135" s="165"/>
      <c r="G135" s="165" t="s">
        <v>261</v>
      </c>
      <c r="H135" s="165" t="s">
        <v>209</v>
      </c>
      <c r="I135" s="165" t="s">
        <v>206</v>
      </c>
      <c r="J135" s="165" t="s">
        <v>210</v>
      </c>
      <c r="K135" s="165">
        <v>39.4</v>
      </c>
      <c r="L135" s="165"/>
    </row>
    <row r="136" spans="1:12" x14ac:dyDescent="0.25">
      <c r="A136" s="165" t="s">
        <v>293</v>
      </c>
      <c r="B136" s="165" t="s">
        <v>205</v>
      </c>
      <c r="C136" s="165" t="s">
        <v>206</v>
      </c>
      <c r="D136" s="165" t="s">
        <v>207</v>
      </c>
      <c r="E136" s="165" t="s">
        <v>220</v>
      </c>
      <c r="F136" s="165"/>
      <c r="G136" s="165" t="s">
        <v>262</v>
      </c>
      <c r="H136" s="165" t="s">
        <v>209</v>
      </c>
      <c r="I136" s="165" t="s">
        <v>206</v>
      </c>
      <c r="J136" s="165" t="s">
        <v>210</v>
      </c>
      <c r="K136" s="165">
        <v>38.78</v>
      </c>
      <c r="L136" s="165"/>
    </row>
    <row r="137" spans="1:12" x14ac:dyDescent="0.25">
      <c r="A137" s="165" t="s">
        <v>293</v>
      </c>
      <c r="B137" s="165" t="s">
        <v>209</v>
      </c>
      <c r="C137" s="165" t="s">
        <v>206</v>
      </c>
      <c r="D137" s="165" t="s">
        <v>210</v>
      </c>
      <c r="E137" s="165">
        <v>42.05</v>
      </c>
      <c r="F137" s="165"/>
      <c r="G137" s="165" t="s">
        <v>263</v>
      </c>
      <c r="H137" s="165" t="s">
        <v>209</v>
      </c>
      <c r="I137" s="165" t="s">
        <v>206</v>
      </c>
      <c r="J137" s="165" t="s">
        <v>210</v>
      </c>
      <c r="K137" s="165">
        <v>39.4</v>
      </c>
      <c r="L137" s="165">
        <f>AVERAGE(K137:K139)</f>
        <v>39.479999999999997</v>
      </c>
    </row>
    <row r="138" spans="1:12" x14ac:dyDescent="0.25">
      <c r="A138" s="165" t="s">
        <v>294</v>
      </c>
      <c r="B138" s="165" t="s">
        <v>205</v>
      </c>
      <c r="C138" s="165" t="s">
        <v>206</v>
      </c>
      <c r="D138" s="165" t="s">
        <v>207</v>
      </c>
      <c r="E138" s="165" t="s">
        <v>220</v>
      </c>
      <c r="F138" s="165"/>
      <c r="G138" s="165" t="s">
        <v>264</v>
      </c>
      <c r="H138" s="165" t="s">
        <v>209</v>
      </c>
      <c r="I138" s="165" t="s">
        <v>206</v>
      </c>
      <c r="J138" s="165" t="s">
        <v>210</v>
      </c>
      <c r="K138" s="165">
        <v>39.57</v>
      </c>
      <c r="L138" s="165"/>
    </row>
    <row r="139" spans="1:12" x14ac:dyDescent="0.25">
      <c r="A139" s="165" t="s">
        <v>294</v>
      </c>
      <c r="B139" s="165" t="s">
        <v>209</v>
      </c>
      <c r="C139" s="165" t="s">
        <v>206</v>
      </c>
      <c r="D139" s="165" t="s">
        <v>210</v>
      </c>
      <c r="E139" s="165">
        <v>42.08</v>
      </c>
      <c r="F139" s="165"/>
      <c r="G139" s="165" t="s">
        <v>265</v>
      </c>
      <c r="H139" s="165" t="s">
        <v>209</v>
      </c>
      <c r="I139" s="165" t="s">
        <v>206</v>
      </c>
      <c r="J139" s="165" t="s">
        <v>210</v>
      </c>
      <c r="K139" s="165">
        <v>39.47</v>
      </c>
      <c r="L139" s="165"/>
    </row>
    <row r="140" spans="1:12" x14ac:dyDescent="0.25">
      <c r="A140" s="165" t="s">
        <v>295</v>
      </c>
      <c r="B140" s="165" t="s">
        <v>205</v>
      </c>
      <c r="C140" s="165" t="s">
        <v>206</v>
      </c>
      <c r="D140" s="165" t="s">
        <v>207</v>
      </c>
      <c r="E140" s="165" t="s">
        <v>220</v>
      </c>
      <c r="F140" s="165"/>
      <c r="G140" s="165" t="s">
        <v>266</v>
      </c>
      <c r="H140" s="165" t="s">
        <v>209</v>
      </c>
      <c r="I140" s="165" t="s">
        <v>206</v>
      </c>
      <c r="J140" s="165" t="s">
        <v>210</v>
      </c>
      <c r="K140" s="165">
        <v>38.380000000000003</v>
      </c>
      <c r="L140" s="165">
        <f>AVERAGE(K140:K142)</f>
        <v>39.183333333333337</v>
      </c>
    </row>
    <row r="141" spans="1:12" x14ac:dyDescent="0.25">
      <c r="A141" s="165" t="s">
        <v>295</v>
      </c>
      <c r="B141" s="165" t="s">
        <v>209</v>
      </c>
      <c r="C141" s="165" t="s">
        <v>206</v>
      </c>
      <c r="D141" s="165" t="s">
        <v>210</v>
      </c>
      <c r="E141" s="165">
        <v>41.04</v>
      </c>
      <c r="F141" s="165"/>
      <c r="G141" s="165" t="s">
        <v>267</v>
      </c>
      <c r="H141" s="165" t="s">
        <v>209</v>
      </c>
      <c r="I141" s="165" t="s">
        <v>206</v>
      </c>
      <c r="J141" s="165" t="s">
        <v>210</v>
      </c>
      <c r="K141" s="165">
        <v>38.85</v>
      </c>
      <c r="L141" s="165"/>
    </row>
    <row r="142" spans="1:12" x14ac:dyDescent="0.25">
      <c r="A142" s="165" t="s">
        <v>296</v>
      </c>
      <c r="B142" s="165" t="s">
        <v>205</v>
      </c>
      <c r="C142" s="165" t="s">
        <v>206</v>
      </c>
      <c r="D142" s="165" t="s">
        <v>207</v>
      </c>
      <c r="E142" s="165" t="s">
        <v>220</v>
      </c>
      <c r="F142" s="165"/>
      <c r="G142" s="165" t="s">
        <v>268</v>
      </c>
      <c r="H142" s="165" t="s">
        <v>209</v>
      </c>
      <c r="I142" s="165" t="s">
        <v>206</v>
      </c>
      <c r="J142" s="165" t="s">
        <v>210</v>
      </c>
      <c r="K142" s="165">
        <v>40.32</v>
      </c>
      <c r="L142" s="165"/>
    </row>
    <row r="143" spans="1:12" x14ac:dyDescent="0.25">
      <c r="A143" s="165" t="s">
        <v>296</v>
      </c>
      <c r="B143" s="165" t="s">
        <v>209</v>
      </c>
      <c r="C143" s="165" t="s">
        <v>206</v>
      </c>
      <c r="D143" s="165" t="s">
        <v>210</v>
      </c>
      <c r="E143" s="165">
        <v>41.83</v>
      </c>
      <c r="F143" s="165"/>
      <c r="G143" s="165" t="s">
        <v>270</v>
      </c>
      <c r="H143" s="165" t="s">
        <v>209</v>
      </c>
      <c r="I143" s="165" t="s">
        <v>206</v>
      </c>
      <c r="J143" s="165" t="s">
        <v>210</v>
      </c>
      <c r="K143" s="165">
        <v>39.15</v>
      </c>
      <c r="L143" s="165">
        <f>AVERAGE(K143:K145)</f>
        <v>39.330000000000005</v>
      </c>
    </row>
    <row r="144" spans="1:12" x14ac:dyDescent="0.25">
      <c r="A144" s="165" t="s">
        <v>297</v>
      </c>
      <c r="B144" s="165" t="s">
        <v>205</v>
      </c>
      <c r="C144" s="165" t="s">
        <v>206</v>
      </c>
      <c r="D144" s="165" t="s">
        <v>207</v>
      </c>
      <c r="E144" s="165" t="s">
        <v>220</v>
      </c>
      <c r="F144" s="165"/>
      <c r="G144" s="165" t="s">
        <v>272</v>
      </c>
      <c r="H144" s="165" t="s">
        <v>209</v>
      </c>
      <c r="I144" s="165" t="s">
        <v>206</v>
      </c>
      <c r="J144" s="165" t="s">
        <v>210</v>
      </c>
      <c r="K144" s="165">
        <v>39.5</v>
      </c>
      <c r="L144" s="165"/>
    </row>
    <row r="145" spans="1:12" x14ac:dyDescent="0.25">
      <c r="A145" s="165" t="s">
        <v>297</v>
      </c>
      <c r="B145" s="165" t="s">
        <v>209</v>
      </c>
      <c r="C145" s="165" t="s">
        <v>206</v>
      </c>
      <c r="D145" s="165" t="s">
        <v>210</v>
      </c>
      <c r="E145" s="165">
        <v>42.39</v>
      </c>
      <c r="F145" s="165"/>
      <c r="G145" s="165" t="s">
        <v>273</v>
      </c>
      <c r="H145" s="165" t="s">
        <v>209</v>
      </c>
      <c r="I145" s="165" t="s">
        <v>206</v>
      </c>
      <c r="J145" s="165" t="s">
        <v>210</v>
      </c>
      <c r="K145" s="165">
        <v>39.340000000000003</v>
      </c>
      <c r="L145" s="165"/>
    </row>
    <row r="146" spans="1:12" x14ac:dyDescent="0.25">
      <c r="A146" s="165" t="s">
        <v>298</v>
      </c>
      <c r="B146" s="165" t="s">
        <v>205</v>
      </c>
      <c r="C146" s="165" t="s">
        <v>206</v>
      </c>
      <c r="D146" s="165" t="s">
        <v>207</v>
      </c>
      <c r="E146" s="165">
        <v>32.92</v>
      </c>
      <c r="F146" s="165"/>
      <c r="G146" s="165" t="s">
        <v>274</v>
      </c>
      <c r="H146" s="165" t="s">
        <v>209</v>
      </c>
      <c r="I146" s="165" t="s">
        <v>206</v>
      </c>
      <c r="J146" s="165" t="s">
        <v>210</v>
      </c>
      <c r="K146" s="165">
        <v>40.72</v>
      </c>
      <c r="L146" s="165">
        <f>AVERAGE(K146:K148)</f>
        <v>41.806666666666665</v>
      </c>
    </row>
    <row r="147" spans="1:12" x14ac:dyDescent="0.25">
      <c r="A147" s="165" t="s">
        <v>298</v>
      </c>
      <c r="B147" s="165" t="s">
        <v>209</v>
      </c>
      <c r="C147" s="165" t="s">
        <v>206</v>
      </c>
      <c r="D147" s="165" t="s">
        <v>210</v>
      </c>
      <c r="E147" s="165" t="s">
        <v>220</v>
      </c>
      <c r="F147" s="165"/>
      <c r="G147" s="165" t="s">
        <v>275</v>
      </c>
      <c r="H147" s="165" t="s">
        <v>209</v>
      </c>
      <c r="I147" s="165" t="s">
        <v>206</v>
      </c>
      <c r="J147" s="165" t="s">
        <v>210</v>
      </c>
      <c r="K147" s="165">
        <v>41.62</v>
      </c>
      <c r="L147" s="165"/>
    </row>
    <row r="148" spans="1:12" x14ac:dyDescent="0.25">
      <c r="A148" s="165" t="s">
        <v>299</v>
      </c>
      <c r="B148" s="165" t="s">
        <v>205</v>
      </c>
      <c r="C148" s="165" t="s">
        <v>206</v>
      </c>
      <c r="D148" s="165" t="s">
        <v>207</v>
      </c>
      <c r="E148" s="165">
        <v>33.07</v>
      </c>
      <c r="F148" s="165"/>
      <c r="G148" s="165" t="s">
        <v>276</v>
      </c>
      <c r="H148" s="165" t="s">
        <v>209</v>
      </c>
      <c r="I148" s="165" t="s">
        <v>206</v>
      </c>
      <c r="J148" s="165" t="s">
        <v>210</v>
      </c>
      <c r="K148" s="165">
        <v>43.08</v>
      </c>
      <c r="L148" s="165"/>
    </row>
    <row r="149" spans="1:12" x14ac:dyDescent="0.25">
      <c r="A149" s="165" t="s">
        <v>299</v>
      </c>
      <c r="B149" s="165" t="s">
        <v>209</v>
      </c>
      <c r="C149" s="165" t="s">
        <v>206</v>
      </c>
      <c r="D149" s="165" t="s">
        <v>210</v>
      </c>
      <c r="E149" s="165" t="s">
        <v>220</v>
      </c>
      <c r="F149" s="165"/>
      <c r="G149" s="165" t="s">
        <v>277</v>
      </c>
      <c r="H149" s="165" t="s">
        <v>209</v>
      </c>
      <c r="I149" s="165" t="s">
        <v>206</v>
      </c>
      <c r="J149" s="165" t="s">
        <v>210</v>
      </c>
      <c r="K149" s="165">
        <v>41.41</v>
      </c>
      <c r="L149" s="165">
        <f>AVERAGE(K149:K151)</f>
        <v>41.623333333333335</v>
      </c>
    </row>
    <row r="150" spans="1:12" x14ac:dyDescent="0.25">
      <c r="A150" s="165" t="s">
        <v>300</v>
      </c>
      <c r="B150" s="165" t="s">
        <v>205</v>
      </c>
      <c r="C150" s="165" t="s">
        <v>206</v>
      </c>
      <c r="D150" s="165" t="s">
        <v>207</v>
      </c>
      <c r="E150" s="165">
        <v>32.46</v>
      </c>
      <c r="F150" s="165"/>
      <c r="G150" s="165" t="s">
        <v>278</v>
      </c>
      <c r="H150" s="165" t="s">
        <v>209</v>
      </c>
      <c r="I150" s="165" t="s">
        <v>206</v>
      </c>
      <c r="J150" s="165" t="s">
        <v>210</v>
      </c>
      <c r="K150" s="165">
        <v>41.93</v>
      </c>
      <c r="L150" s="165"/>
    </row>
    <row r="151" spans="1:12" x14ac:dyDescent="0.25">
      <c r="A151" s="165" t="s">
        <v>300</v>
      </c>
      <c r="B151" s="165" t="s">
        <v>209</v>
      </c>
      <c r="C151" s="165" t="s">
        <v>206</v>
      </c>
      <c r="D151" s="165" t="s">
        <v>210</v>
      </c>
      <c r="E151" s="165" t="s">
        <v>220</v>
      </c>
      <c r="F151" s="165"/>
      <c r="G151" s="165" t="s">
        <v>279</v>
      </c>
      <c r="H151" s="165" t="s">
        <v>209</v>
      </c>
      <c r="I151" s="165" t="s">
        <v>206</v>
      </c>
      <c r="J151" s="165" t="s">
        <v>210</v>
      </c>
      <c r="K151" s="165">
        <v>41.53</v>
      </c>
      <c r="L151" s="165"/>
    </row>
    <row r="152" spans="1:12" x14ac:dyDescent="0.25">
      <c r="A152" s="165" t="s">
        <v>301</v>
      </c>
      <c r="B152" s="165" t="s">
        <v>205</v>
      </c>
      <c r="C152" s="165" t="s">
        <v>206</v>
      </c>
      <c r="D152" s="165" t="s">
        <v>207</v>
      </c>
      <c r="E152" s="165">
        <v>36.78</v>
      </c>
      <c r="F152" s="165"/>
      <c r="G152" s="165" t="s">
        <v>280</v>
      </c>
      <c r="H152" s="165" t="s">
        <v>209</v>
      </c>
      <c r="I152" s="165" t="s">
        <v>206</v>
      </c>
      <c r="J152" s="165" t="s">
        <v>210</v>
      </c>
      <c r="K152" s="165">
        <v>41.06</v>
      </c>
      <c r="L152" s="165">
        <f>AVERAGE(K152:K154)</f>
        <v>41.62</v>
      </c>
    </row>
    <row r="153" spans="1:12" x14ac:dyDescent="0.25">
      <c r="A153" s="165" t="s">
        <v>301</v>
      </c>
      <c r="B153" s="165" t="s">
        <v>209</v>
      </c>
      <c r="C153" s="165" t="s">
        <v>206</v>
      </c>
      <c r="D153" s="165" t="s">
        <v>210</v>
      </c>
      <c r="E153" s="165" t="s">
        <v>220</v>
      </c>
      <c r="F153" s="165"/>
      <c r="G153" s="165" t="s">
        <v>281</v>
      </c>
      <c r="H153" s="165" t="s">
        <v>209</v>
      </c>
      <c r="I153" s="165" t="s">
        <v>206</v>
      </c>
      <c r="J153" s="165" t="s">
        <v>210</v>
      </c>
      <c r="K153" s="165">
        <v>41.04</v>
      </c>
      <c r="L153" s="165"/>
    </row>
    <row r="154" spans="1:12" x14ac:dyDescent="0.25">
      <c r="A154" s="165" t="s">
        <v>302</v>
      </c>
      <c r="B154" s="165" t="s">
        <v>205</v>
      </c>
      <c r="C154" s="165" t="s">
        <v>206</v>
      </c>
      <c r="D154" s="165" t="s">
        <v>207</v>
      </c>
      <c r="E154" s="165">
        <v>37.42</v>
      </c>
      <c r="F154" s="165"/>
      <c r="G154" s="165" t="s">
        <v>282</v>
      </c>
      <c r="H154" s="165" t="s">
        <v>209</v>
      </c>
      <c r="I154" s="165" t="s">
        <v>206</v>
      </c>
      <c r="J154" s="165" t="s">
        <v>210</v>
      </c>
      <c r="K154" s="165">
        <v>42.76</v>
      </c>
      <c r="L154" s="165"/>
    </row>
    <row r="155" spans="1:12" x14ac:dyDescent="0.25">
      <c r="A155" s="165" t="s">
        <v>302</v>
      </c>
      <c r="B155" s="165" t="s">
        <v>209</v>
      </c>
      <c r="C155" s="165" t="s">
        <v>206</v>
      </c>
      <c r="D155" s="165" t="s">
        <v>210</v>
      </c>
      <c r="E155" s="165" t="s">
        <v>220</v>
      </c>
      <c r="F155" s="165"/>
      <c r="G155" s="165" t="s">
        <v>283</v>
      </c>
      <c r="H155" s="165" t="s">
        <v>209</v>
      </c>
      <c r="I155" s="165" t="s">
        <v>206</v>
      </c>
      <c r="J155" s="165" t="s">
        <v>210</v>
      </c>
      <c r="K155" s="165">
        <v>42.08</v>
      </c>
      <c r="L155" s="165">
        <f>AVERAGE(K155:K157)</f>
        <v>41.973333333333329</v>
      </c>
    </row>
    <row r="156" spans="1:12" x14ac:dyDescent="0.25">
      <c r="A156" s="165" t="s">
        <v>303</v>
      </c>
      <c r="B156" s="165" t="s">
        <v>205</v>
      </c>
      <c r="C156" s="165" t="s">
        <v>206</v>
      </c>
      <c r="D156" s="165" t="s">
        <v>207</v>
      </c>
      <c r="E156" s="165">
        <v>36.380000000000003</v>
      </c>
      <c r="F156" s="165"/>
      <c r="G156" s="165" t="s">
        <v>284</v>
      </c>
      <c r="H156" s="165" t="s">
        <v>209</v>
      </c>
      <c r="I156" s="165" t="s">
        <v>206</v>
      </c>
      <c r="J156" s="165" t="s">
        <v>210</v>
      </c>
      <c r="K156" s="165">
        <v>41.71</v>
      </c>
      <c r="L156" s="165"/>
    </row>
    <row r="157" spans="1:12" x14ac:dyDescent="0.25">
      <c r="A157" s="165" t="s">
        <v>303</v>
      </c>
      <c r="B157" s="165" t="s">
        <v>209</v>
      </c>
      <c r="C157" s="165" t="s">
        <v>206</v>
      </c>
      <c r="D157" s="165" t="s">
        <v>210</v>
      </c>
      <c r="E157" s="165" t="s">
        <v>220</v>
      </c>
      <c r="F157" s="165"/>
      <c r="G157" s="165" t="s">
        <v>285</v>
      </c>
      <c r="H157" s="165" t="s">
        <v>209</v>
      </c>
      <c r="I157" s="165" t="s">
        <v>206</v>
      </c>
      <c r="J157" s="165" t="s">
        <v>210</v>
      </c>
      <c r="K157" s="165">
        <v>42.13</v>
      </c>
      <c r="L157" s="165"/>
    </row>
    <row r="158" spans="1:12" x14ac:dyDescent="0.25">
      <c r="A158" s="165" t="s">
        <v>304</v>
      </c>
      <c r="B158" s="165" t="s">
        <v>205</v>
      </c>
      <c r="C158" s="165" t="s">
        <v>206</v>
      </c>
      <c r="D158" s="165" t="s">
        <v>207</v>
      </c>
      <c r="E158" s="165">
        <v>41.43</v>
      </c>
      <c r="F158" s="165"/>
      <c r="G158" s="165" t="s">
        <v>286</v>
      </c>
      <c r="H158" s="165" t="s">
        <v>209</v>
      </c>
      <c r="I158" s="165" t="s">
        <v>206</v>
      </c>
      <c r="J158" s="165" t="s">
        <v>210</v>
      </c>
      <c r="K158" s="165">
        <v>41.74</v>
      </c>
      <c r="L158" s="165">
        <f>AVERAGE(K158:K160)</f>
        <v>41.74</v>
      </c>
    </row>
    <row r="159" spans="1:12" x14ac:dyDescent="0.25">
      <c r="A159" s="165" t="s">
        <v>304</v>
      </c>
      <c r="B159" s="165" t="s">
        <v>209</v>
      </c>
      <c r="C159" s="165" t="s">
        <v>206</v>
      </c>
      <c r="D159" s="165" t="s">
        <v>210</v>
      </c>
      <c r="E159" s="165" t="s">
        <v>220</v>
      </c>
      <c r="F159" s="165"/>
      <c r="G159" s="165" t="s">
        <v>287</v>
      </c>
      <c r="H159" s="165" t="s">
        <v>209</v>
      </c>
      <c r="I159" s="165" t="s">
        <v>206</v>
      </c>
      <c r="J159" s="165" t="s">
        <v>210</v>
      </c>
      <c r="K159" s="165">
        <v>41.5</v>
      </c>
      <c r="L159" s="165"/>
    </row>
    <row r="160" spans="1:12" x14ac:dyDescent="0.25">
      <c r="A160" s="165" t="s">
        <v>305</v>
      </c>
      <c r="B160" s="165" t="s">
        <v>205</v>
      </c>
      <c r="C160" s="165" t="s">
        <v>206</v>
      </c>
      <c r="D160" s="165" t="s">
        <v>207</v>
      </c>
      <c r="E160" s="165">
        <v>41.2</v>
      </c>
      <c r="F160" s="165"/>
      <c r="G160" s="165" t="s">
        <v>288</v>
      </c>
      <c r="H160" s="165" t="s">
        <v>209</v>
      </c>
      <c r="I160" s="165" t="s">
        <v>206</v>
      </c>
      <c r="J160" s="165" t="s">
        <v>210</v>
      </c>
      <c r="K160" s="165">
        <v>41.98</v>
      </c>
      <c r="L160" s="165"/>
    </row>
    <row r="161" spans="1:12" x14ac:dyDescent="0.25">
      <c r="A161" s="165" t="s">
        <v>305</v>
      </c>
      <c r="B161" s="165" t="s">
        <v>209</v>
      </c>
      <c r="C161" s="165" t="s">
        <v>206</v>
      </c>
      <c r="D161" s="165" t="s">
        <v>210</v>
      </c>
      <c r="E161" s="165" t="s">
        <v>220</v>
      </c>
      <c r="F161" s="165"/>
      <c r="G161" s="165" t="s">
        <v>289</v>
      </c>
      <c r="H161" s="165" t="s">
        <v>209</v>
      </c>
      <c r="I161" s="165" t="s">
        <v>206</v>
      </c>
      <c r="J161" s="165" t="s">
        <v>210</v>
      </c>
      <c r="K161" s="165">
        <v>41.17</v>
      </c>
      <c r="L161" s="165">
        <f>AVERAGE(K161:K163)</f>
        <v>41.386666666666663</v>
      </c>
    </row>
    <row r="162" spans="1:12" x14ac:dyDescent="0.25">
      <c r="A162" s="165" t="s">
        <v>306</v>
      </c>
      <c r="B162" s="165" t="s">
        <v>205</v>
      </c>
      <c r="C162" s="165" t="s">
        <v>206</v>
      </c>
      <c r="D162" s="165" t="s">
        <v>207</v>
      </c>
      <c r="E162" s="165">
        <v>41.52</v>
      </c>
      <c r="F162" s="165"/>
      <c r="G162" s="165" t="s">
        <v>290</v>
      </c>
      <c r="H162" s="165" t="s">
        <v>209</v>
      </c>
      <c r="I162" s="165" t="s">
        <v>206</v>
      </c>
      <c r="J162" s="165" t="s">
        <v>210</v>
      </c>
      <c r="K162" s="165">
        <v>41.01</v>
      </c>
      <c r="L162" s="165"/>
    </row>
    <row r="163" spans="1:12" x14ac:dyDescent="0.25">
      <c r="A163" s="165" t="s">
        <v>306</v>
      </c>
      <c r="B163" s="165" t="s">
        <v>209</v>
      </c>
      <c r="C163" s="165" t="s">
        <v>206</v>
      </c>
      <c r="D163" s="165" t="s">
        <v>210</v>
      </c>
      <c r="E163" s="165" t="s">
        <v>220</v>
      </c>
      <c r="F163" s="165"/>
      <c r="G163" s="165" t="s">
        <v>291</v>
      </c>
      <c r="H163" s="165" t="s">
        <v>209</v>
      </c>
      <c r="I163" s="165" t="s">
        <v>206</v>
      </c>
      <c r="J163" s="165" t="s">
        <v>210</v>
      </c>
      <c r="K163" s="165">
        <v>41.98</v>
      </c>
      <c r="L163" s="165"/>
    </row>
    <row r="164" spans="1:12" x14ac:dyDescent="0.25">
      <c r="A164" s="165" t="s">
        <v>307</v>
      </c>
      <c r="B164" s="165" t="s">
        <v>205</v>
      </c>
      <c r="C164" s="165" t="s">
        <v>206</v>
      </c>
      <c r="D164" s="165" t="s">
        <v>207</v>
      </c>
      <c r="E164" s="165" t="s">
        <v>220</v>
      </c>
      <c r="F164" s="165"/>
      <c r="G164" s="165" t="s">
        <v>292</v>
      </c>
      <c r="H164" s="165" t="s">
        <v>209</v>
      </c>
      <c r="I164" s="165" t="s">
        <v>206</v>
      </c>
      <c r="J164" s="165" t="s">
        <v>210</v>
      </c>
      <c r="K164" s="165">
        <v>41.08</v>
      </c>
      <c r="L164" s="165">
        <f>AVERAGE(K164:K166)</f>
        <v>41.736666666666665</v>
      </c>
    </row>
    <row r="165" spans="1:12" x14ac:dyDescent="0.25">
      <c r="A165" s="165" t="s">
        <v>307</v>
      </c>
      <c r="B165" s="165" t="s">
        <v>209</v>
      </c>
      <c r="C165" s="165" t="s">
        <v>206</v>
      </c>
      <c r="D165" s="165" t="s">
        <v>210</v>
      </c>
      <c r="E165" s="165" t="s">
        <v>220</v>
      </c>
      <c r="F165" s="165"/>
      <c r="G165" s="165" t="s">
        <v>293</v>
      </c>
      <c r="H165" s="165" t="s">
        <v>209</v>
      </c>
      <c r="I165" s="165" t="s">
        <v>206</v>
      </c>
      <c r="J165" s="165" t="s">
        <v>210</v>
      </c>
      <c r="K165" s="165">
        <v>42.05</v>
      </c>
      <c r="L165" s="165"/>
    </row>
    <row r="166" spans="1:12" x14ac:dyDescent="0.25">
      <c r="A166" s="165" t="s">
        <v>308</v>
      </c>
      <c r="B166" s="165" t="s">
        <v>205</v>
      </c>
      <c r="C166" s="165" t="s">
        <v>206</v>
      </c>
      <c r="D166" s="165" t="s">
        <v>207</v>
      </c>
      <c r="E166" s="165" t="s">
        <v>220</v>
      </c>
      <c r="F166" s="165"/>
      <c r="G166" s="165" t="s">
        <v>294</v>
      </c>
      <c r="H166" s="165" t="s">
        <v>209</v>
      </c>
      <c r="I166" s="165" t="s">
        <v>206</v>
      </c>
      <c r="J166" s="165" t="s">
        <v>210</v>
      </c>
      <c r="K166" s="165">
        <v>42.08</v>
      </c>
      <c r="L166" s="165"/>
    </row>
    <row r="167" spans="1:12" x14ac:dyDescent="0.25">
      <c r="A167" s="165" t="s">
        <v>308</v>
      </c>
      <c r="B167" s="165" t="s">
        <v>209</v>
      </c>
      <c r="C167" s="165" t="s">
        <v>206</v>
      </c>
      <c r="D167" s="165" t="s">
        <v>210</v>
      </c>
      <c r="E167" s="165" t="s">
        <v>220</v>
      </c>
      <c r="F167" s="165"/>
      <c r="G167" s="165" t="s">
        <v>295</v>
      </c>
      <c r="H167" s="165" t="s">
        <v>209</v>
      </c>
      <c r="I167" s="165" t="s">
        <v>206</v>
      </c>
      <c r="J167" s="165" t="s">
        <v>210</v>
      </c>
      <c r="K167" s="165">
        <v>41.04</v>
      </c>
      <c r="L167" s="165">
        <f>AVERAGE(K167:K169)</f>
        <v>41.753333333333337</v>
      </c>
    </row>
    <row r="168" spans="1:12" x14ac:dyDescent="0.25">
      <c r="A168" s="165" t="s">
        <v>309</v>
      </c>
      <c r="B168" s="165" t="s">
        <v>205</v>
      </c>
      <c r="C168" s="165" t="s">
        <v>206</v>
      </c>
      <c r="D168" s="165" t="s">
        <v>207</v>
      </c>
      <c r="E168" s="165" t="s">
        <v>220</v>
      </c>
      <c r="F168" s="165"/>
      <c r="G168" s="165" t="s">
        <v>296</v>
      </c>
      <c r="H168" s="165" t="s">
        <v>209</v>
      </c>
      <c r="I168" s="165" t="s">
        <v>206</v>
      </c>
      <c r="J168" s="165" t="s">
        <v>210</v>
      </c>
      <c r="K168" s="165">
        <v>41.83</v>
      </c>
      <c r="L168" s="165"/>
    </row>
    <row r="169" spans="1:12" x14ac:dyDescent="0.25">
      <c r="A169" s="165" t="s">
        <v>309</v>
      </c>
      <c r="B169" s="165" t="s">
        <v>209</v>
      </c>
      <c r="C169" s="165" t="s">
        <v>206</v>
      </c>
      <c r="D169" s="165" t="s">
        <v>210</v>
      </c>
      <c r="E169" s="165" t="s">
        <v>220</v>
      </c>
      <c r="F169" s="165"/>
      <c r="G169" s="165" t="s">
        <v>297</v>
      </c>
      <c r="H169" s="165" t="s">
        <v>209</v>
      </c>
      <c r="I169" s="165" t="s">
        <v>206</v>
      </c>
      <c r="J169" s="165" t="s">
        <v>210</v>
      </c>
      <c r="K169" s="165">
        <v>42.39</v>
      </c>
      <c r="L169" s="165"/>
    </row>
    <row r="170" spans="1:12" x14ac:dyDescent="0.25">
      <c r="A170" s="165" t="s">
        <v>310</v>
      </c>
      <c r="B170" s="165" t="s">
        <v>205</v>
      </c>
      <c r="C170" s="165" t="s">
        <v>206</v>
      </c>
      <c r="D170" s="165" t="s">
        <v>207</v>
      </c>
      <c r="E170" s="165" t="s">
        <v>220</v>
      </c>
      <c r="F170" s="165"/>
      <c r="G170" s="165" t="s">
        <v>298</v>
      </c>
      <c r="H170" s="165" t="s">
        <v>209</v>
      </c>
      <c r="I170" s="165" t="s">
        <v>206</v>
      </c>
      <c r="J170" s="165" t="s">
        <v>210</v>
      </c>
      <c r="K170" s="165" t="s">
        <v>220</v>
      </c>
      <c r="L170" s="165"/>
    </row>
    <row r="171" spans="1:12" x14ac:dyDescent="0.25">
      <c r="A171" s="165" t="s">
        <v>310</v>
      </c>
      <c r="B171" s="165" t="s">
        <v>209</v>
      </c>
      <c r="C171" s="165" t="s">
        <v>206</v>
      </c>
      <c r="D171" s="165" t="s">
        <v>210</v>
      </c>
      <c r="E171" s="165" t="s">
        <v>220</v>
      </c>
      <c r="F171" s="165"/>
      <c r="G171" s="165" t="s">
        <v>299</v>
      </c>
      <c r="H171" s="165" t="s">
        <v>209</v>
      </c>
      <c r="I171" s="165" t="s">
        <v>206</v>
      </c>
      <c r="J171" s="165" t="s">
        <v>210</v>
      </c>
      <c r="K171" s="165" t="s">
        <v>220</v>
      </c>
      <c r="L171" s="165"/>
    </row>
    <row r="172" spans="1:12" x14ac:dyDescent="0.25">
      <c r="A172" s="165" t="s">
        <v>311</v>
      </c>
      <c r="B172" s="165" t="s">
        <v>205</v>
      </c>
      <c r="C172" s="165" t="s">
        <v>206</v>
      </c>
      <c r="D172" s="165" t="s">
        <v>207</v>
      </c>
      <c r="E172" s="165" t="s">
        <v>220</v>
      </c>
      <c r="F172" s="165"/>
      <c r="G172" s="165" t="s">
        <v>300</v>
      </c>
      <c r="H172" s="165" t="s">
        <v>209</v>
      </c>
      <c r="I172" s="165" t="s">
        <v>206</v>
      </c>
      <c r="J172" s="165" t="s">
        <v>210</v>
      </c>
      <c r="K172" s="165" t="s">
        <v>220</v>
      </c>
      <c r="L172" s="165"/>
    </row>
    <row r="173" spans="1:12" x14ac:dyDescent="0.25">
      <c r="A173" s="165" t="s">
        <v>311</v>
      </c>
      <c r="B173" s="165" t="s">
        <v>209</v>
      </c>
      <c r="C173" s="165" t="s">
        <v>206</v>
      </c>
      <c r="D173" s="165" t="s">
        <v>210</v>
      </c>
      <c r="E173" s="165" t="s">
        <v>220</v>
      </c>
      <c r="F173" s="165"/>
      <c r="G173" s="165" t="s">
        <v>301</v>
      </c>
      <c r="H173" s="165" t="s">
        <v>209</v>
      </c>
      <c r="I173" s="165" t="s">
        <v>206</v>
      </c>
      <c r="J173" s="165" t="s">
        <v>210</v>
      </c>
      <c r="K173" s="165" t="s">
        <v>220</v>
      </c>
      <c r="L173" s="165"/>
    </row>
    <row r="174" spans="1:12" x14ac:dyDescent="0.25">
      <c r="A174" s="165" t="s">
        <v>312</v>
      </c>
      <c r="B174" s="165" t="s">
        <v>205</v>
      </c>
      <c r="C174" s="165" t="s">
        <v>206</v>
      </c>
      <c r="D174" s="165" t="s">
        <v>207</v>
      </c>
      <c r="E174" s="165" t="s">
        <v>220</v>
      </c>
      <c r="F174" s="165"/>
      <c r="G174" s="165" t="s">
        <v>302</v>
      </c>
      <c r="H174" s="165" t="s">
        <v>209</v>
      </c>
      <c r="I174" s="165" t="s">
        <v>206</v>
      </c>
      <c r="J174" s="165" t="s">
        <v>210</v>
      </c>
      <c r="K174" s="165" t="s">
        <v>220</v>
      </c>
      <c r="L174" s="165"/>
    </row>
    <row r="175" spans="1:12" x14ac:dyDescent="0.25">
      <c r="A175" s="165" t="s">
        <v>312</v>
      </c>
      <c r="B175" s="165" t="s">
        <v>209</v>
      </c>
      <c r="C175" s="165" t="s">
        <v>206</v>
      </c>
      <c r="D175" s="165" t="s">
        <v>210</v>
      </c>
      <c r="E175" s="165" t="s">
        <v>220</v>
      </c>
      <c r="F175" s="165"/>
      <c r="G175" s="165" t="s">
        <v>303</v>
      </c>
      <c r="H175" s="165" t="s">
        <v>209</v>
      </c>
      <c r="I175" s="165" t="s">
        <v>206</v>
      </c>
      <c r="J175" s="165" t="s">
        <v>210</v>
      </c>
      <c r="K175" s="165" t="s">
        <v>220</v>
      </c>
      <c r="L175" s="165"/>
    </row>
    <row r="176" spans="1:12" x14ac:dyDescent="0.25">
      <c r="A176" s="165" t="s">
        <v>313</v>
      </c>
      <c r="B176" s="165" t="s">
        <v>205</v>
      </c>
      <c r="C176" s="165" t="s">
        <v>206</v>
      </c>
      <c r="D176" s="165" t="s">
        <v>207</v>
      </c>
      <c r="E176" s="165" t="s">
        <v>220</v>
      </c>
      <c r="F176" s="165"/>
      <c r="G176" s="165" t="s">
        <v>304</v>
      </c>
      <c r="H176" s="165" t="s">
        <v>209</v>
      </c>
      <c r="I176" s="165" t="s">
        <v>206</v>
      </c>
      <c r="J176" s="165" t="s">
        <v>210</v>
      </c>
      <c r="K176" s="165" t="s">
        <v>220</v>
      </c>
      <c r="L176" s="165"/>
    </row>
    <row r="177" spans="1:11" x14ac:dyDescent="0.25">
      <c r="A177" s="165" t="s">
        <v>313</v>
      </c>
      <c r="B177" s="165" t="s">
        <v>209</v>
      </c>
      <c r="C177" s="165" t="s">
        <v>206</v>
      </c>
      <c r="D177" s="165" t="s">
        <v>210</v>
      </c>
      <c r="E177" s="165" t="s">
        <v>220</v>
      </c>
      <c r="F177" s="165"/>
      <c r="G177" s="165" t="s">
        <v>305</v>
      </c>
      <c r="H177" s="165" t="s">
        <v>209</v>
      </c>
      <c r="I177" s="165" t="s">
        <v>206</v>
      </c>
      <c r="J177" s="165" t="s">
        <v>210</v>
      </c>
      <c r="K177" s="165" t="s">
        <v>220</v>
      </c>
    </row>
    <row r="178" spans="1:11" x14ac:dyDescent="0.25">
      <c r="A178" s="165" t="s">
        <v>314</v>
      </c>
      <c r="B178" s="165" t="s">
        <v>205</v>
      </c>
      <c r="C178" s="165" t="s">
        <v>206</v>
      </c>
      <c r="D178" s="165" t="s">
        <v>207</v>
      </c>
      <c r="E178" s="165" t="s">
        <v>220</v>
      </c>
      <c r="F178" s="165"/>
      <c r="G178" s="165" t="s">
        <v>306</v>
      </c>
      <c r="H178" s="165" t="s">
        <v>209</v>
      </c>
      <c r="I178" s="165" t="s">
        <v>206</v>
      </c>
      <c r="J178" s="165" t="s">
        <v>210</v>
      </c>
      <c r="K178" s="165" t="s">
        <v>220</v>
      </c>
    </row>
    <row r="179" spans="1:11" x14ac:dyDescent="0.25">
      <c r="A179" s="165" t="s">
        <v>314</v>
      </c>
      <c r="B179" s="165" t="s">
        <v>209</v>
      </c>
      <c r="C179" s="165" t="s">
        <v>206</v>
      </c>
      <c r="D179" s="165" t="s">
        <v>210</v>
      </c>
      <c r="E179" s="165" t="s">
        <v>220</v>
      </c>
      <c r="F179" s="165"/>
      <c r="G179" s="165" t="s">
        <v>307</v>
      </c>
      <c r="H179" s="165" t="s">
        <v>209</v>
      </c>
      <c r="I179" s="165" t="s">
        <v>206</v>
      </c>
      <c r="J179" s="165" t="s">
        <v>210</v>
      </c>
      <c r="K179" s="165" t="s">
        <v>220</v>
      </c>
    </row>
    <row r="180" spans="1:11" x14ac:dyDescent="0.25">
      <c r="A180" s="165" t="s">
        <v>315</v>
      </c>
      <c r="B180" s="165" t="s">
        <v>205</v>
      </c>
      <c r="C180" s="165" t="s">
        <v>206</v>
      </c>
      <c r="D180" s="165" t="s">
        <v>207</v>
      </c>
      <c r="E180" s="165" t="s">
        <v>220</v>
      </c>
      <c r="F180" s="165"/>
      <c r="G180" s="165" t="s">
        <v>308</v>
      </c>
      <c r="H180" s="165" t="s">
        <v>209</v>
      </c>
      <c r="I180" s="165" t="s">
        <v>206</v>
      </c>
      <c r="J180" s="165" t="s">
        <v>210</v>
      </c>
      <c r="K180" s="165" t="s">
        <v>220</v>
      </c>
    </row>
    <row r="181" spans="1:11" x14ac:dyDescent="0.25">
      <c r="A181" s="165" t="s">
        <v>315</v>
      </c>
      <c r="B181" s="165" t="s">
        <v>209</v>
      </c>
      <c r="C181" s="165" t="s">
        <v>206</v>
      </c>
      <c r="D181" s="165" t="s">
        <v>210</v>
      </c>
      <c r="E181" s="165" t="s">
        <v>220</v>
      </c>
      <c r="F181" s="165"/>
      <c r="G181" s="165" t="s">
        <v>309</v>
      </c>
      <c r="H181" s="165" t="s">
        <v>209</v>
      </c>
      <c r="I181" s="165" t="s">
        <v>206</v>
      </c>
      <c r="J181" s="165" t="s">
        <v>210</v>
      </c>
      <c r="K181" s="165" t="s">
        <v>220</v>
      </c>
    </row>
    <row r="182" spans="1:11" x14ac:dyDescent="0.25">
      <c r="A182" s="165" t="s">
        <v>316</v>
      </c>
      <c r="B182" s="165" t="s">
        <v>205</v>
      </c>
      <c r="C182" s="165" t="s">
        <v>206</v>
      </c>
      <c r="D182" s="165" t="s">
        <v>207</v>
      </c>
      <c r="E182" s="165" t="s">
        <v>220</v>
      </c>
      <c r="F182" s="165"/>
      <c r="G182" s="165" t="s">
        <v>310</v>
      </c>
      <c r="H182" s="165" t="s">
        <v>209</v>
      </c>
      <c r="I182" s="165" t="s">
        <v>206</v>
      </c>
      <c r="J182" s="165" t="s">
        <v>210</v>
      </c>
      <c r="K182" s="165" t="s">
        <v>220</v>
      </c>
    </row>
    <row r="183" spans="1:11" x14ac:dyDescent="0.25">
      <c r="A183" s="165" t="s">
        <v>316</v>
      </c>
      <c r="B183" s="165" t="s">
        <v>209</v>
      </c>
      <c r="C183" s="165" t="s">
        <v>206</v>
      </c>
      <c r="D183" s="165" t="s">
        <v>210</v>
      </c>
      <c r="E183" s="165" t="s">
        <v>220</v>
      </c>
      <c r="F183" s="165"/>
      <c r="G183" s="165" t="s">
        <v>311</v>
      </c>
      <c r="H183" s="165" t="s">
        <v>209</v>
      </c>
      <c r="I183" s="165" t="s">
        <v>206</v>
      </c>
      <c r="J183" s="165" t="s">
        <v>210</v>
      </c>
      <c r="K183" s="165" t="s">
        <v>220</v>
      </c>
    </row>
    <row r="184" spans="1:11" x14ac:dyDescent="0.25">
      <c r="A184" s="165" t="s">
        <v>317</v>
      </c>
      <c r="B184" s="165" t="s">
        <v>205</v>
      </c>
      <c r="C184" s="165" t="s">
        <v>206</v>
      </c>
      <c r="D184" s="165" t="s">
        <v>207</v>
      </c>
      <c r="E184" s="165" t="s">
        <v>220</v>
      </c>
      <c r="F184" s="165"/>
      <c r="G184" s="165" t="s">
        <v>312</v>
      </c>
      <c r="H184" s="165" t="s">
        <v>209</v>
      </c>
      <c r="I184" s="165" t="s">
        <v>206</v>
      </c>
      <c r="J184" s="165" t="s">
        <v>210</v>
      </c>
      <c r="K184" s="165" t="s">
        <v>220</v>
      </c>
    </row>
    <row r="185" spans="1:11" x14ac:dyDescent="0.25">
      <c r="A185" s="165" t="s">
        <v>317</v>
      </c>
      <c r="B185" s="165" t="s">
        <v>209</v>
      </c>
      <c r="C185" s="165" t="s">
        <v>206</v>
      </c>
      <c r="D185" s="165" t="s">
        <v>210</v>
      </c>
      <c r="E185" s="165" t="s">
        <v>220</v>
      </c>
      <c r="F185" s="165"/>
      <c r="G185" s="165" t="s">
        <v>313</v>
      </c>
      <c r="H185" s="165" t="s">
        <v>209</v>
      </c>
      <c r="I185" s="165" t="s">
        <v>206</v>
      </c>
      <c r="J185" s="165" t="s">
        <v>210</v>
      </c>
      <c r="K185" s="165" t="s">
        <v>220</v>
      </c>
    </row>
    <row r="186" spans="1:11" x14ac:dyDescent="0.25">
      <c r="A186" s="165" t="s">
        <v>318</v>
      </c>
      <c r="B186" s="165" t="s">
        <v>205</v>
      </c>
      <c r="C186" s="165" t="s">
        <v>206</v>
      </c>
      <c r="D186" s="165" t="s">
        <v>207</v>
      </c>
      <c r="E186" s="165" t="s">
        <v>220</v>
      </c>
      <c r="F186" s="165"/>
      <c r="G186" s="165" t="s">
        <v>314</v>
      </c>
      <c r="H186" s="165" t="s">
        <v>209</v>
      </c>
      <c r="I186" s="165" t="s">
        <v>206</v>
      </c>
      <c r="J186" s="165" t="s">
        <v>210</v>
      </c>
      <c r="K186" s="165" t="s">
        <v>220</v>
      </c>
    </row>
    <row r="187" spans="1:11" x14ac:dyDescent="0.25">
      <c r="A187" s="165" t="s">
        <v>318</v>
      </c>
      <c r="B187" s="165" t="s">
        <v>209</v>
      </c>
      <c r="C187" s="165" t="s">
        <v>206</v>
      </c>
      <c r="D187" s="165" t="s">
        <v>210</v>
      </c>
      <c r="E187" s="165" t="s">
        <v>220</v>
      </c>
      <c r="F187" s="165"/>
      <c r="G187" s="165" t="s">
        <v>315</v>
      </c>
      <c r="H187" s="165" t="s">
        <v>209</v>
      </c>
      <c r="I187" s="165" t="s">
        <v>206</v>
      </c>
      <c r="J187" s="165" t="s">
        <v>210</v>
      </c>
      <c r="K187" s="165" t="s">
        <v>220</v>
      </c>
    </row>
    <row r="188" spans="1:11" x14ac:dyDescent="0.25">
      <c r="A188" s="165" t="s">
        <v>319</v>
      </c>
      <c r="B188" s="165" t="s">
        <v>205</v>
      </c>
      <c r="C188" s="165" t="s">
        <v>320</v>
      </c>
      <c r="D188" s="165" t="s">
        <v>207</v>
      </c>
      <c r="E188" s="165" t="s">
        <v>220</v>
      </c>
      <c r="F188" s="165"/>
      <c r="G188" s="165" t="s">
        <v>316</v>
      </c>
      <c r="H188" s="165" t="s">
        <v>209</v>
      </c>
      <c r="I188" s="165" t="s">
        <v>206</v>
      </c>
      <c r="J188" s="165" t="s">
        <v>210</v>
      </c>
      <c r="K188" s="165" t="s">
        <v>220</v>
      </c>
    </row>
    <row r="189" spans="1:11" x14ac:dyDescent="0.25">
      <c r="A189" s="165" t="s">
        <v>319</v>
      </c>
      <c r="B189" s="165" t="s">
        <v>209</v>
      </c>
      <c r="C189" s="165" t="s">
        <v>320</v>
      </c>
      <c r="D189" s="165" t="s">
        <v>210</v>
      </c>
      <c r="E189" s="165" t="s">
        <v>220</v>
      </c>
      <c r="F189" s="165"/>
      <c r="G189" s="165" t="s">
        <v>317</v>
      </c>
      <c r="H189" s="165" t="s">
        <v>209</v>
      </c>
      <c r="I189" s="165" t="s">
        <v>206</v>
      </c>
      <c r="J189" s="165" t="s">
        <v>210</v>
      </c>
      <c r="K189" s="165" t="s">
        <v>220</v>
      </c>
    </row>
    <row r="190" spans="1:11" x14ac:dyDescent="0.25">
      <c r="A190" s="165" t="s">
        <v>321</v>
      </c>
      <c r="B190" s="165" t="s">
        <v>205</v>
      </c>
      <c r="C190" s="165" t="s">
        <v>320</v>
      </c>
      <c r="D190" s="165" t="s">
        <v>207</v>
      </c>
      <c r="E190" s="165" t="s">
        <v>220</v>
      </c>
      <c r="F190" s="165"/>
      <c r="G190" s="165" t="s">
        <v>318</v>
      </c>
      <c r="H190" s="165" t="s">
        <v>209</v>
      </c>
      <c r="I190" s="165" t="s">
        <v>206</v>
      </c>
      <c r="J190" s="165" t="s">
        <v>210</v>
      </c>
      <c r="K190" s="165" t="s">
        <v>220</v>
      </c>
    </row>
    <row r="191" spans="1:11" x14ac:dyDescent="0.25">
      <c r="A191" s="165" t="s">
        <v>321</v>
      </c>
      <c r="B191" s="165" t="s">
        <v>209</v>
      </c>
      <c r="C191" s="165" t="s">
        <v>320</v>
      </c>
      <c r="D191" s="165" t="s">
        <v>210</v>
      </c>
      <c r="E191" s="165" t="s">
        <v>220</v>
      </c>
      <c r="F191" s="165"/>
      <c r="G191" s="165" t="s">
        <v>319</v>
      </c>
      <c r="H191" s="165" t="s">
        <v>209</v>
      </c>
      <c r="I191" s="165" t="s">
        <v>320</v>
      </c>
      <c r="J191" s="165" t="s">
        <v>210</v>
      </c>
      <c r="K191" s="165" t="s">
        <v>220</v>
      </c>
    </row>
    <row r="192" spans="1:11" x14ac:dyDescent="0.25">
      <c r="A192" s="165" t="s">
        <v>322</v>
      </c>
      <c r="B192" s="165" t="s">
        <v>205</v>
      </c>
      <c r="C192" s="165" t="s">
        <v>320</v>
      </c>
      <c r="D192" s="165" t="s">
        <v>207</v>
      </c>
      <c r="E192" s="165" t="s">
        <v>220</v>
      </c>
      <c r="F192" s="165"/>
      <c r="G192" s="165" t="s">
        <v>321</v>
      </c>
      <c r="H192" s="165" t="s">
        <v>209</v>
      </c>
      <c r="I192" s="165" t="s">
        <v>320</v>
      </c>
      <c r="J192" s="165" t="s">
        <v>210</v>
      </c>
      <c r="K192" s="165" t="s">
        <v>220</v>
      </c>
    </row>
    <row r="193" spans="1:11" x14ac:dyDescent="0.25">
      <c r="A193" s="165" t="s">
        <v>322</v>
      </c>
      <c r="B193" s="165" t="s">
        <v>209</v>
      </c>
      <c r="C193" s="165" t="s">
        <v>320</v>
      </c>
      <c r="D193" s="165" t="s">
        <v>210</v>
      </c>
      <c r="E193" s="165" t="s">
        <v>220</v>
      </c>
      <c r="F193" s="165"/>
      <c r="G193" s="165" t="s">
        <v>322</v>
      </c>
      <c r="H193" s="165" t="s">
        <v>209</v>
      </c>
      <c r="I193" s="165" t="s">
        <v>320</v>
      </c>
      <c r="J193" s="165" t="s">
        <v>210</v>
      </c>
      <c r="K193" s="165" t="s">
        <v>220</v>
      </c>
    </row>
  </sheetData>
  <sortState xmlns:xlrd2="http://schemas.microsoft.com/office/spreadsheetml/2017/richdata2" ref="G2:K193">
    <sortCondition ref="J2:J193"/>
  </sortState>
  <mergeCells count="5">
    <mergeCell ref="P47:AA54"/>
    <mergeCell ref="O1:Q1"/>
    <mergeCell ref="R1:T1"/>
    <mergeCell ref="U1:W1"/>
    <mergeCell ref="X1:Z1"/>
  </mergeCells>
  <phoneticPr fontId="12" type="noConversion"/>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B8063-9573-4FC2-A222-39721D554E21}">
  <sheetPr codeName="Sheet5"/>
  <dimension ref="A1:R41"/>
  <sheetViews>
    <sheetView zoomScale="85" zoomScaleNormal="85" workbookViewId="0">
      <selection activeCell="G13" sqref="G13"/>
    </sheetView>
  </sheetViews>
  <sheetFormatPr defaultRowHeight="15" x14ac:dyDescent="0.25"/>
  <sheetData>
    <row r="1" spans="1:1" x14ac:dyDescent="0.25">
      <c r="A1" s="165" t="s">
        <v>185</v>
      </c>
    </row>
    <row r="3" spans="1:1" x14ac:dyDescent="0.25">
      <c r="A3" s="165" t="s">
        <v>186</v>
      </c>
    </row>
    <row r="4" spans="1:1" x14ac:dyDescent="0.25">
      <c r="A4" s="165" t="s">
        <v>187</v>
      </c>
    </row>
    <row r="5" spans="1:1" x14ac:dyDescent="0.25">
      <c r="A5" s="165" t="s">
        <v>188</v>
      </c>
    </row>
    <row r="7" spans="1:1" x14ac:dyDescent="0.25">
      <c r="A7" s="165">
        <v>20210422</v>
      </c>
    </row>
    <row r="8" spans="1:1" x14ac:dyDescent="0.25">
      <c r="A8" s="165" t="s">
        <v>323</v>
      </c>
    </row>
    <row r="9" spans="1:1" x14ac:dyDescent="0.25">
      <c r="A9" s="165" t="s">
        <v>324</v>
      </c>
    </row>
    <row r="10" spans="1:1" x14ac:dyDescent="0.25">
      <c r="A10" s="165" t="s">
        <v>325</v>
      </c>
    </row>
    <row r="19" spans="1:18" ht="45.75" thickBot="1" x14ac:dyDescent="0.3">
      <c r="A19" s="165" t="s">
        <v>189</v>
      </c>
      <c r="B19" s="165"/>
      <c r="C19" s="165"/>
      <c r="D19" s="165"/>
      <c r="E19" s="165" t="s">
        <v>190</v>
      </c>
      <c r="F19" s="86" t="s">
        <v>191</v>
      </c>
      <c r="G19" s="86" t="s">
        <v>192</v>
      </c>
      <c r="H19" s="86"/>
      <c r="I19" s="6" t="s">
        <v>50</v>
      </c>
      <c r="J19" s="6" t="s">
        <v>74</v>
      </c>
      <c r="K19" s="6"/>
      <c r="L19" s="6" t="s">
        <v>150</v>
      </c>
      <c r="M19" s="6"/>
      <c r="N19" s="6"/>
      <c r="O19" s="7" t="s">
        <v>151</v>
      </c>
      <c r="P19" s="6"/>
      <c r="Q19" s="6"/>
      <c r="R19" s="6" t="s">
        <v>152</v>
      </c>
    </row>
    <row r="20" spans="1:18" x14ac:dyDescent="0.25">
      <c r="A20" s="91" t="s">
        <v>50</v>
      </c>
      <c r="B20" s="92" t="s">
        <v>74</v>
      </c>
      <c r="C20" s="92" t="s">
        <v>52</v>
      </c>
      <c r="D20" s="92" t="s">
        <v>193</v>
      </c>
      <c r="E20" s="93">
        <f>3*1.14</f>
        <v>3.42</v>
      </c>
      <c r="F20" s="165"/>
      <c r="G20" s="165"/>
      <c r="H20" s="165"/>
      <c r="I20" s="8" t="s">
        <v>153</v>
      </c>
      <c r="J20" s="8">
        <v>0.4</v>
      </c>
      <c r="K20" s="8" t="s">
        <v>27</v>
      </c>
      <c r="L20" s="77">
        <v>0.08</v>
      </c>
      <c r="M20" s="77" t="s">
        <v>56</v>
      </c>
      <c r="N20" s="77"/>
      <c r="O20" s="9">
        <v>29.400000000000002</v>
      </c>
      <c r="P20" s="77" t="s">
        <v>56</v>
      </c>
      <c r="Q20" s="77" t="s">
        <v>154</v>
      </c>
      <c r="R20" s="77"/>
    </row>
    <row r="21" spans="1:18" x14ac:dyDescent="0.25">
      <c r="A21" s="94" t="s">
        <v>189</v>
      </c>
      <c r="B21" s="95"/>
      <c r="C21" s="95"/>
      <c r="D21" s="96">
        <f>L41-L39</f>
        <v>9.155555555555555</v>
      </c>
      <c r="E21" s="96">
        <f>D21*$E$20</f>
        <v>31.311999999999998</v>
      </c>
      <c r="F21" s="165"/>
      <c r="G21" s="165">
        <f>D21*96*1.2</f>
        <v>1054.7199999999998</v>
      </c>
      <c r="H21" s="165"/>
      <c r="I21" s="8" t="s">
        <v>155</v>
      </c>
      <c r="J21" s="8">
        <v>0.4</v>
      </c>
      <c r="K21" s="8" t="s">
        <v>27</v>
      </c>
      <c r="L21" s="77">
        <v>0.08</v>
      </c>
      <c r="M21" s="77" t="s">
        <v>56</v>
      </c>
      <c r="N21" s="77"/>
      <c r="O21" s="9">
        <v>29.400000000000002</v>
      </c>
      <c r="P21" s="77" t="s">
        <v>56</v>
      </c>
      <c r="Q21" s="77" t="s">
        <v>156</v>
      </c>
      <c r="R21" s="77"/>
    </row>
    <row r="22" spans="1:18" x14ac:dyDescent="0.25">
      <c r="A22" s="94" t="s">
        <v>79</v>
      </c>
      <c r="B22" s="95"/>
      <c r="C22" s="95"/>
      <c r="D22" s="96">
        <f>15-SUM(D21)</f>
        <v>5.844444444444445</v>
      </c>
      <c r="E22" s="96">
        <f>D22*$E$20</f>
        <v>19.988000000000003</v>
      </c>
      <c r="F22" s="165"/>
      <c r="G22" s="165">
        <f>D22*96*1.2</f>
        <v>673.28000000000009</v>
      </c>
      <c r="H22" s="165"/>
      <c r="I22" s="8" t="s">
        <v>157</v>
      </c>
      <c r="J22" s="8">
        <v>0.5</v>
      </c>
      <c r="K22" s="8" t="s">
        <v>27</v>
      </c>
      <c r="L22" s="77">
        <v>0.1</v>
      </c>
      <c r="M22" s="77" t="s">
        <v>56</v>
      </c>
      <c r="N22" s="77"/>
      <c r="O22" s="9">
        <v>36.75</v>
      </c>
      <c r="P22" s="77" t="s">
        <v>56</v>
      </c>
      <c r="Q22" s="77" t="s">
        <v>158</v>
      </c>
      <c r="R22" s="77"/>
    </row>
    <row r="23" spans="1:18" ht="15.75" thickBot="1" x14ac:dyDescent="0.3">
      <c r="A23" s="97" t="s">
        <v>80</v>
      </c>
      <c r="B23" s="98"/>
      <c r="C23" s="98"/>
      <c r="D23" s="99">
        <f>SUM(D21:D22)</f>
        <v>15</v>
      </c>
      <c r="E23" s="99">
        <f>SUM(E21:E22)</f>
        <v>51.3</v>
      </c>
      <c r="F23" s="85">
        <f>E23*8</f>
        <v>410.4</v>
      </c>
      <c r="G23" s="85">
        <f>SUM(G21:G22)</f>
        <v>1728</v>
      </c>
      <c r="H23" s="85"/>
      <c r="I23" s="8" t="s">
        <v>132</v>
      </c>
      <c r="J23" s="8">
        <v>0.25</v>
      </c>
      <c r="K23" s="8" t="s">
        <v>27</v>
      </c>
      <c r="L23" s="77">
        <v>0</v>
      </c>
      <c r="M23" s="77" t="s">
        <v>56</v>
      </c>
      <c r="N23" s="77"/>
      <c r="O23" s="9">
        <v>18.375</v>
      </c>
      <c r="P23" s="77" t="s">
        <v>56</v>
      </c>
      <c r="Q23" s="77" t="s">
        <v>154</v>
      </c>
      <c r="R23" s="165"/>
    </row>
    <row r="24" spans="1:18" x14ac:dyDescent="0.25">
      <c r="A24" s="165"/>
      <c r="B24" s="165"/>
      <c r="C24" s="165"/>
      <c r="D24" s="165"/>
      <c r="E24" s="165"/>
      <c r="F24" s="165"/>
      <c r="G24" s="165"/>
      <c r="H24" s="165"/>
      <c r="I24" s="8" t="s">
        <v>133</v>
      </c>
      <c r="J24" s="8">
        <v>0.25</v>
      </c>
      <c r="K24" s="8" t="s">
        <v>27</v>
      </c>
      <c r="L24" s="77">
        <v>0</v>
      </c>
      <c r="M24" s="77" t="s">
        <v>56</v>
      </c>
      <c r="N24" s="77"/>
      <c r="O24" s="9">
        <v>18.375</v>
      </c>
      <c r="P24" s="77" t="s">
        <v>56</v>
      </c>
      <c r="Q24" s="77" t="s">
        <v>156</v>
      </c>
      <c r="R24" s="77"/>
    </row>
    <row r="25" spans="1:18" ht="33.75" customHeight="1" x14ac:dyDescent="0.25">
      <c r="A25" s="309" t="s">
        <v>194</v>
      </c>
      <c r="B25" s="309"/>
      <c r="C25" s="309"/>
      <c r="D25" s="309"/>
      <c r="E25" s="309"/>
      <c r="F25" s="165"/>
      <c r="G25" s="165"/>
      <c r="H25" s="165"/>
      <c r="I25" s="8" t="s">
        <v>134</v>
      </c>
      <c r="J25" s="8">
        <v>0.5</v>
      </c>
      <c r="K25" s="8" t="s">
        <v>27</v>
      </c>
      <c r="L25" s="77">
        <v>0</v>
      </c>
      <c r="M25" s="77" t="s">
        <v>56</v>
      </c>
      <c r="N25" s="77"/>
      <c r="O25" s="9">
        <v>36.75</v>
      </c>
      <c r="P25" s="77" t="s">
        <v>56</v>
      </c>
      <c r="Q25" s="77"/>
      <c r="R25" s="77"/>
    </row>
    <row r="26" spans="1:18" ht="15.75" thickBot="1" x14ac:dyDescent="0.3">
      <c r="A26" s="165"/>
      <c r="B26" s="165"/>
      <c r="C26" s="165"/>
      <c r="D26" s="165"/>
      <c r="E26" s="165"/>
      <c r="F26" s="165" t="s">
        <v>191</v>
      </c>
      <c r="G26" s="165" t="s">
        <v>326</v>
      </c>
      <c r="H26" s="165"/>
      <c r="I26" s="165" t="s">
        <v>135</v>
      </c>
      <c r="J26" s="77">
        <v>100</v>
      </c>
      <c r="K26" s="77"/>
      <c r="L26" s="77">
        <v>0</v>
      </c>
      <c r="M26" s="77" t="s">
        <v>56</v>
      </c>
      <c r="N26" s="77"/>
      <c r="O26" s="9">
        <v>0</v>
      </c>
      <c r="P26" s="77" t="s">
        <v>56</v>
      </c>
      <c r="Q26" s="77"/>
      <c r="R26" s="165"/>
    </row>
    <row r="27" spans="1:18" x14ac:dyDescent="0.25">
      <c r="A27" s="91" t="s">
        <v>50</v>
      </c>
      <c r="B27" s="92" t="s">
        <v>74</v>
      </c>
      <c r="C27" s="92" t="s">
        <v>52</v>
      </c>
      <c r="D27" s="92" t="s">
        <v>193</v>
      </c>
      <c r="E27" s="18" t="s">
        <v>196</v>
      </c>
      <c r="F27" s="165">
        <f>8*3</f>
        <v>24</v>
      </c>
      <c r="G27" s="92">
        <f>8*3*1.17</f>
        <v>28.08</v>
      </c>
      <c r="H27" s="165"/>
      <c r="I27" s="77" t="s">
        <v>136</v>
      </c>
      <c r="J27" s="77">
        <v>0.25</v>
      </c>
      <c r="K27" s="77" t="s">
        <v>137</v>
      </c>
      <c r="L27" s="77">
        <v>0.32</v>
      </c>
      <c r="M27" s="77" t="s">
        <v>56</v>
      </c>
      <c r="N27" s="77"/>
      <c r="O27" s="9">
        <v>117.60000000000001</v>
      </c>
      <c r="P27" s="77" t="s">
        <v>56</v>
      </c>
      <c r="Q27" s="77" t="s">
        <v>136</v>
      </c>
      <c r="R27" s="77"/>
    </row>
    <row r="28" spans="1:18" x14ac:dyDescent="0.25">
      <c r="A28" s="94" t="s">
        <v>189</v>
      </c>
      <c r="B28" s="95"/>
      <c r="C28" s="95"/>
      <c r="D28" s="96">
        <f>D21</f>
        <v>9.155555555555555</v>
      </c>
      <c r="E28" s="84">
        <f>3*D28</f>
        <v>27.466666666666665</v>
      </c>
      <c r="F28" s="84">
        <f>D28*$F$27</f>
        <v>219.73333333333332</v>
      </c>
      <c r="G28" s="29">
        <f>D28*$G$27</f>
        <v>257.08799999999997</v>
      </c>
      <c r="H28" s="165"/>
      <c r="I28" s="77" t="s">
        <v>139</v>
      </c>
      <c r="J28" s="77">
        <v>2.5</v>
      </c>
      <c r="K28" s="77" t="s">
        <v>52</v>
      </c>
      <c r="L28" s="77">
        <v>0.05</v>
      </c>
      <c r="M28" s="77" t="s">
        <v>56</v>
      </c>
      <c r="N28" s="77"/>
      <c r="O28" s="9">
        <v>18.375</v>
      </c>
      <c r="P28" s="77" t="s">
        <v>56</v>
      </c>
      <c r="Q28" s="77" t="s">
        <v>139</v>
      </c>
      <c r="R28" s="77"/>
    </row>
    <row r="29" spans="1:18" x14ac:dyDescent="0.25">
      <c r="A29" s="94" t="s">
        <v>113</v>
      </c>
      <c r="B29" s="95">
        <v>50</v>
      </c>
      <c r="C29" s="95"/>
      <c r="D29" s="96">
        <f>0.05*20/10</f>
        <v>0.1</v>
      </c>
      <c r="E29" s="84">
        <f t="shared" ref="E29:E34" si="0">3*D29</f>
        <v>0.30000000000000004</v>
      </c>
      <c r="F29" s="84">
        <f t="shared" ref="F29:F34" si="1">D29*$F$27</f>
        <v>2.4000000000000004</v>
      </c>
      <c r="G29" s="29">
        <f t="shared" ref="G29:G34" si="2">D29*$G$27</f>
        <v>2.8079999999999998</v>
      </c>
      <c r="H29" s="165"/>
      <c r="I29" s="77"/>
      <c r="J29" s="77"/>
      <c r="K29" s="77"/>
      <c r="L29" s="77"/>
      <c r="M29" s="77"/>
      <c r="N29" s="77"/>
      <c r="O29" s="9"/>
      <c r="P29" s="77"/>
      <c r="Q29" s="77"/>
      <c r="R29" s="77"/>
    </row>
    <row r="30" spans="1:18" x14ac:dyDescent="0.25">
      <c r="A30" s="94" t="s">
        <v>115</v>
      </c>
      <c r="B30" s="95">
        <v>50</v>
      </c>
      <c r="C30" s="95"/>
      <c r="D30" s="96">
        <f>0.05*20/10</f>
        <v>0.1</v>
      </c>
      <c r="E30" s="84">
        <f t="shared" si="0"/>
        <v>0.30000000000000004</v>
      </c>
      <c r="F30" s="84">
        <f t="shared" si="1"/>
        <v>2.4000000000000004</v>
      </c>
      <c r="G30" s="29">
        <f t="shared" si="2"/>
        <v>2.8079999999999998</v>
      </c>
      <c r="H30" s="165"/>
      <c r="I30" s="77"/>
      <c r="J30" s="77"/>
      <c r="K30" s="77"/>
      <c r="L30" s="77"/>
      <c r="M30" s="77"/>
      <c r="N30" s="77"/>
      <c r="O30" s="9"/>
      <c r="P30" s="77"/>
      <c r="Q30" s="77"/>
      <c r="R30" s="77"/>
    </row>
    <row r="31" spans="1:18" x14ac:dyDescent="0.25">
      <c r="A31" s="94" t="s">
        <v>116</v>
      </c>
      <c r="B31" s="95">
        <v>400</v>
      </c>
      <c r="C31" s="95"/>
      <c r="D31" s="96">
        <f>0.4*20/10</f>
        <v>0.8</v>
      </c>
      <c r="E31" s="84">
        <f t="shared" si="0"/>
        <v>2.4000000000000004</v>
      </c>
      <c r="F31" s="84">
        <f t="shared" si="1"/>
        <v>19.200000000000003</v>
      </c>
      <c r="G31" s="29">
        <f t="shared" si="2"/>
        <v>22.463999999999999</v>
      </c>
      <c r="H31" s="165"/>
      <c r="I31" s="77"/>
      <c r="J31" s="77"/>
      <c r="K31" s="77"/>
      <c r="L31" s="77"/>
      <c r="M31" s="77"/>
      <c r="N31" s="77"/>
      <c r="O31" s="9"/>
      <c r="P31" s="77"/>
      <c r="Q31" s="77"/>
      <c r="R31" s="77"/>
    </row>
    <row r="32" spans="1:18" x14ac:dyDescent="0.25">
      <c r="A32" s="94" t="s">
        <v>197</v>
      </c>
      <c r="B32" s="95"/>
      <c r="C32" s="95"/>
      <c r="D32" s="96">
        <v>2</v>
      </c>
      <c r="E32" s="84">
        <f t="shared" si="0"/>
        <v>6</v>
      </c>
      <c r="F32" s="84">
        <f t="shared" si="1"/>
        <v>48</v>
      </c>
      <c r="G32" s="29">
        <f t="shared" si="2"/>
        <v>56.16</v>
      </c>
      <c r="H32" s="165"/>
      <c r="I32" s="77" t="s">
        <v>141</v>
      </c>
      <c r="J32" s="77">
        <v>1</v>
      </c>
      <c r="K32" s="77" t="s">
        <v>52</v>
      </c>
      <c r="L32" s="77">
        <v>3.3333333333333333E-2</v>
      </c>
      <c r="M32" s="77" t="s">
        <v>56</v>
      </c>
      <c r="N32" s="77"/>
      <c r="O32" s="9">
        <v>12.25</v>
      </c>
      <c r="P32" s="77" t="s">
        <v>56</v>
      </c>
      <c r="Q32" s="77"/>
      <c r="R32" s="77"/>
    </row>
    <row r="33" spans="1:18" x14ac:dyDescent="0.25">
      <c r="A33" s="27" t="s">
        <v>79</v>
      </c>
      <c r="B33" s="165"/>
      <c r="C33" s="165"/>
      <c r="D33" s="84">
        <f>18-SUM(D28:D32)</f>
        <v>5.844444444444445</v>
      </c>
      <c r="E33" s="84">
        <f t="shared" si="0"/>
        <v>17.533333333333335</v>
      </c>
      <c r="F33" s="84">
        <f t="shared" si="1"/>
        <v>140.26666666666668</v>
      </c>
      <c r="G33" s="29">
        <f t="shared" si="2"/>
        <v>164.11199999999999</v>
      </c>
      <c r="H33" s="165"/>
      <c r="I33" s="77" t="s">
        <v>138</v>
      </c>
      <c r="J33" s="77">
        <v>3.5</v>
      </c>
      <c r="K33" s="77" t="s">
        <v>137</v>
      </c>
      <c r="L33" s="77">
        <v>7.0000000000000007E-2</v>
      </c>
      <c r="M33" s="77" t="s">
        <v>56</v>
      </c>
      <c r="N33" s="77"/>
      <c r="O33" s="9">
        <v>25.725000000000005</v>
      </c>
      <c r="P33" s="77" t="s">
        <v>56</v>
      </c>
      <c r="Q33" s="77" t="s">
        <v>138</v>
      </c>
      <c r="R33" s="77"/>
    </row>
    <row r="34" spans="1:18" ht="15.75" thickBot="1" x14ac:dyDescent="0.3">
      <c r="A34" s="97" t="s">
        <v>80</v>
      </c>
      <c r="B34" s="98"/>
      <c r="C34" s="98"/>
      <c r="D34" s="99">
        <f>SUM(D28:D33)</f>
        <v>18</v>
      </c>
      <c r="E34" s="28">
        <f t="shared" si="0"/>
        <v>54</v>
      </c>
      <c r="F34" s="28">
        <f t="shared" si="1"/>
        <v>432</v>
      </c>
      <c r="G34" s="30">
        <f t="shared" si="2"/>
        <v>505.43999999999994</v>
      </c>
      <c r="H34" s="165"/>
      <c r="I34" s="77" t="s">
        <v>142</v>
      </c>
      <c r="J34" s="77">
        <v>10</v>
      </c>
      <c r="K34" s="77" t="s">
        <v>143</v>
      </c>
      <c r="L34" s="77">
        <v>4</v>
      </c>
      <c r="M34" s="77" t="s">
        <v>56</v>
      </c>
      <c r="N34" s="77"/>
      <c r="O34" s="9">
        <v>1470</v>
      </c>
      <c r="P34" s="77" t="s">
        <v>56</v>
      </c>
      <c r="Q34" s="77" t="s">
        <v>142</v>
      </c>
      <c r="R34" s="165"/>
    </row>
    <row r="35" spans="1:18" x14ac:dyDescent="0.25">
      <c r="A35" s="165"/>
      <c r="B35" s="165"/>
      <c r="C35" s="165"/>
      <c r="D35" s="165"/>
      <c r="E35" s="165"/>
      <c r="F35" s="165"/>
      <c r="G35" s="165"/>
      <c r="H35" s="165"/>
      <c r="I35" s="77" t="s">
        <v>144</v>
      </c>
      <c r="J35" s="77">
        <v>0.5</v>
      </c>
      <c r="K35" s="77" t="s">
        <v>145</v>
      </c>
      <c r="L35" s="77">
        <v>0.2</v>
      </c>
      <c r="M35" s="77" t="s">
        <v>56</v>
      </c>
      <c r="N35" s="77"/>
      <c r="O35" s="9">
        <v>73.5</v>
      </c>
      <c r="P35" s="77" t="s">
        <v>56</v>
      </c>
      <c r="Q35" s="77" t="s">
        <v>144</v>
      </c>
      <c r="R35" s="77"/>
    </row>
    <row r="36" spans="1:18" x14ac:dyDescent="0.25">
      <c r="A36" s="165"/>
      <c r="B36" s="165"/>
      <c r="C36" s="165"/>
      <c r="D36" s="165"/>
      <c r="E36" s="165"/>
      <c r="F36" s="165"/>
      <c r="G36" s="165"/>
      <c r="H36" s="165"/>
      <c r="I36" s="77" t="s">
        <v>159</v>
      </c>
      <c r="J36" s="77">
        <v>1</v>
      </c>
      <c r="K36" s="77" t="s">
        <v>147</v>
      </c>
      <c r="L36" s="77">
        <v>2</v>
      </c>
      <c r="M36" s="77" t="s">
        <v>56</v>
      </c>
      <c r="N36" s="77"/>
      <c r="O36" s="9">
        <v>735</v>
      </c>
      <c r="P36" s="77" t="s">
        <v>56</v>
      </c>
      <c r="Q36" s="77" t="s">
        <v>159</v>
      </c>
      <c r="R36" s="77"/>
    </row>
    <row r="37" spans="1:18" ht="75" x14ac:dyDescent="0.25">
      <c r="A37" s="165"/>
      <c r="B37" s="165"/>
      <c r="C37" s="165"/>
      <c r="D37" s="165"/>
      <c r="E37" s="165"/>
      <c r="F37" s="165"/>
      <c r="G37" s="165"/>
      <c r="H37" s="165"/>
      <c r="I37" s="5" t="s">
        <v>148</v>
      </c>
      <c r="J37" s="77">
        <v>5</v>
      </c>
      <c r="K37" s="77" t="s">
        <v>143</v>
      </c>
      <c r="L37" s="77">
        <v>2.2222222222222223</v>
      </c>
      <c r="M37" s="77" t="s">
        <v>56</v>
      </c>
      <c r="N37" s="77"/>
      <c r="O37" s="9">
        <v>816.66666666666674</v>
      </c>
      <c r="P37" s="77" t="s">
        <v>56</v>
      </c>
      <c r="Q37" s="77" t="s">
        <v>160</v>
      </c>
      <c r="R37" s="77"/>
    </row>
    <row r="38" spans="1:18" x14ac:dyDescent="0.25">
      <c r="A38" s="165"/>
      <c r="B38" s="165"/>
      <c r="C38" s="165"/>
      <c r="D38" s="165"/>
      <c r="E38" s="165"/>
      <c r="F38" s="165"/>
      <c r="G38" s="165"/>
      <c r="H38" s="165"/>
      <c r="I38" s="10" t="s">
        <v>149</v>
      </c>
      <c r="J38" s="11">
        <v>0</v>
      </c>
      <c r="K38" s="11" t="s">
        <v>143</v>
      </c>
      <c r="L38" s="11">
        <v>0</v>
      </c>
      <c r="M38" s="11" t="s">
        <v>56</v>
      </c>
      <c r="N38" s="11"/>
      <c r="O38" s="11">
        <v>0</v>
      </c>
      <c r="P38" s="77" t="s">
        <v>56</v>
      </c>
      <c r="Q38" s="77"/>
      <c r="R38" s="77"/>
    </row>
    <row r="39" spans="1:18" x14ac:dyDescent="0.25">
      <c r="A39" s="165"/>
      <c r="B39" s="165"/>
      <c r="C39" s="165"/>
      <c r="D39" s="165"/>
      <c r="E39" s="165"/>
      <c r="F39" s="165"/>
      <c r="G39" s="165"/>
      <c r="H39" s="165"/>
      <c r="I39" s="77" t="s">
        <v>161</v>
      </c>
      <c r="J39" s="77"/>
      <c r="K39" s="77"/>
      <c r="L39" s="8"/>
      <c r="M39" s="77" t="s">
        <v>56</v>
      </c>
      <c r="N39" s="77"/>
      <c r="O39" s="9">
        <v>2074.3333333333335</v>
      </c>
      <c r="P39" s="77" t="s">
        <v>56</v>
      </c>
      <c r="Q39" s="77" t="s">
        <v>161</v>
      </c>
      <c r="R39" s="77"/>
    </row>
    <row r="40" spans="1:18" x14ac:dyDescent="0.25">
      <c r="A40" s="165"/>
      <c r="B40" s="165"/>
      <c r="C40" s="165"/>
      <c r="D40" s="165"/>
      <c r="E40" s="165"/>
      <c r="F40" s="165"/>
      <c r="G40" s="165"/>
      <c r="H40" s="165"/>
      <c r="I40" s="77"/>
      <c r="J40" s="77"/>
      <c r="K40" s="77"/>
      <c r="L40" s="77"/>
      <c r="M40" s="77"/>
      <c r="N40" s="77"/>
      <c r="O40" s="9"/>
      <c r="P40" s="77"/>
      <c r="Q40" s="12"/>
      <c r="R40" s="165"/>
    </row>
    <row r="41" spans="1:18" x14ac:dyDescent="0.25">
      <c r="A41" s="165"/>
      <c r="B41" s="165"/>
      <c r="C41" s="165"/>
      <c r="D41" s="165"/>
      <c r="E41" s="165"/>
      <c r="F41" s="165"/>
      <c r="G41" s="165"/>
      <c r="H41" s="165"/>
      <c r="I41" s="77"/>
      <c r="J41" s="77"/>
      <c r="K41" s="77" t="s">
        <v>162</v>
      </c>
      <c r="L41" s="13">
        <f>SUM(L20:L40)</f>
        <v>9.155555555555555</v>
      </c>
      <c r="M41" s="77" t="s">
        <v>56</v>
      </c>
      <c r="N41" s="77"/>
      <c r="O41" s="9">
        <v>5512.5</v>
      </c>
      <c r="P41" s="77" t="s">
        <v>56</v>
      </c>
      <c r="Q41" s="77"/>
      <c r="R41" s="165"/>
    </row>
  </sheetData>
  <mergeCells count="1">
    <mergeCell ref="A25:E25"/>
  </mergeCells>
  <pageMargins left="0.7" right="0.7" top="0.75" bottom="0.75" header="0.3" footer="0.3"/>
  <pageSetup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63DCE-5140-4E64-8183-CDE1AE2CEAAF}">
  <sheetPr codeName="Sheet6"/>
  <dimension ref="A1:AE193"/>
  <sheetViews>
    <sheetView topLeftCell="A52" zoomScale="85" zoomScaleNormal="85" workbookViewId="0">
      <selection activeCell="Q31" sqref="Q31"/>
    </sheetView>
  </sheetViews>
  <sheetFormatPr defaultRowHeight="15" x14ac:dyDescent="0.25"/>
  <cols>
    <col min="1" max="5" width="9.140625" style="26"/>
    <col min="7" max="11" width="9.140625" style="26"/>
  </cols>
  <sheetData>
    <row r="1" spans="1:31" ht="23.25" x14ac:dyDescent="0.35">
      <c r="A1" s="165" t="s">
        <v>198</v>
      </c>
      <c r="B1" s="165" t="s">
        <v>199</v>
      </c>
      <c r="C1" s="165" t="s">
        <v>200</v>
      </c>
      <c r="D1" s="165" t="s">
        <v>201</v>
      </c>
      <c r="E1" s="165" t="s">
        <v>202</v>
      </c>
      <c r="F1" s="165"/>
      <c r="G1" s="165" t="s">
        <v>198</v>
      </c>
      <c r="H1" s="165" t="s">
        <v>199</v>
      </c>
      <c r="I1" s="165" t="s">
        <v>200</v>
      </c>
      <c r="J1" s="165" t="s">
        <v>201</v>
      </c>
      <c r="K1" s="165" t="s">
        <v>202</v>
      </c>
      <c r="L1" s="165" t="s">
        <v>327</v>
      </c>
      <c r="M1" s="165"/>
      <c r="N1" s="165"/>
      <c r="O1" s="165"/>
      <c r="P1" s="165"/>
      <c r="Q1" s="165"/>
      <c r="R1" s="165"/>
      <c r="S1" s="165"/>
      <c r="T1" s="311" t="s">
        <v>35</v>
      </c>
      <c r="U1" s="311"/>
      <c r="V1" s="311"/>
      <c r="W1" s="311" t="s">
        <v>38</v>
      </c>
      <c r="X1" s="311"/>
      <c r="Y1" s="311"/>
      <c r="Z1" s="311" t="s">
        <v>41</v>
      </c>
      <c r="AA1" s="311"/>
      <c r="AB1" s="311"/>
      <c r="AC1" s="311" t="s">
        <v>79</v>
      </c>
      <c r="AD1" s="311"/>
      <c r="AE1" s="311"/>
    </row>
    <row r="2" spans="1:31" ht="45" x14ac:dyDescent="0.25">
      <c r="A2" s="165" t="s">
        <v>204</v>
      </c>
      <c r="B2" s="165" t="s">
        <v>205</v>
      </c>
      <c r="C2" s="165" t="s">
        <v>206</v>
      </c>
      <c r="D2" s="165" t="s">
        <v>207</v>
      </c>
      <c r="E2" s="165">
        <v>26.73</v>
      </c>
      <c r="F2" s="165"/>
      <c r="G2" s="165" t="s">
        <v>204</v>
      </c>
      <c r="H2" s="165" t="s">
        <v>205</v>
      </c>
      <c r="I2" s="165" t="s">
        <v>206</v>
      </c>
      <c r="J2" s="165" t="s">
        <v>207</v>
      </c>
      <c r="K2" s="165">
        <v>26.73</v>
      </c>
      <c r="L2" s="165">
        <f>AVERAGE(K2:K4)</f>
        <v>26.49</v>
      </c>
      <c r="M2" s="165"/>
      <c r="N2" s="165"/>
      <c r="O2" s="165"/>
      <c r="P2" s="165"/>
      <c r="Q2" s="165"/>
      <c r="R2" s="165"/>
      <c r="S2" s="165"/>
      <c r="T2" s="165" t="s">
        <v>208</v>
      </c>
      <c r="U2" s="90" t="s">
        <v>25</v>
      </c>
      <c r="V2" s="165" t="s">
        <v>203</v>
      </c>
      <c r="W2" s="165" t="s">
        <v>208</v>
      </c>
      <c r="X2" s="90" t="s">
        <v>25</v>
      </c>
      <c r="Y2" s="165" t="s">
        <v>203</v>
      </c>
      <c r="Z2" s="165" t="s">
        <v>208</v>
      </c>
      <c r="AA2" s="90" t="s">
        <v>25</v>
      </c>
      <c r="AB2" s="165" t="s">
        <v>203</v>
      </c>
      <c r="AC2" s="165" t="s">
        <v>208</v>
      </c>
      <c r="AD2" s="90" t="s">
        <v>25</v>
      </c>
      <c r="AE2" s="165" t="s">
        <v>203</v>
      </c>
    </row>
    <row r="3" spans="1:31" x14ac:dyDescent="0.25">
      <c r="A3" s="165" t="s">
        <v>204</v>
      </c>
      <c r="B3" s="165" t="s">
        <v>328</v>
      </c>
      <c r="C3" s="165" t="s">
        <v>206</v>
      </c>
      <c r="D3" s="165" t="s">
        <v>210</v>
      </c>
      <c r="E3" s="165">
        <v>30.59</v>
      </c>
      <c r="F3" s="165"/>
      <c r="G3" s="165" t="s">
        <v>211</v>
      </c>
      <c r="H3" s="165" t="s">
        <v>205</v>
      </c>
      <c r="I3" s="165" t="s">
        <v>206</v>
      </c>
      <c r="J3" s="165" t="s">
        <v>207</v>
      </c>
      <c r="K3" s="165">
        <v>26.58</v>
      </c>
      <c r="L3" s="165"/>
      <c r="M3" s="165"/>
      <c r="N3" s="165"/>
      <c r="O3" s="165"/>
      <c r="P3" s="165"/>
      <c r="Q3" s="165"/>
      <c r="R3" s="165"/>
      <c r="S3" s="165"/>
      <c r="T3" s="165" t="s">
        <v>30</v>
      </c>
      <c r="U3" s="89">
        <v>60220000000.000008</v>
      </c>
      <c r="V3" s="165">
        <v>26.49</v>
      </c>
      <c r="W3" s="165" t="s">
        <v>30</v>
      </c>
      <c r="X3" s="89">
        <v>60220000000.000008</v>
      </c>
      <c r="Y3" s="165"/>
      <c r="Z3" s="165" t="s">
        <v>30</v>
      </c>
      <c r="AA3" s="89">
        <v>60220000000.000008</v>
      </c>
      <c r="AB3" s="165">
        <v>27.680000000000003</v>
      </c>
      <c r="AC3" s="165" t="s">
        <v>30</v>
      </c>
      <c r="AD3" s="89">
        <v>60220000000.000008</v>
      </c>
      <c r="AE3" s="165"/>
    </row>
    <row r="4" spans="1:31" x14ac:dyDescent="0.25">
      <c r="A4" s="165" t="s">
        <v>211</v>
      </c>
      <c r="B4" s="165" t="s">
        <v>205</v>
      </c>
      <c r="C4" s="165" t="s">
        <v>206</v>
      </c>
      <c r="D4" s="165" t="s">
        <v>207</v>
      </c>
      <c r="E4" s="165">
        <v>26.58</v>
      </c>
      <c r="F4" s="165"/>
      <c r="G4" s="165" t="s">
        <v>212</v>
      </c>
      <c r="H4" s="165" t="s">
        <v>205</v>
      </c>
      <c r="I4" s="165" t="s">
        <v>206</v>
      </c>
      <c r="J4" s="165" t="s">
        <v>207</v>
      </c>
      <c r="K4" s="165">
        <v>26.16</v>
      </c>
      <c r="L4" s="165"/>
      <c r="M4" s="165"/>
      <c r="N4" s="165"/>
      <c r="O4" s="165"/>
      <c r="P4" s="165"/>
      <c r="Q4" s="165"/>
      <c r="R4" s="165"/>
      <c r="S4" s="165"/>
      <c r="T4" s="165" t="s">
        <v>31</v>
      </c>
      <c r="U4" s="165">
        <v>12044000000.000002</v>
      </c>
      <c r="V4" s="165">
        <v>31.586666666666662</v>
      </c>
      <c r="W4" s="165" t="s">
        <v>31</v>
      </c>
      <c r="X4" s="165">
        <v>12044000000.000002</v>
      </c>
      <c r="Y4" s="165">
        <v>31.206666666666667</v>
      </c>
      <c r="Z4" s="165" t="s">
        <v>31</v>
      </c>
      <c r="AA4" s="165">
        <v>12044000000.000002</v>
      </c>
      <c r="AB4" s="165"/>
      <c r="AC4" s="165" t="s">
        <v>31</v>
      </c>
      <c r="AD4" s="165">
        <v>12044000000.000002</v>
      </c>
      <c r="AE4" s="165">
        <v>31.853333333333335</v>
      </c>
    </row>
    <row r="5" spans="1:31" x14ac:dyDescent="0.25">
      <c r="A5" s="165" t="s">
        <v>211</v>
      </c>
      <c r="B5" s="165" t="s">
        <v>328</v>
      </c>
      <c r="C5" s="165" t="s">
        <v>206</v>
      </c>
      <c r="D5" s="165" t="s">
        <v>210</v>
      </c>
      <c r="E5" s="165">
        <v>30.08</v>
      </c>
      <c r="F5" s="165"/>
      <c r="G5" s="165" t="s">
        <v>213</v>
      </c>
      <c r="H5" s="165" t="s">
        <v>205</v>
      </c>
      <c r="I5" s="165" t="s">
        <v>206</v>
      </c>
      <c r="J5" s="165" t="s">
        <v>207</v>
      </c>
      <c r="K5" s="165">
        <v>31.64</v>
      </c>
      <c r="L5" s="165">
        <f>AVERAGE(K5:K7)</f>
        <v>31.586666666666662</v>
      </c>
      <c r="M5" s="165"/>
      <c r="N5" s="165"/>
      <c r="O5" s="165"/>
      <c r="P5" s="165"/>
      <c r="Q5" s="165"/>
      <c r="R5" s="165"/>
      <c r="S5" s="165"/>
      <c r="T5" s="165" t="s">
        <v>32</v>
      </c>
      <c r="U5" s="165">
        <v>1204400000.0000002</v>
      </c>
      <c r="V5" s="165">
        <v>43.27</v>
      </c>
      <c r="W5" s="165" t="s">
        <v>32</v>
      </c>
      <c r="X5" s="165">
        <v>1204400000.0000002</v>
      </c>
      <c r="Y5" s="165">
        <v>41.06666666666667</v>
      </c>
      <c r="Z5" s="165" t="s">
        <v>32</v>
      </c>
      <c r="AA5" s="165">
        <v>1204400000.0000002</v>
      </c>
      <c r="AB5" s="165">
        <v>39.283333333333339</v>
      </c>
      <c r="AC5" s="165" t="s">
        <v>32</v>
      </c>
      <c r="AD5" s="165">
        <v>1204400000.0000002</v>
      </c>
      <c r="AE5" s="165">
        <v>38.090000000000003</v>
      </c>
    </row>
    <row r="6" spans="1:31" x14ac:dyDescent="0.25">
      <c r="A6" s="165" t="s">
        <v>212</v>
      </c>
      <c r="B6" s="165" t="s">
        <v>205</v>
      </c>
      <c r="C6" s="165" t="s">
        <v>206</v>
      </c>
      <c r="D6" s="165" t="s">
        <v>207</v>
      </c>
      <c r="E6" s="165">
        <v>26.16</v>
      </c>
      <c r="F6" s="165"/>
      <c r="G6" s="165" t="s">
        <v>214</v>
      </c>
      <c r="H6" s="165" t="s">
        <v>205</v>
      </c>
      <c r="I6" s="165" t="s">
        <v>206</v>
      </c>
      <c r="J6" s="165" t="s">
        <v>207</v>
      </c>
      <c r="K6" s="165">
        <v>31.72</v>
      </c>
      <c r="L6" s="165"/>
      <c r="M6" s="165"/>
      <c r="N6" s="165"/>
      <c r="O6" s="165"/>
      <c r="P6" s="165"/>
      <c r="Q6" s="165"/>
      <c r="R6" s="165"/>
      <c r="S6" s="165"/>
      <c r="T6" s="165" t="s">
        <v>33</v>
      </c>
      <c r="U6" s="165">
        <v>120440000.00000003</v>
      </c>
      <c r="V6" s="165"/>
      <c r="W6" s="165" t="s">
        <v>33</v>
      </c>
      <c r="X6" s="165">
        <v>120440000.00000003</v>
      </c>
      <c r="Y6" s="165"/>
      <c r="Z6" s="165" t="s">
        <v>33</v>
      </c>
      <c r="AA6" s="165">
        <v>120440000.00000003</v>
      </c>
      <c r="AB6" s="165"/>
      <c r="AC6" s="165" t="s">
        <v>33</v>
      </c>
      <c r="AD6" s="165">
        <v>120440000.00000003</v>
      </c>
      <c r="AE6" s="165">
        <v>43.355000000000004</v>
      </c>
    </row>
    <row r="7" spans="1:31" x14ac:dyDescent="0.25">
      <c r="A7" s="165" t="s">
        <v>212</v>
      </c>
      <c r="B7" s="165" t="s">
        <v>328</v>
      </c>
      <c r="C7" s="165" t="s">
        <v>206</v>
      </c>
      <c r="D7" s="165" t="s">
        <v>210</v>
      </c>
      <c r="E7" s="165">
        <v>30.23</v>
      </c>
      <c r="F7" s="165"/>
      <c r="G7" s="165" t="s">
        <v>215</v>
      </c>
      <c r="H7" s="165" t="s">
        <v>205</v>
      </c>
      <c r="I7" s="165" t="s">
        <v>206</v>
      </c>
      <c r="J7" s="165" t="s">
        <v>207</v>
      </c>
      <c r="K7" s="165">
        <v>31.4</v>
      </c>
      <c r="L7" s="165"/>
      <c r="M7" s="165"/>
      <c r="N7" s="165"/>
      <c r="O7" s="165"/>
      <c r="P7" s="165"/>
      <c r="Q7" s="165"/>
      <c r="R7" s="165"/>
      <c r="S7" s="165"/>
      <c r="T7" s="165" t="s">
        <v>34</v>
      </c>
      <c r="U7" s="165">
        <v>12044000.000000004</v>
      </c>
      <c r="V7" s="165"/>
      <c r="W7" s="165" t="s">
        <v>34</v>
      </c>
      <c r="X7" s="165">
        <v>12044000.000000004</v>
      </c>
      <c r="Y7" s="165"/>
      <c r="Z7" s="165" t="s">
        <v>34</v>
      </c>
      <c r="AA7" s="165">
        <v>12044000.000000004</v>
      </c>
      <c r="AB7" s="165"/>
      <c r="AC7" s="165" t="s">
        <v>34</v>
      </c>
      <c r="AD7" s="165">
        <v>12044000.000000004</v>
      </c>
      <c r="AE7" s="165"/>
    </row>
    <row r="8" spans="1:31" x14ac:dyDescent="0.25">
      <c r="A8" s="165" t="s">
        <v>213</v>
      </c>
      <c r="B8" s="165" t="s">
        <v>205</v>
      </c>
      <c r="C8" s="165" t="s">
        <v>206</v>
      </c>
      <c r="D8" s="165" t="s">
        <v>207</v>
      </c>
      <c r="E8" s="165">
        <v>31.64</v>
      </c>
      <c r="F8" s="165"/>
      <c r="G8" s="165" t="s">
        <v>216</v>
      </c>
      <c r="H8" s="165" t="s">
        <v>205</v>
      </c>
      <c r="I8" s="165" t="s">
        <v>206</v>
      </c>
      <c r="J8" s="165" t="s">
        <v>207</v>
      </c>
      <c r="K8" s="165">
        <v>43.18</v>
      </c>
      <c r="L8" s="165">
        <f>AVERAGE(K8:K10)</f>
        <v>43.27</v>
      </c>
      <c r="M8" s="165"/>
      <c r="N8" s="165"/>
      <c r="O8" s="165"/>
      <c r="P8" s="165"/>
      <c r="Q8" s="165"/>
      <c r="R8" s="165"/>
      <c r="S8" s="165"/>
      <c r="T8" s="165" t="s">
        <v>35</v>
      </c>
      <c r="U8" s="165">
        <v>1204400.0000000005</v>
      </c>
      <c r="V8" s="165"/>
      <c r="W8" s="165" t="s">
        <v>35</v>
      </c>
      <c r="X8" s="165">
        <v>1204400.0000000005</v>
      </c>
      <c r="Y8" s="165"/>
      <c r="Z8" s="165" t="s">
        <v>35</v>
      </c>
      <c r="AA8" s="165">
        <v>1204400.0000000005</v>
      </c>
      <c r="AB8" s="165"/>
      <c r="AC8" s="165" t="s">
        <v>35</v>
      </c>
      <c r="AD8" s="165">
        <v>1204400.0000000005</v>
      </c>
      <c r="AE8" s="165"/>
    </row>
    <row r="9" spans="1:31" x14ac:dyDescent="0.25">
      <c r="A9" s="165" t="s">
        <v>213</v>
      </c>
      <c r="B9" s="165" t="s">
        <v>328</v>
      </c>
      <c r="C9" s="165" t="s">
        <v>206</v>
      </c>
      <c r="D9" s="165" t="s">
        <v>210</v>
      </c>
      <c r="E9" s="165">
        <v>29.95</v>
      </c>
      <c r="F9" s="165"/>
      <c r="G9" s="165" t="s">
        <v>217</v>
      </c>
      <c r="H9" s="165" t="s">
        <v>205</v>
      </c>
      <c r="I9" s="165" t="s">
        <v>206</v>
      </c>
      <c r="J9" s="165" t="s">
        <v>207</v>
      </c>
      <c r="K9" s="165">
        <v>42.69</v>
      </c>
      <c r="L9" s="165"/>
      <c r="M9" s="165"/>
      <c r="N9" s="165"/>
      <c r="O9" s="165"/>
      <c r="P9" s="165"/>
      <c r="Q9" s="165"/>
      <c r="R9" s="165"/>
      <c r="S9" s="165"/>
      <c r="T9" s="165" t="s">
        <v>36</v>
      </c>
      <c r="U9" s="165">
        <v>120440.00000000004</v>
      </c>
      <c r="V9" s="165"/>
      <c r="W9" s="165" t="s">
        <v>36</v>
      </c>
      <c r="X9" s="165">
        <v>120440.00000000004</v>
      </c>
      <c r="Y9" s="165"/>
      <c r="Z9" s="165" t="s">
        <v>36</v>
      </c>
      <c r="AA9" s="165">
        <v>120440.00000000004</v>
      </c>
      <c r="AB9" s="165"/>
      <c r="AC9" s="165" t="s">
        <v>36</v>
      </c>
      <c r="AD9" s="165">
        <v>120440.00000000004</v>
      </c>
      <c r="AE9" s="165"/>
    </row>
    <row r="10" spans="1:31" x14ac:dyDescent="0.25">
      <c r="A10" s="165" t="s">
        <v>214</v>
      </c>
      <c r="B10" s="165" t="s">
        <v>205</v>
      </c>
      <c r="C10" s="165" t="s">
        <v>206</v>
      </c>
      <c r="D10" s="165" t="s">
        <v>207</v>
      </c>
      <c r="E10" s="165">
        <v>31.72</v>
      </c>
      <c r="F10" s="165"/>
      <c r="G10" s="165" t="s">
        <v>218</v>
      </c>
      <c r="H10" s="165" t="s">
        <v>205</v>
      </c>
      <c r="I10" s="165" t="s">
        <v>206</v>
      </c>
      <c r="J10" s="165" t="s">
        <v>207</v>
      </c>
      <c r="K10" s="165">
        <v>43.94</v>
      </c>
      <c r="L10" s="165"/>
      <c r="M10" s="165"/>
      <c r="N10" s="165"/>
      <c r="O10" s="165"/>
      <c r="P10" s="165"/>
      <c r="Q10" s="165"/>
      <c r="R10" s="165"/>
      <c r="S10" s="165"/>
      <c r="T10" s="165" t="s">
        <v>37</v>
      </c>
      <c r="U10" s="165">
        <v>12044.000000000004</v>
      </c>
      <c r="V10" s="165"/>
      <c r="W10" s="165" t="s">
        <v>37</v>
      </c>
      <c r="X10" s="165">
        <v>12044.000000000004</v>
      </c>
      <c r="Y10" s="165"/>
      <c r="Z10" s="165" t="s">
        <v>37</v>
      </c>
      <c r="AA10" s="165">
        <v>12044.000000000004</v>
      </c>
      <c r="AB10" s="165"/>
      <c r="AC10" s="165" t="s">
        <v>37</v>
      </c>
      <c r="AD10" s="165">
        <v>12044.000000000004</v>
      </c>
      <c r="AE10" s="165"/>
    </row>
    <row r="11" spans="1:31" x14ac:dyDescent="0.25">
      <c r="A11" s="165" t="s">
        <v>214</v>
      </c>
      <c r="B11" s="165" t="s">
        <v>328</v>
      </c>
      <c r="C11" s="165" t="s">
        <v>206</v>
      </c>
      <c r="D11" s="165" t="s">
        <v>210</v>
      </c>
      <c r="E11" s="165">
        <v>29.97</v>
      </c>
      <c r="F11" s="165"/>
      <c r="G11" s="165" t="s">
        <v>219</v>
      </c>
      <c r="H11" s="165" t="s">
        <v>205</v>
      </c>
      <c r="I11" s="165" t="s">
        <v>206</v>
      </c>
      <c r="J11" s="165" t="s">
        <v>207</v>
      </c>
      <c r="K11" s="165" t="s">
        <v>220</v>
      </c>
      <c r="L11" s="165"/>
      <c r="M11" s="165"/>
      <c r="N11" s="165"/>
      <c r="O11" s="165"/>
      <c r="P11" s="165"/>
      <c r="Q11" s="165"/>
      <c r="R11" s="165"/>
      <c r="S11" s="165"/>
      <c r="T11" s="165"/>
      <c r="U11" s="165"/>
      <c r="V11" s="165"/>
      <c r="W11" s="165"/>
      <c r="X11" s="165"/>
      <c r="Y11" s="165"/>
      <c r="Z11" s="165"/>
      <c r="AA11" s="165"/>
      <c r="AB11" s="165"/>
      <c r="AC11" s="165"/>
      <c r="AD11" s="165"/>
      <c r="AE11" s="165"/>
    </row>
    <row r="12" spans="1:31" x14ac:dyDescent="0.25">
      <c r="A12" s="165" t="s">
        <v>215</v>
      </c>
      <c r="B12" s="165" t="s">
        <v>205</v>
      </c>
      <c r="C12" s="165" t="s">
        <v>206</v>
      </c>
      <c r="D12" s="165" t="s">
        <v>207</v>
      </c>
      <c r="E12" s="165">
        <v>31.4</v>
      </c>
      <c r="F12" s="165"/>
      <c r="G12" s="165" t="s">
        <v>221</v>
      </c>
      <c r="H12" s="165" t="s">
        <v>205</v>
      </c>
      <c r="I12" s="165" t="s">
        <v>206</v>
      </c>
      <c r="J12" s="165" t="s">
        <v>207</v>
      </c>
      <c r="K12" s="165" t="s">
        <v>220</v>
      </c>
      <c r="L12" s="165"/>
      <c r="M12" s="165"/>
      <c r="N12" s="165"/>
      <c r="O12" s="165"/>
      <c r="P12" s="165"/>
      <c r="Q12" s="165"/>
      <c r="R12" s="165"/>
      <c r="S12" s="165"/>
      <c r="T12" s="165"/>
      <c r="U12" s="165"/>
      <c r="V12" s="165"/>
      <c r="W12" s="165"/>
      <c r="X12" s="165"/>
      <c r="Y12" s="165"/>
      <c r="Z12" s="165"/>
      <c r="AA12" s="165"/>
      <c r="AB12" s="165"/>
      <c r="AC12" s="165"/>
      <c r="AD12" s="165"/>
      <c r="AE12" s="165"/>
    </row>
    <row r="13" spans="1:31" x14ac:dyDescent="0.25">
      <c r="A13" s="165" t="s">
        <v>215</v>
      </c>
      <c r="B13" s="165" t="s">
        <v>328</v>
      </c>
      <c r="C13" s="165" t="s">
        <v>206</v>
      </c>
      <c r="D13" s="165" t="s">
        <v>210</v>
      </c>
      <c r="E13" s="165">
        <v>29.96</v>
      </c>
      <c r="F13" s="165"/>
      <c r="G13" s="165" t="s">
        <v>222</v>
      </c>
      <c r="H13" s="165" t="s">
        <v>205</v>
      </c>
      <c r="I13" s="165" t="s">
        <v>206</v>
      </c>
      <c r="J13" s="165" t="s">
        <v>207</v>
      </c>
      <c r="K13" s="165" t="s">
        <v>220</v>
      </c>
      <c r="L13" s="165"/>
      <c r="M13" s="165"/>
      <c r="N13" s="165"/>
      <c r="O13" s="165"/>
      <c r="P13" s="165"/>
      <c r="Q13" s="165"/>
      <c r="R13" s="165"/>
      <c r="S13" s="165"/>
      <c r="T13" s="165"/>
      <c r="U13" s="165"/>
      <c r="V13" s="165"/>
      <c r="W13" s="165"/>
      <c r="X13" s="165"/>
      <c r="Y13" s="165"/>
      <c r="Z13" s="165"/>
      <c r="AA13" s="165"/>
      <c r="AB13" s="165"/>
      <c r="AC13" s="165"/>
      <c r="AD13" s="165"/>
      <c r="AE13" s="165"/>
    </row>
    <row r="14" spans="1:31" x14ac:dyDescent="0.25">
      <c r="A14" s="165" t="s">
        <v>216</v>
      </c>
      <c r="B14" s="165" t="s">
        <v>205</v>
      </c>
      <c r="C14" s="165" t="s">
        <v>206</v>
      </c>
      <c r="D14" s="165" t="s">
        <v>207</v>
      </c>
      <c r="E14" s="165">
        <v>43.18</v>
      </c>
      <c r="F14" s="165"/>
      <c r="G14" s="165" t="s">
        <v>223</v>
      </c>
      <c r="H14" s="165" t="s">
        <v>205</v>
      </c>
      <c r="I14" s="165" t="s">
        <v>206</v>
      </c>
      <c r="J14" s="165" t="s">
        <v>207</v>
      </c>
      <c r="K14" s="165" t="s">
        <v>220</v>
      </c>
      <c r="L14" s="165"/>
      <c r="M14" s="165"/>
      <c r="N14" s="165"/>
      <c r="O14" s="165"/>
      <c r="P14" s="165"/>
      <c r="Q14" s="165"/>
      <c r="R14" s="165"/>
      <c r="S14" s="165"/>
      <c r="T14" s="165"/>
      <c r="U14" s="165"/>
      <c r="V14" s="165"/>
      <c r="W14" s="165"/>
      <c r="X14" s="165"/>
      <c r="Y14" s="165"/>
      <c r="Z14" s="165"/>
      <c r="AA14" s="165"/>
      <c r="AB14" s="165"/>
      <c r="AC14" s="165"/>
      <c r="AD14" s="165"/>
      <c r="AE14" s="165"/>
    </row>
    <row r="15" spans="1:31" x14ac:dyDescent="0.25">
      <c r="A15" s="165" t="s">
        <v>216</v>
      </c>
      <c r="B15" s="165" t="s">
        <v>328</v>
      </c>
      <c r="C15" s="165" t="s">
        <v>206</v>
      </c>
      <c r="D15" s="165" t="s">
        <v>210</v>
      </c>
      <c r="E15" s="165">
        <v>29.85</v>
      </c>
      <c r="F15" s="165"/>
      <c r="G15" s="165" t="s">
        <v>234</v>
      </c>
      <c r="H15" s="165" t="s">
        <v>205</v>
      </c>
      <c r="I15" s="165" t="s">
        <v>206</v>
      </c>
      <c r="J15" s="165" t="s">
        <v>207</v>
      </c>
      <c r="K15" s="165" t="s">
        <v>220</v>
      </c>
      <c r="L15" s="165"/>
      <c r="M15" s="165"/>
      <c r="N15" s="165"/>
      <c r="O15" s="165"/>
      <c r="P15" s="165"/>
      <c r="Q15" s="165"/>
      <c r="R15" s="165"/>
      <c r="S15" s="165"/>
      <c r="T15" s="165"/>
      <c r="U15" s="165"/>
      <c r="V15" s="165"/>
      <c r="W15" s="165"/>
      <c r="X15" s="165"/>
      <c r="Y15" s="165"/>
      <c r="Z15" s="165"/>
      <c r="AA15" s="165"/>
      <c r="AB15" s="165"/>
      <c r="AC15" s="165"/>
      <c r="AD15" s="165"/>
      <c r="AE15" s="165"/>
    </row>
    <row r="16" spans="1:31" x14ac:dyDescent="0.25">
      <c r="A16" s="165" t="s">
        <v>217</v>
      </c>
      <c r="B16" s="165" t="s">
        <v>205</v>
      </c>
      <c r="C16" s="165" t="s">
        <v>206</v>
      </c>
      <c r="D16" s="165" t="s">
        <v>207</v>
      </c>
      <c r="E16" s="165">
        <v>42.69</v>
      </c>
      <c r="F16" s="165"/>
      <c r="G16" s="165" t="s">
        <v>235</v>
      </c>
      <c r="H16" s="165" t="s">
        <v>205</v>
      </c>
      <c r="I16" s="165" t="s">
        <v>206</v>
      </c>
      <c r="J16" s="165" t="s">
        <v>207</v>
      </c>
      <c r="K16" s="165" t="s">
        <v>220</v>
      </c>
      <c r="L16" s="165"/>
      <c r="M16" s="165"/>
      <c r="N16" s="165"/>
      <c r="O16" s="165"/>
      <c r="P16" s="165"/>
      <c r="Q16" s="165"/>
      <c r="R16" s="165"/>
      <c r="S16" s="165"/>
      <c r="T16" s="165"/>
      <c r="U16" s="165"/>
      <c r="V16" s="165"/>
      <c r="W16" s="165"/>
      <c r="X16" s="165"/>
      <c r="Y16" s="165"/>
      <c r="Z16" s="165"/>
      <c r="AA16" s="165"/>
      <c r="AB16" s="165"/>
      <c r="AC16" s="165"/>
      <c r="AD16" s="165"/>
      <c r="AE16" s="165"/>
    </row>
    <row r="17" spans="1:12" x14ac:dyDescent="0.25">
      <c r="A17" s="165" t="s">
        <v>217</v>
      </c>
      <c r="B17" s="165" t="s">
        <v>328</v>
      </c>
      <c r="C17" s="165" t="s">
        <v>206</v>
      </c>
      <c r="D17" s="165" t="s">
        <v>210</v>
      </c>
      <c r="E17" s="165">
        <v>30.13</v>
      </c>
      <c r="F17" s="165"/>
      <c r="G17" s="165" t="s">
        <v>236</v>
      </c>
      <c r="H17" s="165" t="s">
        <v>205</v>
      </c>
      <c r="I17" s="165" t="s">
        <v>206</v>
      </c>
      <c r="J17" s="165" t="s">
        <v>207</v>
      </c>
      <c r="K17" s="165" t="s">
        <v>220</v>
      </c>
      <c r="L17" s="165"/>
    </row>
    <row r="18" spans="1:12" x14ac:dyDescent="0.25">
      <c r="A18" s="165" t="s">
        <v>218</v>
      </c>
      <c r="B18" s="165" t="s">
        <v>205</v>
      </c>
      <c r="C18" s="165" t="s">
        <v>206</v>
      </c>
      <c r="D18" s="165" t="s">
        <v>207</v>
      </c>
      <c r="E18" s="165">
        <v>43.94</v>
      </c>
      <c r="F18" s="165"/>
      <c r="G18" s="165" t="s">
        <v>237</v>
      </c>
      <c r="H18" s="165" t="s">
        <v>205</v>
      </c>
      <c r="I18" s="165" t="s">
        <v>206</v>
      </c>
      <c r="J18" s="165" t="s">
        <v>207</v>
      </c>
      <c r="K18" s="165" t="s">
        <v>220</v>
      </c>
      <c r="L18" s="165"/>
    </row>
    <row r="19" spans="1:12" x14ac:dyDescent="0.25">
      <c r="A19" s="165" t="s">
        <v>218</v>
      </c>
      <c r="B19" s="165" t="s">
        <v>328</v>
      </c>
      <c r="C19" s="165" t="s">
        <v>206</v>
      </c>
      <c r="D19" s="165" t="s">
        <v>210</v>
      </c>
      <c r="E19" s="165">
        <v>30.46</v>
      </c>
      <c r="F19" s="165"/>
      <c r="G19" s="165" t="s">
        <v>238</v>
      </c>
      <c r="H19" s="165" t="s">
        <v>205</v>
      </c>
      <c r="I19" s="165" t="s">
        <v>206</v>
      </c>
      <c r="J19" s="165" t="s">
        <v>207</v>
      </c>
      <c r="K19" s="165" t="s">
        <v>220</v>
      </c>
      <c r="L19" s="165"/>
    </row>
    <row r="20" spans="1:12" x14ac:dyDescent="0.25">
      <c r="A20" s="165" t="s">
        <v>219</v>
      </c>
      <c r="B20" s="165" t="s">
        <v>205</v>
      </c>
      <c r="C20" s="165" t="s">
        <v>206</v>
      </c>
      <c r="D20" s="165" t="s">
        <v>207</v>
      </c>
      <c r="E20" s="165" t="s">
        <v>220</v>
      </c>
      <c r="F20" s="165"/>
      <c r="G20" s="165" t="s">
        <v>239</v>
      </c>
      <c r="H20" s="165" t="s">
        <v>205</v>
      </c>
      <c r="I20" s="165" t="s">
        <v>206</v>
      </c>
      <c r="J20" s="165" t="s">
        <v>207</v>
      </c>
      <c r="K20" s="165" t="s">
        <v>220</v>
      </c>
      <c r="L20" s="165"/>
    </row>
    <row r="21" spans="1:12" x14ac:dyDescent="0.25">
      <c r="A21" s="165" t="s">
        <v>219</v>
      </c>
      <c r="B21" s="165" t="s">
        <v>328</v>
      </c>
      <c r="C21" s="165" t="s">
        <v>206</v>
      </c>
      <c r="D21" s="165" t="s">
        <v>210</v>
      </c>
      <c r="E21" s="165">
        <v>30.42</v>
      </c>
      <c r="F21" s="165"/>
      <c r="G21" s="165" t="s">
        <v>242</v>
      </c>
      <c r="H21" s="165" t="s">
        <v>205</v>
      </c>
      <c r="I21" s="165" t="s">
        <v>206</v>
      </c>
      <c r="J21" s="165" t="s">
        <v>207</v>
      </c>
      <c r="K21" s="165" t="s">
        <v>220</v>
      </c>
      <c r="L21" s="165"/>
    </row>
    <row r="22" spans="1:12" x14ac:dyDescent="0.25">
      <c r="A22" s="165" t="s">
        <v>221</v>
      </c>
      <c r="B22" s="165" t="s">
        <v>205</v>
      </c>
      <c r="C22" s="165" t="s">
        <v>206</v>
      </c>
      <c r="D22" s="165" t="s">
        <v>207</v>
      </c>
      <c r="E22" s="165" t="s">
        <v>220</v>
      </c>
      <c r="F22" s="165"/>
      <c r="G22" s="165" t="s">
        <v>243</v>
      </c>
      <c r="H22" s="165" t="s">
        <v>205</v>
      </c>
      <c r="I22" s="165" t="s">
        <v>206</v>
      </c>
      <c r="J22" s="165" t="s">
        <v>207</v>
      </c>
      <c r="K22" s="165" t="s">
        <v>220</v>
      </c>
      <c r="L22" s="165"/>
    </row>
    <row r="23" spans="1:12" x14ac:dyDescent="0.25">
      <c r="A23" s="165" t="s">
        <v>221</v>
      </c>
      <c r="B23" s="165" t="s">
        <v>328</v>
      </c>
      <c r="C23" s="165" t="s">
        <v>206</v>
      </c>
      <c r="D23" s="165" t="s">
        <v>210</v>
      </c>
      <c r="E23" s="165">
        <v>29.97</v>
      </c>
      <c r="F23" s="165"/>
      <c r="G23" s="165" t="s">
        <v>244</v>
      </c>
      <c r="H23" s="165" t="s">
        <v>205</v>
      </c>
      <c r="I23" s="165" t="s">
        <v>206</v>
      </c>
      <c r="J23" s="165" t="s">
        <v>207</v>
      </c>
      <c r="K23" s="165" t="s">
        <v>220</v>
      </c>
      <c r="L23" s="165"/>
    </row>
    <row r="24" spans="1:12" x14ac:dyDescent="0.25">
      <c r="A24" s="165" t="s">
        <v>222</v>
      </c>
      <c r="B24" s="165" t="s">
        <v>205</v>
      </c>
      <c r="C24" s="165" t="s">
        <v>206</v>
      </c>
      <c r="D24" s="165" t="s">
        <v>207</v>
      </c>
      <c r="E24" s="165" t="s">
        <v>220</v>
      </c>
      <c r="F24" s="165"/>
      <c r="G24" s="165" t="s">
        <v>245</v>
      </c>
      <c r="H24" s="165" t="s">
        <v>205</v>
      </c>
      <c r="I24" s="165" t="s">
        <v>206</v>
      </c>
      <c r="J24" s="165" t="s">
        <v>207</v>
      </c>
      <c r="K24" s="165" t="s">
        <v>220</v>
      </c>
      <c r="L24" s="165"/>
    </row>
    <row r="25" spans="1:12" x14ac:dyDescent="0.25">
      <c r="A25" s="165" t="s">
        <v>222</v>
      </c>
      <c r="B25" s="165" t="s">
        <v>328</v>
      </c>
      <c r="C25" s="165" t="s">
        <v>206</v>
      </c>
      <c r="D25" s="165" t="s">
        <v>210</v>
      </c>
      <c r="E25" s="165">
        <v>30.25</v>
      </c>
      <c r="F25" s="165"/>
      <c r="G25" s="165" t="s">
        <v>247</v>
      </c>
      <c r="H25" s="165" t="s">
        <v>205</v>
      </c>
      <c r="I25" s="165" t="s">
        <v>206</v>
      </c>
      <c r="J25" s="165" t="s">
        <v>207</v>
      </c>
      <c r="K25" s="165" t="s">
        <v>220</v>
      </c>
      <c r="L25" s="165"/>
    </row>
    <row r="26" spans="1:12" x14ac:dyDescent="0.25">
      <c r="A26" s="165" t="s">
        <v>223</v>
      </c>
      <c r="B26" s="165" t="s">
        <v>205</v>
      </c>
      <c r="C26" s="165" t="s">
        <v>206</v>
      </c>
      <c r="D26" s="165" t="s">
        <v>207</v>
      </c>
      <c r="E26" s="165" t="s">
        <v>220</v>
      </c>
      <c r="F26" s="165"/>
      <c r="G26" s="165" t="s">
        <v>248</v>
      </c>
      <c r="H26" s="165" t="s">
        <v>205</v>
      </c>
      <c r="I26" s="165" t="s">
        <v>206</v>
      </c>
      <c r="J26" s="165" t="s">
        <v>207</v>
      </c>
      <c r="K26" s="165" t="s">
        <v>220</v>
      </c>
      <c r="L26" s="165"/>
    </row>
    <row r="27" spans="1:12" x14ac:dyDescent="0.25">
      <c r="A27" s="165" t="s">
        <v>223</v>
      </c>
      <c r="B27" s="165" t="s">
        <v>328</v>
      </c>
      <c r="C27" s="165" t="s">
        <v>206</v>
      </c>
      <c r="D27" s="165" t="s">
        <v>210</v>
      </c>
      <c r="E27" s="165">
        <v>29.88</v>
      </c>
      <c r="F27" s="165"/>
      <c r="G27" s="165" t="s">
        <v>249</v>
      </c>
      <c r="H27" s="165" t="s">
        <v>205</v>
      </c>
      <c r="I27" s="165" t="s">
        <v>206</v>
      </c>
      <c r="J27" s="165" t="s">
        <v>207</v>
      </c>
      <c r="K27" s="165" t="s">
        <v>220</v>
      </c>
      <c r="L27" s="165"/>
    </row>
    <row r="28" spans="1:12" x14ac:dyDescent="0.25">
      <c r="A28" s="165" t="s">
        <v>234</v>
      </c>
      <c r="B28" s="165" t="s">
        <v>205</v>
      </c>
      <c r="C28" s="165" t="s">
        <v>206</v>
      </c>
      <c r="D28" s="165" t="s">
        <v>207</v>
      </c>
      <c r="E28" s="165" t="s">
        <v>220</v>
      </c>
      <c r="F28" s="165"/>
      <c r="G28" s="165" t="s">
        <v>250</v>
      </c>
      <c r="H28" s="165" t="s">
        <v>205</v>
      </c>
      <c r="I28" s="165" t="s">
        <v>206</v>
      </c>
      <c r="J28" s="165" t="s">
        <v>207</v>
      </c>
      <c r="K28" s="165" t="s">
        <v>220</v>
      </c>
      <c r="L28" s="165"/>
    </row>
    <row r="29" spans="1:12" x14ac:dyDescent="0.25">
      <c r="A29" s="165" t="s">
        <v>234</v>
      </c>
      <c r="B29" s="165" t="s">
        <v>328</v>
      </c>
      <c r="C29" s="165" t="s">
        <v>206</v>
      </c>
      <c r="D29" s="165" t="s">
        <v>210</v>
      </c>
      <c r="E29" s="165">
        <v>30.4</v>
      </c>
      <c r="F29" s="165"/>
      <c r="G29" s="165" t="s">
        <v>251</v>
      </c>
      <c r="H29" s="165" t="s">
        <v>205</v>
      </c>
      <c r="I29" s="165" t="s">
        <v>206</v>
      </c>
      <c r="J29" s="165" t="s">
        <v>207</v>
      </c>
      <c r="K29" s="165">
        <v>31.12</v>
      </c>
      <c r="L29" s="165">
        <f>AVERAGE(K29:K31)</f>
        <v>31.206666666666667</v>
      </c>
    </row>
    <row r="30" spans="1:12" x14ac:dyDescent="0.25">
      <c r="A30" s="165" t="s">
        <v>235</v>
      </c>
      <c r="B30" s="165" t="s">
        <v>205</v>
      </c>
      <c r="C30" s="165" t="s">
        <v>206</v>
      </c>
      <c r="D30" s="165" t="s">
        <v>207</v>
      </c>
      <c r="E30" s="165" t="s">
        <v>220</v>
      </c>
      <c r="F30" s="165"/>
      <c r="G30" s="165" t="s">
        <v>252</v>
      </c>
      <c r="H30" s="165" t="s">
        <v>205</v>
      </c>
      <c r="I30" s="165" t="s">
        <v>206</v>
      </c>
      <c r="J30" s="165" t="s">
        <v>207</v>
      </c>
      <c r="K30" s="165">
        <v>31.43</v>
      </c>
      <c r="L30" s="165"/>
    </row>
    <row r="31" spans="1:12" x14ac:dyDescent="0.25">
      <c r="A31" s="165" t="s">
        <v>235</v>
      </c>
      <c r="B31" s="165" t="s">
        <v>328</v>
      </c>
      <c r="C31" s="165" t="s">
        <v>206</v>
      </c>
      <c r="D31" s="165" t="s">
        <v>210</v>
      </c>
      <c r="E31" s="165">
        <v>29.98</v>
      </c>
      <c r="F31" s="165"/>
      <c r="G31" s="165" t="s">
        <v>253</v>
      </c>
      <c r="H31" s="165" t="s">
        <v>205</v>
      </c>
      <c r="I31" s="165" t="s">
        <v>206</v>
      </c>
      <c r="J31" s="165" t="s">
        <v>207</v>
      </c>
      <c r="K31" s="165">
        <v>31.07</v>
      </c>
      <c r="L31" s="165"/>
    </row>
    <row r="32" spans="1:12" x14ac:dyDescent="0.25">
      <c r="A32" s="165" t="s">
        <v>236</v>
      </c>
      <c r="B32" s="165" t="s">
        <v>205</v>
      </c>
      <c r="C32" s="165" t="s">
        <v>206</v>
      </c>
      <c r="D32" s="165" t="s">
        <v>207</v>
      </c>
      <c r="E32" s="165" t="s">
        <v>220</v>
      </c>
      <c r="F32" s="165"/>
      <c r="G32" s="165" t="s">
        <v>254</v>
      </c>
      <c r="H32" s="165" t="s">
        <v>205</v>
      </c>
      <c r="I32" s="165" t="s">
        <v>206</v>
      </c>
      <c r="J32" s="165" t="s">
        <v>207</v>
      </c>
      <c r="K32" s="165">
        <v>41.29</v>
      </c>
      <c r="L32" s="165">
        <f>AVERAGE(K32:K34)</f>
        <v>41.06666666666667</v>
      </c>
    </row>
    <row r="33" spans="1:11" x14ac:dyDescent="0.25">
      <c r="A33" s="165" t="s">
        <v>236</v>
      </c>
      <c r="B33" s="165" t="s">
        <v>328</v>
      </c>
      <c r="C33" s="165" t="s">
        <v>206</v>
      </c>
      <c r="D33" s="165" t="s">
        <v>210</v>
      </c>
      <c r="E33" s="165">
        <v>29.76</v>
      </c>
      <c r="F33" s="165"/>
      <c r="G33" s="165" t="s">
        <v>255</v>
      </c>
      <c r="H33" s="165" t="s">
        <v>205</v>
      </c>
      <c r="I33" s="165" t="s">
        <v>206</v>
      </c>
      <c r="J33" s="165" t="s">
        <v>207</v>
      </c>
      <c r="K33" s="165">
        <v>41.6</v>
      </c>
    </row>
    <row r="34" spans="1:11" x14ac:dyDescent="0.25">
      <c r="A34" s="165" t="s">
        <v>237</v>
      </c>
      <c r="B34" s="165" t="s">
        <v>205</v>
      </c>
      <c r="C34" s="165" t="s">
        <v>206</v>
      </c>
      <c r="D34" s="165" t="s">
        <v>207</v>
      </c>
      <c r="E34" s="165" t="s">
        <v>220</v>
      </c>
      <c r="F34" s="165"/>
      <c r="G34" s="165" t="s">
        <v>256</v>
      </c>
      <c r="H34" s="165" t="s">
        <v>205</v>
      </c>
      <c r="I34" s="165" t="s">
        <v>206</v>
      </c>
      <c r="J34" s="165" t="s">
        <v>207</v>
      </c>
      <c r="K34" s="165">
        <v>40.31</v>
      </c>
    </row>
    <row r="35" spans="1:11" x14ac:dyDescent="0.25">
      <c r="A35" s="165" t="s">
        <v>237</v>
      </c>
      <c r="B35" s="165" t="s">
        <v>328</v>
      </c>
      <c r="C35" s="165" t="s">
        <v>206</v>
      </c>
      <c r="D35" s="165" t="s">
        <v>210</v>
      </c>
      <c r="E35" s="165">
        <v>30.11</v>
      </c>
      <c r="F35" s="165"/>
      <c r="G35" s="165" t="s">
        <v>257</v>
      </c>
      <c r="H35" s="165" t="s">
        <v>205</v>
      </c>
      <c r="I35" s="165" t="s">
        <v>206</v>
      </c>
      <c r="J35" s="165" t="s">
        <v>207</v>
      </c>
      <c r="K35" s="165" t="s">
        <v>220</v>
      </c>
    </row>
    <row r="36" spans="1:11" x14ac:dyDescent="0.25">
      <c r="A36" s="165" t="s">
        <v>238</v>
      </c>
      <c r="B36" s="165" t="s">
        <v>205</v>
      </c>
      <c r="C36" s="165" t="s">
        <v>206</v>
      </c>
      <c r="D36" s="165" t="s">
        <v>207</v>
      </c>
      <c r="E36" s="165" t="s">
        <v>220</v>
      </c>
      <c r="F36" s="165"/>
      <c r="G36" s="165" t="s">
        <v>258</v>
      </c>
      <c r="H36" s="165" t="s">
        <v>205</v>
      </c>
      <c r="I36" s="165" t="s">
        <v>206</v>
      </c>
      <c r="J36" s="165" t="s">
        <v>207</v>
      </c>
      <c r="K36" s="165" t="s">
        <v>220</v>
      </c>
    </row>
    <row r="37" spans="1:11" x14ac:dyDescent="0.25">
      <c r="A37" s="165" t="s">
        <v>238</v>
      </c>
      <c r="B37" s="165" t="s">
        <v>328</v>
      </c>
      <c r="C37" s="165" t="s">
        <v>206</v>
      </c>
      <c r="D37" s="165" t="s">
        <v>210</v>
      </c>
      <c r="E37" s="165">
        <v>30.36</v>
      </c>
      <c r="F37" s="165"/>
      <c r="G37" s="165" t="s">
        <v>259</v>
      </c>
      <c r="H37" s="165" t="s">
        <v>205</v>
      </c>
      <c r="I37" s="165" t="s">
        <v>206</v>
      </c>
      <c r="J37" s="165" t="s">
        <v>207</v>
      </c>
      <c r="K37" s="165" t="s">
        <v>220</v>
      </c>
    </row>
    <row r="38" spans="1:11" x14ac:dyDescent="0.25">
      <c r="A38" s="165" t="s">
        <v>239</v>
      </c>
      <c r="B38" s="165" t="s">
        <v>205</v>
      </c>
      <c r="C38" s="165" t="s">
        <v>206</v>
      </c>
      <c r="D38" s="165" t="s">
        <v>207</v>
      </c>
      <c r="E38" s="165" t="s">
        <v>220</v>
      </c>
      <c r="F38" s="165"/>
      <c r="G38" s="165" t="s">
        <v>260</v>
      </c>
      <c r="H38" s="165" t="s">
        <v>205</v>
      </c>
      <c r="I38" s="165" t="s">
        <v>206</v>
      </c>
      <c r="J38" s="165" t="s">
        <v>207</v>
      </c>
      <c r="K38" s="165" t="s">
        <v>220</v>
      </c>
    </row>
    <row r="39" spans="1:11" x14ac:dyDescent="0.25">
      <c r="A39" s="165" t="s">
        <v>239</v>
      </c>
      <c r="B39" s="165" t="s">
        <v>328</v>
      </c>
      <c r="C39" s="165" t="s">
        <v>206</v>
      </c>
      <c r="D39" s="165" t="s">
        <v>210</v>
      </c>
      <c r="E39" s="165">
        <v>30.24</v>
      </c>
      <c r="F39" s="165"/>
      <c r="G39" s="165" t="s">
        <v>261</v>
      </c>
      <c r="H39" s="165" t="s">
        <v>205</v>
      </c>
      <c r="I39" s="165" t="s">
        <v>206</v>
      </c>
      <c r="J39" s="165" t="s">
        <v>207</v>
      </c>
      <c r="K39" s="165" t="s">
        <v>220</v>
      </c>
    </row>
    <row r="40" spans="1:11" x14ac:dyDescent="0.25">
      <c r="A40" s="165" t="s">
        <v>242</v>
      </c>
      <c r="B40" s="165" t="s">
        <v>205</v>
      </c>
      <c r="C40" s="165" t="s">
        <v>206</v>
      </c>
      <c r="D40" s="165" t="s">
        <v>207</v>
      </c>
      <c r="E40" s="165" t="s">
        <v>220</v>
      </c>
      <c r="F40" s="165"/>
      <c r="G40" s="165" t="s">
        <v>262</v>
      </c>
      <c r="H40" s="165" t="s">
        <v>205</v>
      </c>
      <c r="I40" s="165" t="s">
        <v>206</v>
      </c>
      <c r="J40" s="165" t="s">
        <v>207</v>
      </c>
      <c r="K40" s="165" t="s">
        <v>220</v>
      </c>
    </row>
    <row r="41" spans="1:11" x14ac:dyDescent="0.25">
      <c r="A41" s="165" t="s">
        <v>242</v>
      </c>
      <c r="B41" s="165" t="s">
        <v>328</v>
      </c>
      <c r="C41" s="165" t="s">
        <v>206</v>
      </c>
      <c r="D41" s="165" t="s">
        <v>210</v>
      </c>
      <c r="E41" s="165">
        <v>29.81</v>
      </c>
      <c r="F41" s="165"/>
      <c r="G41" s="165" t="s">
        <v>263</v>
      </c>
      <c r="H41" s="165" t="s">
        <v>205</v>
      </c>
      <c r="I41" s="165" t="s">
        <v>206</v>
      </c>
      <c r="J41" s="165" t="s">
        <v>207</v>
      </c>
      <c r="K41" s="165" t="s">
        <v>220</v>
      </c>
    </row>
    <row r="42" spans="1:11" x14ac:dyDescent="0.25">
      <c r="A42" s="165" t="s">
        <v>243</v>
      </c>
      <c r="B42" s="165" t="s">
        <v>205</v>
      </c>
      <c r="C42" s="165" t="s">
        <v>206</v>
      </c>
      <c r="D42" s="165" t="s">
        <v>207</v>
      </c>
      <c r="E42" s="165" t="s">
        <v>220</v>
      </c>
      <c r="F42" s="165"/>
      <c r="G42" s="165" t="s">
        <v>264</v>
      </c>
      <c r="H42" s="165" t="s">
        <v>205</v>
      </c>
      <c r="I42" s="165" t="s">
        <v>206</v>
      </c>
      <c r="J42" s="165" t="s">
        <v>207</v>
      </c>
      <c r="K42" s="165" t="s">
        <v>220</v>
      </c>
    </row>
    <row r="43" spans="1:11" x14ac:dyDescent="0.25">
      <c r="A43" s="165" t="s">
        <v>243</v>
      </c>
      <c r="B43" s="165" t="s">
        <v>328</v>
      </c>
      <c r="C43" s="165" t="s">
        <v>206</v>
      </c>
      <c r="D43" s="165" t="s">
        <v>210</v>
      </c>
      <c r="E43" s="165">
        <v>30.05</v>
      </c>
      <c r="F43" s="165"/>
      <c r="G43" s="165" t="s">
        <v>265</v>
      </c>
      <c r="H43" s="165" t="s">
        <v>205</v>
      </c>
      <c r="I43" s="165" t="s">
        <v>206</v>
      </c>
      <c r="J43" s="165" t="s">
        <v>207</v>
      </c>
      <c r="K43" s="165" t="s">
        <v>220</v>
      </c>
    </row>
    <row r="44" spans="1:11" x14ac:dyDescent="0.25">
      <c r="A44" s="165" t="s">
        <v>244</v>
      </c>
      <c r="B44" s="165" t="s">
        <v>205</v>
      </c>
      <c r="C44" s="165" t="s">
        <v>206</v>
      </c>
      <c r="D44" s="165" t="s">
        <v>207</v>
      </c>
      <c r="E44" s="165" t="s">
        <v>220</v>
      </c>
      <c r="F44" s="165"/>
      <c r="G44" s="165" t="s">
        <v>266</v>
      </c>
      <c r="H44" s="165" t="s">
        <v>205</v>
      </c>
      <c r="I44" s="165" t="s">
        <v>206</v>
      </c>
      <c r="J44" s="165" t="s">
        <v>207</v>
      </c>
      <c r="K44" s="165" t="s">
        <v>220</v>
      </c>
    </row>
    <row r="45" spans="1:11" x14ac:dyDescent="0.25">
      <c r="A45" s="165" t="s">
        <v>244</v>
      </c>
      <c r="B45" s="165" t="s">
        <v>328</v>
      </c>
      <c r="C45" s="165" t="s">
        <v>206</v>
      </c>
      <c r="D45" s="165" t="s">
        <v>210</v>
      </c>
      <c r="E45" s="165">
        <v>29.75</v>
      </c>
      <c r="F45" s="165"/>
      <c r="G45" s="165" t="s">
        <v>267</v>
      </c>
      <c r="H45" s="165" t="s">
        <v>205</v>
      </c>
      <c r="I45" s="165" t="s">
        <v>206</v>
      </c>
      <c r="J45" s="165" t="s">
        <v>207</v>
      </c>
      <c r="K45" s="165" t="s">
        <v>220</v>
      </c>
    </row>
    <row r="46" spans="1:11" x14ac:dyDescent="0.25">
      <c r="A46" s="165" t="s">
        <v>245</v>
      </c>
      <c r="B46" s="165" t="s">
        <v>205</v>
      </c>
      <c r="C46" s="165" t="s">
        <v>206</v>
      </c>
      <c r="D46" s="165" t="s">
        <v>207</v>
      </c>
      <c r="E46" s="165" t="s">
        <v>220</v>
      </c>
      <c r="F46" s="165"/>
      <c r="G46" s="165" t="s">
        <v>268</v>
      </c>
      <c r="H46" s="165" t="s">
        <v>205</v>
      </c>
      <c r="I46" s="165" t="s">
        <v>206</v>
      </c>
      <c r="J46" s="165" t="s">
        <v>207</v>
      </c>
      <c r="K46" s="165" t="s">
        <v>220</v>
      </c>
    </row>
    <row r="47" spans="1:11" x14ac:dyDescent="0.25">
      <c r="A47" s="165" t="s">
        <v>245</v>
      </c>
      <c r="B47" s="165" t="s">
        <v>328</v>
      </c>
      <c r="C47" s="165" t="s">
        <v>206</v>
      </c>
      <c r="D47" s="165" t="s">
        <v>210</v>
      </c>
      <c r="E47" s="165">
        <v>29.95</v>
      </c>
      <c r="F47" s="165"/>
      <c r="G47" s="165" t="s">
        <v>270</v>
      </c>
      <c r="H47" s="165" t="s">
        <v>205</v>
      </c>
      <c r="I47" s="165" t="s">
        <v>206</v>
      </c>
      <c r="J47" s="165" t="s">
        <v>207</v>
      </c>
      <c r="K47" s="165" t="s">
        <v>220</v>
      </c>
    </row>
    <row r="48" spans="1:11" x14ac:dyDescent="0.25">
      <c r="A48" s="165" t="s">
        <v>247</v>
      </c>
      <c r="B48" s="165" t="s">
        <v>205</v>
      </c>
      <c r="C48" s="165" t="s">
        <v>206</v>
      </c>
      <c r="D48" s="165" t="s">
        <v>207</v>
      </c>
      <c r="E48" s="165" t="s">
        <v>220</v>
      </c>
      <c r="F48" s="165"/>
      <c r="G48" s="165" t="s">
        <v>272</v>
      </c>
      <c r="H48" s="165" t="s">
        <v>205</v>
      </c>
      <c r="I48" s="165" t="s">
        <v>206</v>
      </c>
      <c r="J48" s="165" t="s">
        <v>207</v>
      </c>
      <c r="K48" s="165" t="s">
        <v>220</v>
      </c>
    </row>
    <row r="49" spans="1:12" x14ac:dyDescent="0.25">
      <c r="A49" s="165" t="s">
        <v>247</v>
      </c>
      <c r="B49" s="165" t="s">
        <v>328</v>
      </c>
      <c r="C49" s="165" t="s">
        <v>206</v>
      </c>
      <c r="D49" s="165" t="s">
        <v>210</v>
      </c>
      <c r="E49" s="165">
        <v>30.07</v>
      </c>
      <c r="F49" s="165"/>
      <c r="G49" s="165" t="s">
        <v>273</v>
      </c>
      <c r="H49" s="165" t="s">
        <v>205</v>
      </c>
      <c r="I49" s="165" t="s">
        <v>206</v>
      </c>
      <c r="J49" s="165" t="s">
        <v>207</v>
      </c>
      <c r="K49" s="165" t="s">
        <v>220</v>
      </c>
      <c r="L49" s="165"/>
    </row>
    <row r="50" spans="1:12" x14ac:dyDescent="0.25">
      <c r="A50" s="165" t="s">
        <v>248</v>
      </c>
      <c r="B50" s="165" t="s">
        <v>205</v>
      </c>
      <c r="C50" s="165" t="s">
        <v>206</v>
      </c>
      <c r="D50" s="165" t="s">
        <v>207</v>
      </c>
      <c r="E50" s="165" t="s">
        <v>220</v>
      </c>
      <c r="F50" s="165"/>
      <c r="G50" s="165" t="s">
        <v>274</v>
      </c>
      <c r="H50" s="165" t="s">
        <v>205</v>
      </c>
      <c r="I50" s="165" t="s">
        <v>206</v>
      </c>
      <c r="J50" s="165" t="s">
        <v>207</v>
      </c>
      <c r="K50" s="165">
        <v>27.9</v>
      </c>
      <c r="L50" s="165">
        <f>AVERAGE(K50:K52)</f>
        <v>27.680000000000003</v>
      </c>
    </row>
    <row r="51" spans="1:12" x14ac:dyDescent="0.25">
      <c r="A51" s="165" t="s">
        <v>248</v>
      </c>
      <c r="B51" s="165" t="s">
        <v>328</v>
      </c>
      <c r="C51" s="165" t="s">
        <v>206</v>
      </c>
      <c r="D51" s="165" t="s">
        <v>210</v>
      </c>
      <c r="E51" s="165">
        <v>32</v>
      </c>
      <c r="F51" s="165"/>
      <c r="G51" s="165" t="s">
        <v>275</v>
      </c>
      <c r="H51" s="165" t="s">
        <v>205</v>
      </c>
      <c r="I51" s="165" t="s">
        <v>206</v>
      </c>
      <c r="J51" s="165" t="s">
        <v>207</v>
      </c>
      <c r="K51" s="165">
        <v>27.66</v>
      </c>
      <c r="L51" s="165"/>
    </row>
    <row r="52" spans="1:12" x14ac:dyDescent="0.25">
      <c r="A52" s="165" t="s">
        <v>249</v>
      </c>
      <c r="B52" s="165" t="s">
        <v>205</v>
      </c>
      <c r="C52" s="165" t="s">
        <v>206</v>
      </c>
      <c r="D52" s="165" t="s">
        <v>207</v>
      </c>
      <c r="E52" s="165" t="s">
        <v>220</v>
      </c>
      <c r="F52" s="165"/>
      <c r="G52" s="165" t="s">
        <v>276</v>
      </c>
      <c r="H52" s="165" t="s">
        <v>205</v>
      </c>
      <c r="I52" s="165" t="s">
        <v>206</v>
      </c>
      <c r="J52" s="165" t="s">
        <v>207</v>
      </c>
      <c r="K52" s="165">
        <v>27.48</v>
      </c>
      <c r="L52" s="165"/>
    </row>
    <row r="53" spans="1:12" x14ac:dyDescent="0.25">
      <c r="A53" s="165" t="s">
        <v>249</v>
      </c>
      <c r="B53" s="165" t="s">
        <v>328</v>
      </c>
      <c r="C53" s="165" t="s">
        <v>206</v>
      </c>
      <c r="D53" s="165" t="s">
        <v>210</v>
      </c>
      <c r="E53" s="165">
        <v>32.200000000000003</v>
      </c>
      <c r="F53" s="165"/>
      <c r="G53" s="165" t="s">
        <v>277</v>
      </c>
      <c r="H53" s="165" t="s">
        <v>205</v>
      </c>
      <c r="I53" s="165" t="s">
        <v>206</v>
      </c>
      <c r="J53" s="165" t="s">
        <v>207</v>
      </c>
      <c r="K53" s="165" t="s">
        <v>220</v>
      </c>
      <c r="L53" s="165"/>
    </row>
    <row r="54" spans="1:12" x14ac:dyDescent="0.25">
      <c r="A54" s="165" t="s">
        <v>250</v>
      </c>
      <c r="B54" s="165" t="s">
        <v>205</v>
      </c>
      <c r="C54" s="165" t="s">
        <v>206</v>
      </c>
      <c r="D54" s="165" t="s">
        <v>207</v>
      </c>
      <c r="E54" s="165" t="s">
        <v>220</v>
      </c>
      <c r="F54" s="165"/>
      <c r="G54" s="165" t="s">
        <v>278</v>
      </c>
      <c r="H54" s="165" t="s">
        <v>205</v>
      </c>
      <c r="I54" s="165" t="s">
        <v>206</v>
      </c>
      <c r="J54" s="165" t="s">
        <v>207</v>
      </c>
      <c r="K54" s="165" t="s">
        <v>220</v>
      </c>
      <c r="L54" s="165"/>
    </row>
    <row r="55" spans="1:12" x14ac:dyDescent="0.25">
      <c r="A55" s="165" t="s">
        <v>250</v>
      </c>
      <c r="B55" s="165" t="s">
        <v>328</v>
      </c>
      <c r="C55" s="165" t="s">
        <v>206</v>
      </c>
      <c r="D55" s="165" t="s">
        <v>210</v>
      </c>
      <c r="E55" s="165">
        <v>33.54</v>
      </c>
      <c r="F55" s="165"/>
      <c r="G55" s="165" t="s">
        <v>279</v>
      </c>
      <c r="H55" s="165" t="s">
        <v>205</v>
      </c>
      <c r="I55" s="165" t="s">
        <v>206</v>
      </c>
      <c r="J55" s="165" t="s">
        <v>207</v>
      </c>
      <c r="K55" s="165" t="s">
        <v>220</v>
      </c>
      <c r="L55" s="165"/>
    </row>
    <row r="56" spans="1:12" x14ac:dyDescent="0.25">
      <c r="A56" s="165" t="s">
        <v>251</v>
      </c>
      <c r="B56" s="165" t="s">
        <v>205</v>
      </c>
      <c r="C56" s="165" t="s">
        <v>206</v>
      </c>
      <c r="D56" s="165" t="s">
        <v>207</v>
      </c>
      <c r="E56" s="165">
        <v>31.12</v>
      </c>
      <c r="F56" s="165"/>
      <c r="G56" s="165" t="s">
        <v>280</v>
      </c>
      <c r="H56" s="165" t="s">
        <v>205</v>
      </c>
      <c r="I56" s="165" t="s">
        <v>206</v>
      </c>
      <c r="J56" s="165" t="s">
        <v>207</v>
      </c>
      <c r="K56" s="165">
        <v>39.57</v>
      </c>
      <c r="L56" s="165">
        <f>AVERAGE(K56:K58)</f>
        <v>39.283333333333339</v>
      </c>
    </row>
    <row r="57" spans="1:12" x14ac:dyDescent="0.25">
      <c r="A57" s="165" t="s">
        <v>251</v>
      </c>
      <c r="B57" s="165" t="s">
        <v>328</v>
      </c>
      <c r="C57" s="165" t="s">
        <v>206</v>
      </c>
      <c r="D57" s="165" t="s">
        <v>210</v>
      </c>
      <c r="E57" s="165">
        <v>32.5</v>
      </c>
      <c r="F57" s="165"/>
      <c r="G57" s="165" t="s">
        <v>281</v>
      </c>
      <c r="H57" s="165" t="s">
        <v>205</v>
      </c>
      <c r="I57" s="165" t="s">
        <v>206</v>
      </c>
      <c r="J57" s="165" t="s">
        <v>207</v>
      </c>
      <c r="K57" s="165">
        <v>39.61</v>
      </c>
      <c r="L57" s="165"/>
    </row>
    <row r="58" spans="1:12" x14ac:dyDescent="0.25">
      <c r="A58" s="165" t="s">
        <v>252</v>
      </c>
      <c r="B58" s="165" t="s">
        <v>205</v>
      </c>
      <c r="C58" s="165" t="s">
        <v>206</v>
      </c>
      <c r="D58" s="165" t="s">
        <v>207</v>
      </c>
      <c r="E58" s="165">
        <v>31.43</v>
      </c>
      <c r="F58" s="165"/>
      <c r="G58" s="165" t="s">
        <v>282</v>
      </c>
      <c r="H58" s="165" t="s">
        <v>205</v>
      </c>
      <c r="I58" s="165" t="s">
        <v>206</v>
      </c>
      <c r="J58" s="165" t="s">
        <v>207</v>
      </c>
      <c r="K58" s="165">
        <v>38.67</v>
      </c>
      <c r="L58" s="165"/>
    </row>
    <row r="59" spans="1:12" x14ac:dyDescent="0.25">
      <c r="A59" s="165" t="s">
        <v>252</v>
      </c>
      <c r="B59" s="165" t="s">
        <v>328</v>
      </c>
      <c r="C59" s="165" t="s">
        <v>206</v>
      </c>
      <c r="D59" s="165" t="s">
        <v>210</v>
      </c>
      <c r="E59" s="165">
        <v>32.549999999999997</v>
      </c>
      <c r="F59" s="165"/>
      <c r="G59" s="165" t="s">
        <v>283</v>
      </c>
      <c r="H59" s="165" t="s">
        <v>205</v>
      </c>
      <c r="I59" s="165" t="s">
        <v>206</v>
      </c>
      <c r="J59" s="165" t="s">
        <v>207</v>
      </c>
      <c r="K59" s="165" t="s">
        <v>220</v>
      </c>
      <c r="L59" s="165"/>
    </row>
    <row r="60" spans="1:12" x14ac:dyDescent="0.25">
      <c r="A60" s="165" t="s">
        <v>253</v>
      </c>
      <c r="B60" s="165" t="s">
        <v>205</v>
      </c>
      <c r="C60" s="165" t="s">
        <v>206</v>
      </c>
      <c r="D60" s="165" t="s">
        <v>207</v>
      </c>
      <c r="E60" s="165">
        <v>31.07</v>
      </c>
      <c r="F60" s="165"/>
      <c r="G60" s="165" t="s">
        <v>284</v>
      </c>
      <c r="H60" s="165" t="s">
        <v>205</v>
      </c>
      <c r="I60" s="165" t="s">
        <v>206</v>
      </c>
      <c r="J60" s="165" t="s">
        <v>207</v>
      </c>
      <c r="K60" s="165" t="s">
        <v>220</v>
      </c>
      <c r="L60" s="165"/>
    </row>
    <row r="61" spans="1:12" x14ac:dyDescent="0.25">
      <c r="A61" s="165" t="s">
        <v>253</v>
      </c>
      <c r="B61" s="165" t="s">
        <v>328</v>
      </c>
      <c r="C61" s="165" t="s">
        <v>206</v>
      </c>
      <c r="D61" s="165" t="s">
        <v>210</v>
      </c>
      <c r="E61" s="165">
        <v>32.479999999999997</v>
      </c>
      <c r="F61" s="165"/>
      <c r="G61" s="165" t="s">
        <v>285</v>
      </c>
      <c r="H61" s="165" t="s">
        <v>205</v>
      </c>
      <c r="I61" s="165" t="s">
        <v>206</v>
      </c>
      <c r="J61" s="165" t="s">
        <v>207</v>
      </c>
      <c r="K61" s="165" t="s">
        <v>220</v>
      </c>
      <c r="L61" s="165"/>
    </row>
    <row r="62" spans="1:12" x14ac:dyDescent="0.25">
      <c r="A62" s="165" t="s">
        <v>254</v>
      </c>
      <c r="B62" s="165" t="s">
        <v>205</v>
      </c>
      <c r="C62" s="165" t="s">
        <v>206</v>
      </c>
      <c r="D62" s="165" t="s">
        <v>207</v>
      </c>
      <c r="E62" s="165">
        <v>41.29</v>
      </c>
      <c r="F62" s="165"/>
      <c r="G62" s="165" t="s">
        <v>286</v>
      </c>
      <c r="H62" s="165" t="s">
        <v>205</v>
      </c>
      <c r="I62" s="165" t="s">
        <v>206</v>
      </c>
      <c r="J62" s="165" t="s">
        <v>207</v>
      </c>
      <c r="K62" s="165" t="s">
        <v>220</v>
      </c>
      <c r="L62" s="165"/>
    </row>
    <row r="63" spans="1:12" x14ac:dyDescent="0.25">
      <c r="A63" s="165" t="s">
        <v>254</v>
      </c>
      <c r="B63" s="165" t="s">
        <v>328</v>
      </c>
      <c r="C63" s="165" t="s">
        <v>206</v>
      </c>
      <c r="D63" s="165" t="s">
        <v>210</v>
      </c>
      <c r="E63" s="165">
        <v>32.549999999999997</v>
      </c>
      <c r="F63" s="165"/>
      <c r="G63" s="165" t="s">
        <v>287</v>
      </c>
      <c r="H63" s="165" t="s">
        <v>205</v>
      </c>
      <c r="I63" s="165" t="s">
        <v>206</v>
      </c>
      <c r="J63" s="165" t="s">
        <v>207</v>
      </c>
      <c r="K63" s="165" t="s">
        <v>220</v>
      </c>
      <c r="L63" s="165"/>
    </row>
    <row r="64" spans="1:12" x14ac:dyDescent="0.25">
      <c r="A64" s="165" t="s">
        <v>255</v>
      </c>
      <c r="B64" s="165" t="s">
        <v>205</v>
      </c>
      <c r="C64" s="165" t="s">
        <v>206</v>
      </c>
      <c r="D64" s="165" t="s">
        <v>207</v>
      </c>
      <c r="E64" s="165">
        <v>41.6</v>
      </c>
      <c r="F64" s="165"/>
      <c r="G64" s="165" t="s">
        <v>288</v>
      </c>
      <c r="H64" s="165" t="s">
        <v>205</v>
      </c>
      <c r="I64" s="165" t="s">
        <v>206</v>
      </c>
      <c r="J64" s="165" t="s">
        <v>207</v>
      </c>
      <c r="K64" s="165" t="s">
        <v>220</v>
      </c>
      <c r="L64" s="165"/>
    </row>
    <row r="65" spans="1:12" x14ac:dyDescent="0.25">
      <c r="A65" s="165" t="s">
        <v>255</v>
      </c>
      <c r="B65" s="165" t="s">
        <v>328</v>
      </c>
      <c r="C65" s="165" t="s">
        <v>206</v>
      </c>
      <c r="D65" s="165" t="s">
        <v>210</v>
      </c>
      <c r="E65" s="165">
        <v>32.47</v>
      </c>
      <c r="F65" s="165"/>
      <c r="G65" s="165" t="s">
        <v>289</v>
      </c>
      <c r="H65" s="165" t="s">
        <v>205</v>
      </c>
      <c r="I65" s="165" t="s">
        <v>206</v>
      </c>
      <c r="J65" s="165" t="s">
        <v>207</v>
      </c>
      <c r="K65" s="165" t="s">
        <v>220</v>
      </c>
      <c r="L65" s="165"/>
    </row>
    <row r="66" spans="1:12" x14ac:dyDescent="0.25">
      <c r="A66" s="165" t="s">
        <v>256</v>
      </c>
      <c r="B66" s="165" t="s">
        <v>205</v>
      </c>
      <c r="C66" s="165" t="s">
        <v>206</v>
      </c>
      <c r="D66" s="165" t="s">
        <v>207</v>
      </c>
      <c r="E66" s="165">
        <v>40.31</v>
      </c>
      <c r="F66" s="165"/>
      <c r="G66" s="165" t="s">
        <v>290</v>
      </c>
      <c r="H66" s="165" t="s">
        <v>205</v>
      </c>
      <c r="I66" s="165" t="s">
        <v>206</v>
      </c>
      <c r="J66" s="165" t="s">
        <v>207</v>
      </c>
      <c r="K66" s="165" t="s">
        <v>220</v>
      </c>
      <c r="L66" s="165"/>
    </row>
    <row r="67" spans="1:12" x14ac:dyDescent="0.25">
      <c r="A67" s="165" t="s">
        <v>256</v>
      </c>
      <c r="B67" s="165" t="s">
        <v>328</v>
      </c>
      <c r="C67" s="165" t="s">
        <v>206</v>
      </c>
      <c r="D67" s="165" t="s">
        <v>210</v>
      </c>
      <c r="E67" s="165">
        <v>32.74</v>
      </c>
      <c r="F67" s="165"/>
      <c r="G67" s="165" t="s">
        <v>291</v>
      </c>
      <c r="H67" s="165" t="s">
        <v>205</v>
      </c>
      <c r="I67" s="165" t="s">
        <v>206</v>
      </c>
      <c r="J67" s="165" t="s">
        <v>207</v>
      </c>
      <c r="K67" s="165" t="s">
        <v>220</v>
      </c>
      <c r="L67" s="165"/>
    </row>
    <row r="68" spans="1:12" x14ac:dyDescent="0.25">
      <c r="A68" s="165" t="s">
        <v>257</v>
      </c>
      <c r="B68" s="165" t="s">
        <v>205</v>
      </c>
      <c r="C68" s="165" t="s">
        <v>206</v>
      </c>
      <c r="D68" s="165" t="s">
        <v>207</v>
      </c>
      <c r="E68" s="165" t="s">
        <v>220</v>
      </c>
      <c r="F68" s="165"/>
      <c r="G68" s="165" t="s">
        <v>292</v>
      </c>
      <c r="H68" s="165" t="s">
        <v>205</v>
      </c>
      <c r="I68" s="165" t="s">
        <v>206</v>
      </c>
      <c r="J68" s="165" t="s">
        <v>207</v>
      </c>
      <c r="K68" s="165" t="s">
        <v>220</v>
      </c>
      <c r="L68" s="165"/>
    </row>
    <row r="69" spans="1:12" x14ac:dyDescent="0.25">
      <c r="A69" s="165" t="s">
        <v>257</v>
      </c>
      <c r="B69" s="165" t="s">
        <v>328</v>
      </c>
      <c r="C69" s="165" t="s">
        <v>206</v>
      </c>
      <c r="D69" s="165" t="s">
        <v>210</v>
      </c>
      <c r="E69" s="165">
        <v>32.700000000000003</v>
      </c>
      <c r="F69" s="165"/>
      <c r="G69" s="165" t="s">
        <v>293</v>
      </c>
      <c r="H69" s="165" t="s">
        <v>205</v>
      </c>
      <c r="I69" s="165" t="s">
        <v>206</v>
      </c>
      <c r="J69" s="165" t="s">
        <v>207</v>
      </c>
      <c r="K69" s="165" t="s">
        <v>220</v>
      </c>
      <c r="L69" s="165"/>
    </row>
    <row r="70" spans="1:12" x14ac:dyDescent="0.25">
      <c r="A70" s="165" t="s">
        <v>258</v>
      </c>
      <c r="B70" s="165" t="s">
        <v>205</v>
      </c>
      <c r="C70" s="165" t="s">
        <v>206</v>
      </c>
      <c r="D70" s="165" t="s">
        <v>207</v>
      </c>
      <c r="E70" s="165" t="s">
        <v>220</v>
      </c>
      <c r="F70" s="165"/>
      <c r="G70" s="165" t="s">
        <v>294</v>
      </c>
      <c r="H70" s="165" t="s">
        <v>205</v>
      </c>
      <c r="I70" s="165" t="s">
        <v>206</v>
      </c>
      <c r="J70" s="165" t="s">
        <v>207</v>
      </c>
      <c r="K70" s="165" t="s">
        <v>220</v>
      </c>
      <c r="L70" s="165"/>
    </row>
    <row r="71" spans="1:12" x14ac:dyDescent="0.25">
      <c r="A71" s="165" t="s">
        <v>258</v>
      </c>
      <c r="B71" s="165" t="s">
        <v>328</v>
      </c>
      <c r="C71" s="165" t="s">
        <v>206</v>
      </c>
      <c r="D71" s="165" t="s">
        <v>210</v>
      </c>
      <c r="E71" s="165">
        <v>32.28</v>
      </c>
      <c r="F71" s="165"/>
      <c r="G71" s="165" t="s">
        <v>295</v>
      </c>
      <c r="H71" s="165" t="s">
        <v>205</v>
      </c>
      <c r="I71" s="165" t="s">
        <v>206</v>
      </c>
      <c r="J71" s="165" t="s">
        <v>207</v>
      </c>
      <c r="K71" s="165" t="s">
        <v>220</v>
      </c>
      <c r="L71" s="165"/>
    </row>
    <row r="72" spans="1:12" x14ac:dyDescent="0.25">
      <c r="A72" s="165" t="s">
        <v>259</v>
      </c>
      <c r="B72" s="165" t="s">
        <v>205</v>
      </c>
      <c r="C72" s="165" t="s">
        <v>206</v>
      </c>
      <c r="D72" s="165" t="s">
        <v>207</v>
      </c>
      <c r="E72" s="165" t="s">
        <v>220</v>
      </c>
      <c r="F72" s="165"/>
      <c r="G72" s="165" t="s">
        <v>296</v>
      </c>
      <c r="H72" s="165" t="s">
        <v>205</v>
      </c>
      <c r="I72" s="165" t="s">
        <v>206</v>
      </c>
      <c r="J72" s="165" t="s">
        <v>207</v>
      </c>
      <c r="K72" s="165" t="s">
        <v>220</v>
      </c>
      <c r="L72" s="165"/>
    </row>
    <row r="73" spans="1:12" x14ac:dyDescent="0.25">
      <c r="A73" s="165" t="s">
        <v>259</v>
      </c>
      <c r="B73" s="165" t="s">
        <v>328</v>
      </c>
      <c r="C73" s="165" t="s">
        <v>206</v>
      </c>
      <c r="D73" s="165" t="s">
        <v>210</v>
      </c>
      <c r="E73" s="165">
        <v>32.479999999999997</v>
      </c>
      <c r="F73" s="165"/>
      <c r="G73" s="165" t="s">
        <v>297</v>
      </c>
      <c r="H73" s="165" t="s">
        <v>205</v>
      </c>
      <c r="I73" s="165" t="s">
        <v>206</v>
      </c>
      <c r="J73" s="165" t="s">
        <v>207</v>
      </c>
      <c r="K73" s="165" t="s">
        <v>220</v>
      </c>
      <c r="L73" s="165"/>
    </row>
    <row r="74" spans="1:12" x14ac:dyDescent="0.25">
      <c r="A74" s="165" t="s">
        <v>260</v>
      </c>
      <c r="B74" s="165" t="s">
        <v>205</v>
      </c>
      <c r="C74" s="165" t="s">
        <v>206</v>
      </c>
      <c r="D74" s="165" t="s">
        <v>207</v>
      </c>
      <c r="E74" s="165" t="s">
        <v>220</v>
      </c>
      <c r="F74" s="165"/>
      <c r="G74" s="165" t="s">
        <v>298</v>
      </c>
      <c r="H74" s="165" t="s">
        <v>205</v>
      </c>
      <c r="I74" s="165" t="s">
        <v>206</v>
      </c>
      <c r="J74" s="165" t="s">
        <v>207</v>
      </c>
      <c r="K74" s="165" t="s">
        <v>220</v>
      </c>
      <c r="L74" s="165" t="e">
        <f>AVERAGE(K74:K76)</f>
        <v>#DIV/0!</v>
      </c>
    </row>
    <row r="75" spans="1:12" x14ac:dyDescent="0.25">
      <c r="A75" s="165" t="s">
        <v>260</v>
      </c>
      <c r="B75" s="165" t="s">
        <v>328</v>
      </c>
      <c r="C75" s="165" t="s">
        <v>206</v>
      </c>
      <c r="D75" s="165" t="s">
        <v>210</v>
      </c>
      <c r="E75" s="165">
        <v>32.200000000000003</v>
      </c>
      <c r="F75" s="165"/>
      <c r="G75" s="165" t="s">
        <v>299</v>
      </c>
      <c r="H75" s="165" t="s">
        <v>205</v>
      </c>
      <c r="I75" s="165" t="s">
        <v>206</v>
      </c>
      <c r="J75" s="165" t="s">
        <v>207</v>
      </c>
      <c r="K75" s="165" t="s">
        <v>220</v>
      </c>
      <c r="L75" s="165"/>
    </row>
    <row r="76" spans="1:12" x14ac:dyDescent="0.25">
      <c r="A76" s="165" t="s">
        <v>261</v>
      </c>
      <c r="B76" s="165" t="s">
        <v>205</v>
      </c>
      <c r="C76" s="165" t="s">
        <v>206</v>
      </c>
      <c r="D76" s="165" t="s">
        <v>207</v>
      </c>
      <c r="E76" s="165" t="s">
        <v>220</v>
      </c>
      <c r="F76" s="165"/>
      <c r="G76" s="165" t="s">
        <v>300</v>
      </c>
      <c r="H76" s="165" t="s">
        <v>205</v>
      </c>
      <c r="I76" s="165" t="s">
        <v>206</v>
      </c>
      <c r="J76" s="165" t="s">
        <v>207</v>
      </c>
      <c r="K76" s="165" t="s">
        <v>220</v>
      </c>
      <c r="L76" s="165"/>
    </row>
    <row r="77" spans="1:12" x14ac:dyDescent="0.25">
      <c r="A77" s="165" t="s">
        <v>261</v>
      </c>
      <c r="B77" s="165" t="s">
        <v>328</v>
      </c>
      <c r="C77" s="165" t="s">
        <v>206</v>
      </c>
      <c r="D77" s="165" t="s">
        <v>210</v>
      </c>
      <c r="E77" s="165">
        <v>32.479999999999997</v>
      </c>
      <c r="F77" s="165"/>
      <c r="G77" s="165" t="s">
        <v>301</v>
      </c>
      <c r="H77" s="165" t="s">
        <v>205</v>
      </c>
      <c r="I77" s="165" t="s">
        <v>206</v>
      </c>
      <c r="J77" s="165" t="s">
        <v>207</v>
      </c>
      <c r="K77" s="165">
        <v>31.92</v>
      </c>
      <c r="L77" s="165">
        <f>AVERAGE(K77:K79)</f>
        <v>31.853333333333335</v>
      </c>
    </row>
    <row r="78" spans="1:12" x14ac:dyDescent="0.25">
      <c r="A78" s="165" t="s">
        <v>262</v>
      </c>
      <c r="B78" s="165" t="s">
        <v>205</v>
      </c>
      <c r="C78" s="165" t="s">
        <v>206</v>
      </c>
      <c r="D78" s="165" t="s">
        <v>207</v>
      </c>
      <c r="E78" s="165" t="s">
        <v>220</v>
      </c>
      <c r="F78" s="165"/>
      <c r="G78" s="165" t="s">
        <v>302</v>
      </c>
      <c r="H78" s="165" t="s">
        <v>205</v>
      </c>
      <c r="I78" s="165" t="s">
        <v>206</v>
      </c>
      <c r="J78" s="165" t="s">
        <v>207</v>
      </c>
      <c r="K78" s="165">
        <v>32.049999999999997</v>
      </c>
      <c r="L78" s="165"/>
    </row>
    <row r="79" spans="1:12" x14ac:dyDescent="0.25">
      <c r="A79" s="165" t="s">
        <v>262</v>
      </c>
      <c r="B79" s="165" t="s">
        <v>328</v>
      </c>
      <c r="C79" s="165" t="s">
        <v>206</v>
      </c>
      <c r="D79" s="165" t="s">
        <v>210</v>
      </c>
      <c r="E79" s="165">
        <v>32.450000000000003</v>
      </c>
      <c r="F79" s="165"/>
      <c r="G79" s="165" t="s">
        <v>303</v>
      </c>
      <c r="H79" s="165" t="s">
        <v>205</v>
      </c>
      <c r="I79" s="165" t="s">
        <v>206</v>
      </c>
      <c r="J79" s="165" t="s">
        <v>207</v>
      </c>
      <c r="K79" s="165">
        <v>31.59</v>
      </c>
      <c r="L79" s="165"/>
    </row>
    <row r="80" spans="1:12" x14ac:dyDescent="0.25">
      <c r="A80" s="165" t="s">
        <v>263</v>
      </c>
      <c r="B80" s="165" t="s">
        <v>205</v>
      </c>
      <c r="C80" s="165" t="s">
        <v>206</v>
      </c>
      <c r="D80" s="165" t="s">
        <v>207</v>
      </c>
      <c r="E80" s="165" t="s">
        <v>220</v>
      </c>
      <c r="F80" s="165"/>
      <c r="G80" s="165" t="s">
        <v>304</v>
      </c>
      <c r="H80" s="165" t="s">
        <v>205</v>
      </c>
      <c r="I80" s="165" t="s">
        <v>206</v>
      </c>
      <c r="J80" s="165" t="s">
        <v>207</v>
      </c>
      <c r="K80" s="165">
        <v>38.67</v>
      </c>
      <c r="L80" s="165">
        <f>AVERAGE(K80:K82)</f>
        <v>38.090000000000003</v>
      </c>
    </row>
    <row r="81" spans="1:12" x14ac:dyDescent="0.25">
      <c r="A81" s="165" t="s">
        <v>263</v>
      </c>
      <c r="B81" s="165" t="s">
        <v>328</v>
      </c>
      <c r="C81" s="165" t="s">
        <v>206</v>
      </c>
      <c r="D81" s="165" t="s">
        <v>210</v>
      </c>
      <c r="E81" s="165">
        <v>32.799999999999997</v>
      </c>
      <c r="F81" s="165"/>
      <c r="G81" s="165" t="s">
        <v>305</v>
      </c>
      <c r="H81" s="165" t="s">
        <v>205</v>
      </c>
      <c r="I81" s="165" t="s">
        <v>206</v>
      </c>
      <c r="J81" s="165" t="s">
        <v>207</v>
      </c>
      <c r="K81" s="165">
        <v>37.83</v>
      </c>
      <c r="L81" s="165"/>
    </row>
    <row r="82" spans="1:12" x14ac:dyDescent="0.25">
      <c r="A82" s="165" t="s">
        <v>264</v>
      </c>
      <c r="B82" s="165" t="s">
        <v>205</v>
      </c>
      <c r="C82" s="165" t="s">
        <v>206</v>
      </c>
      <c r="D82" s="165" t="s">
        <v>207</v>
      </c>
      <c r="E82" s="165" t="s">
        <v>220</v>
      </c>
      <c r="F82" s="165"/>
      <c r="G82" s="165" t="s">
        <v>306</v>
      </c>
      <c r="H82" s="165" t="s">
        <v>205</v>
      </c>
      <c r="I82" s="165" t="s">
        <v>206</v>
      </c>
      <c r="J82" s="165" t="s">
        <v>207</v>
      </c>
      <c r="K82" s="165">
        <v>37.770000000000003</v>
      </c>
      <c r="L82" s="165"/>
    </row>
    <row r="83" spans="1:12" x14ac:dyDescent="0.25">
      <c r="A83" s="165" t="s">
        <v>264</v>
      </c>
      <c r="B83" s="165" t="s">
        <v>328</v>
      </c>
      <c r="C83" s="165" t="s">
        <v>206</v>
      </c>
      <c r="D83" s="165" t="s">
        <v>210</v>
      </c>
      <c r="E83" s="165">
        <v>32.590000000000003</v>
      </c>
      <c r="F83" s="165"/>
      <c r="G83" s="165" t="s">
        <v>307</v>
      </c>
      <c r="H83" s="165" t="s">
        <v>205</v>
      </c>
      <c r="I83" s="165" t="s">
        <v>206</v>
      </c>
      <c r="J83" s="165" t="s">
        <v>207</v>
      </c>
      <c r="K83" s="165">
        <v>44.78</v>
      </c>
      <c r="L83" s="165">
        <f>AVERAGE(K83:K85)</f>
        <v>43.355000000000004</v>
      </c>
    </row>
    <row r="84" spans="1:12" x14ac:dyDescent="0.25">
      <c r="A84" s="165" t="s">
        <v>265</v>
      </c>
      <c r="B84" s="165" t="s">
        <v>205</v>
      </c>
      <c r="C84" s="165" t="s">
        <v>206</v>
      </c>
      <c r="D84" s="165" t="s">
        <v>207</v>
      </c>
      <c r="E84" s="165" t="s">
        <v>220</v>
      </c>
      <c r="F84" s="165"/>
      <c r="G84" s="165" t="s">
        <v>308</v>
      </c>
      <c r="H84" s="165" t="s">
        <v>205</v>
      </c>
      <c r="I84" s="165" t="s">
        <v>206</v>
      </c>
      <c r="J84" s="165" t="s">
        <v>207</v>
      </c>
      <c r="K84" s="165" t="s">
        <v>220</v>
      </c>
      <c r="L84" s="165"/>
    </row>
    <row r="85" spans="1:12" x14ac:dyDescent="0.25">
      <c r="A85" s="165" t="s">
        <v>265</v>
      </c>
      <c r="B85" s="165" t="s">
        <v>328</v>
      </c>
      <c r="C85" s="165" t="s">
        <v>206</v>
      </c>
      <c r="D85" s="165" t="s">
        <v>210</v>
      </c>
      <c r="E85" s="165">
        <v>32.82</v>
      </c>
      <c r="F85" s="165"/>
      <c r="G85" s="165" t="s">
        <v>309</v>
      </c>
      <c r="H85" s="165" t="s">
        <v>205</v>
      </c>
      <c r="I85" s="165" t="s">
        <v>206</v>
      </c>
      <c r="J85" s="165" t="s">
        <v>207</v>
      </c>
      <c r="K85" s="165">
        <v>41.93</v>
      </c>
      <c r="L85" s="165"/>
    </row>
    <row r="86" spans="1:12" x14ac:dyDescent="0.25">
      <c r="A86" s="165" t="s">
        <v>266</v>
      </c>
      <c r="B86" s="165" t="s">
        <v>205</v>
      </c>
      <c r="C86" s="165" t="s">
        <v>206</v>
      </c>
      <c r="D86" s="165" t="s">
        <v>207</v>
      </c>
      <c r="E86" s="165" t="s">
        <v>220</v>
      </c>
      <c r="F86" s="165"/>
      <c r="G86" s="165" t="s">
        <v>310</v>
      </c>
      <c r="H86" s="165" t="s">
        <v>205</v>
      </c>
      <c r="I86" s="165" t="s">
        <v>206</v>
      </c>
      <c r="J86" s="165" t="s">
        <v>207</v>
      </c>
      <c r="K86" s="165" t="s">
        <v>220</v>
      </c>
      <c r="L86" s="165"/>
    </row>
    <row r="87" spans="1:12" x14ac:dyDescent="0.25">
      <c r="A87" s="165" t="s">
        <v>266</v>
      </c>
      <c r="B87" s="165" t="s">
        <v>328</v>
      </c>
      <c r="C87" s="165" t="s">
        <v>206</v>
      </c>
      <c r="D87" s="165" t="s">
        <v>210</v>
      </c>
      <c r="E87" s="165">
        <v>31.97</v>
      </c>
      <c r="F87" s="165"/>
      <c r="G87" s="165" t="s">
        <v>311</v>
      </c>
      <c r="H87" s="165" t="s">
        <v>205</v>
      </c>
      <c r="I87" s="165" t="s">
        <v>206</v>
      </c>
      <c r="J87" s="165" t="s">
        <v>207</v>
      </c>
      <c r="K87" s="165" t="s">
        <v>220</v>
      </c>
      <c r="L87" s="165"/>
    </row>
    <row r="88" spans="1:12" x14ac:dyDescent="0.25">
      <c r="A88" s="165" t="s">
        <v>267</v>
      </c>
      <c r="B88" s="165" t="s">
        <v>205</v>
      </c>
      <c r="C88" s="165" t="s">
        <v>206</v>
      </c>
      <c r="D88" s="165" t="s">
        <v>207</v>
      </c>
      <c r="E88" s="165" t="s">
        <v>220</v>
      </c>
      <c r="F88" s="165"/>
      <c r="G88" s="165" t="s">
        <v>312</v>
      </c>
      <c r="H88" s="165" t="s">
        <v>205</v>
      </c>
      <c r="I88" s="165" t="s">
        <v>206</v>
      </c>
      <c r="J88" s="165" t="s">
        <v>207</v>
      </c>
      <c r="K88" s="165" t="s">
        <v>220</v>
      </c>
      <c r="L88" s="165"/>
    </row>
    <row r="89" spans="1:12" x14ac:dyDescent="0.25">
      <c r="A89" s="165" t="s">
        <v>267</v>
      </c>
      <c r="B89" s="165" t="s">
        <v>328</v>
      </c>
      <c r="C89" s="165" t="s">
        <v>206</v>
      </c>
      <c r="D89" s="165" t="s">
        <v>210</v>
      </c>
      <c r="E89" s="165">
        <v>32.43</v>
      </c>
      <c r="F89" s="165"/>
      <c r="G89" s="165" t="s">
        <v>313</v>
      </c>
      <c r="H89" s="165" t="s">
        <v>205</v>
      </c>
      <c r="I89" s="165" t="s">
        <v>206</v>
      </c>
      <c r="J89" s="165" t="s">
        <v>207</v>
      </c>
      <c r="K89" s="165" t="s">
        <v>220</v>
      </c>
      <c r="L89" s="165"/>
    </row>
    <row r="90" spans="1:12" x14ac:dyDescent="0.25">
      <c r="A90" s="165" t="s">
        <v>268</v>
      </c>
      <c r="B90" s="165" t="s">
        <v>205</v>
      </c>
      <c r="C90" s="165" t="s">
        <v>206</v>
      </c>
      <c r="D90" s="165" t="s">
        <v>207</v>
      </c>
      <c r="E90" s="165" t="s">
        <v>220</v>
      </c>
      <c r="F90" s="165"/>
      <c r="G90" s="165" t="s">
        <v>314</v>
      </c>
      <c r="H90" s="165" t="s">
        <v>205</v>
      </c>
      <c r="I90" s="165" t="s">
        <v>206</v>
      </c>
      <c r="J90" s="165" t="s">
        <v>207</v>
      </c>
      <c r="K90" s="165" t="s">
        <v>220</v>
      </c>
      <c r="L90" s="165"/>
    </row>
    <row r="91" spans="1:12" x14ac:dyDescent="0.25">
      <c r="A91" s="165" t="s">
        <v>268</v>
      </c>
      <c r="B91" s="165" t="s">
        <v>328</v>
      </c>
      <c r="C91" s="165" t="s">
        <v>206</v>
      </c>
      <c r="D91" s="165" t="s">
        <v>210</v>
      </c>
      <c r="E91" s="165">
        <v>32.299999999999997</v>
      </c>
      <c r="F91" s="165"/>
      <c r="G91" s="165" t="s">
        <v>315</v>
      </c>
      <c r="H91" s="165" t="s">
        <v>205</v>
      </c>
      <c r="I91" s="165" t="s">
        <v>206</v>
      </c>
      <c r="J91" s="165" t="s">
        <v>207</v>
      </c>
      <c r="K91" s="165" t="s">
        <v>220</v>
      </c>
      <c r="L91" s="165"/>
    </row>
    <row r="92" spans="1:12" x14ac:dyDescent="0.25">
      <c r="A92" s="165" t="s">
        <v>270</v>
      </c>
      <c r="B92" s="165" t="s">
        <v>205</v>
      </c>
      <c r="C92" s="165" t="s">
        <v>206</v>
      </c>
      <c r="D92" s="165" t="s">
        <v>207</v>
      </c>
      <c r="E92" s="165" t="s">
        <v>220</v>
      </c>
      <c r="F92" s="165"/>
      <c r="G92" s="165" t="s">
        <v>316</v>
      </c>
      <c r="H92" s="165" t="s">
        <v>205</v>
      </c>
      <c r="I92" s="165" t="s">
        <v>206</v>
      </c>
      <c r="J92" s="165" t="s">
        <v>207</v>
      </c>
      <c r="K92" s="165" t="s">
        <v>220</v>
      </c>
      <c r="L92" s="165"/>
    </row>
    <row r="93" spans="1:12" x14ac:dyDescent="0.25">
      <c r="A93" s="165" t="s">
        <v>270</v>
      </c>
      <c r="B93" s="165" t="s">
        <v>328</v>
      </c>
      <c r="C93" s="165" t="s">
        <v>206</v>
      </c>
      <c r="D93" s="165" t="s">
        <v>210</v>
      </c>
      <c r="E93" s="165">
        <v>32.03</v>
      </c>
      <c r="F93" s="165"/>
      <c r="G93" s="165" t="s">
        <v>317</v>
      </c>
      <c r="H93" s="165" t="s">
        <v>205</v>
      </c>
      <c r="I93" s="165" t="s">
        <v>206</v>
      </c>
      <c r="J93" s="165" t="s">
        <v>207</v>
      </c>
      <c r="K93" s="165" t="s">
        <v>220</v>
      </c>
      <c r="L93" s="165"/>
    </row>
    <row r="94" spans="1:12" x14ac:dyDescent="0.25">
      <c r="A94" s="165" t="s">
        <v>272</v>
      </c>
      <c r="B94" s="165" t="s">
        <v>205</v>
      </c>
      <c r="C94" s="165" t="s">
        <v>206</v>
      </c>
      <c r="D94" s="165" t="s">
        <v>207</v>
      </c>
      <c r="E94" s="165" t="s">
        <v>220</v>
      </c>
      <c r="F94" s="165"/>
      <c r="G94" s="165" t="s">
        <v>318</v>
      </c>
      <c r="H94" s="165" t="s">
        <v>205</v>
      </c>
      <c r="I94" s="165" t="s">
        <v>206</v>
      </c>
      <c r="J94" s="165" t="s">
        <v>207</v>
      </c>
      <c r="K94" s="165" t="s">
        <v>220</v>
      </c>
      <c r="L94" s="165"/>
    </row>
    <row r="95" spans="1:12" x14ac:dyDescent="0.25">
      <c r="A95" s="165" t="s">
        <v>272</v>
      </c>
      <c r="B95" s="165" t="s">
        <v>328</v>
      </c>
      <c r="C95" s="165" t="s">
        <v>206</v>
      </c>
      <c r="D95" s="165" t="s">
        <v>210</v>
      </c>
      <c r="E95" s="165">
        <v>32.619999999999997</v>
      </c>
      <c r="F95" s="165"/>
      <c r="G95" s="165" t="s">
        <v>319</v>
      </c>
      <c r="H95" s="165" t="s">
        <v>205</v>
      </c>
      <c r="I95" s="165" t="s">
        <v>206</v>
      </c>
      <c r="J95" s="165" t="s">
        <v>207</v>
      </c>
      <c r="K95" s="165" t="s">
        <v>220</v>
      </c>
      <c r="L95" s="165"/>
    </row>
    <row r="96" spans="1:12" x14ac:dyDescent="0.25">
      <c r="A96" s="165" t="s">
        <v>273</v>
      </c>
      <c r="B96" s="165" t="s">
        <v>205</v>
      </c>
      <c r="C96" s="165" t="s">
        <v>206</v>
      </c>
      <c r="D96" s="165" t="s">
        <v>207</v>
      </c>
      <c r="E96" s="165" t="s">
        <v>220</v>
      </c>
      <c r="F96" s="165"/>
      <c r="G96" s="165" t="s">
        <v>321</v>
      </c>
      <c r="H96" s="165" t="s">
        <v>205</v>
      </c>
      <c r="I96" s="165" t="s">
        <v>206</v>
      </c>
      <c r="J96" s="165" t="s">
        <v>207</v>
      </c>
      <c r="K96" s="165" t="s">
        <v>220</v>
      </c>
      <c r="L96" s="165"/>
    </row>
    <row r="97" spans="1:11" x14ac:dyDescent="0.25">
      <c r="A97" s="165" t="s">
        <v>273</v>
      </c>
      <c r="B97" s="165" t="s">
        <v>328</v>
      </c>
      <c r="C97" s="165" t="s">
        <v>206</v>
      </c>
      <c r="D97" s="165" t="s">
        <v>210</v>
      </c>
      <c r="E97" s="165">
        <v>31.5</v>
      </c>
      <c r="F97" s="165"/>
      <c r="G97" s="165" t="s">
        <v>322</v>
      </c>
      <c r="H97" s="165" t="s">
        <v>205</v>
      </c>
      <c r="I97" s="165" t="s">
        <v>206</v>
      </c>
      <c r="J97" s="165" t="s">
        <v>207</v>
      </c>
      <c r="K97" s="165" t="s">
        <v>220</v>
      </c>
    </row>
    <row r="98" spans="1:11" x14ac:dyDescent="0.25">
      <c r="A98" s="165" t="s">
        <v>274</v>
      </c>
      <c r="B98" s="165" t="s">
        <v>205</v>
      </c>
      <c r="C98" s="165" t="s">
        <v>206</v>
      </c>
      <c r="D98" s="165" t="s">
        <v>207</v>
      </c>
      <c r="E98" s="165">
        <v>27.9</v>
      </c>
      <c r="F98" s="165"/>
      <c r="G98" s="165" t="s">
        <v>204</v>
      </c>
      <c r="H98" s="165" t="s">
        <v>328</v>
      </c>
      <c r="I98" s="165" t="s">
        <v>206</v>
      </c>
      <c r="J98" s="165" t="s">
        <v>210</v>
      </c>
      <c r="K98" s="165">
        <v>30.59</v>
      </c>
    </row>
    <row r="99" spans="1:11" x14ac:dyDescent="0.25">
      <c r="A99" s="165" t="s">
        <v>274</v>
      </c>
      <c r="B99" s="165" t="s">
        <v>328</v>
      </c>
      <c r="C99" s="165" t="s">
        <v>206</v>
      </c>
      <c r="D99" s="165" t="s">
        <v>210</v>
      </c>
      <c r="E99" s="165">
        <v>37.08</v>
      </c>
      <c r="F99" s="165"/>
      <c r="G99" s="165" t="s">
        <v>211</v>
      </c>
      <c r="H99" s="165" t="s">
        <v>328</v>
      </c>
      <c r="I99" s="165" t="s">
        <v>206</v>
      </c>
      <c r="J99" s="165" t="s">
        <v>210</v>
      </c>
      <c r="K99" s="165">
        <v>30.08</v>
      </c>
    </row>
    <row r="100" spans="1:11" x14ac:dyDescent="0.25">
      <c r="A100" s="165" t="s">
        <v>275</v>
      </c>
      <c r="B100" s="165" t="s">
        <v>205</v>
      </c>
      <c r="C100" s="165" t="s">
        <v>206</v>
      </c>
      <c r="D100" s="165" t="s">
        <v>207</v>
      </c>
      <c r="E100" s="165">
        <v>27.66</v>
      </c>
      <c r="F100" s="165"/>
      <c r="G100" s="165" t="s">
        <v>212</v>
      </c>
      <c r="H100" s="165" t="s">
        <v>328</v>
      </c>
      <c r="I100" s="165" t="s">
        <v>206</v>
      </c>
      <c r="J100" s="165" t="s">
        <v>210</v>
      </c>
      <c r="K100" s="165">
        <v>30.23</v>
      </c>
    </row>
    <row r="101" spans="1:11" x14ac:dyDescent="0.25">
      <c r="A101" s="165" t="s">
        <v>275</v>
      </c>
      <c r="B101" s="165" t="s">
        <v>328</v>
      </c>
      <c r="C101" s="165" t="s">
        <v>206</v>
      </c>
      <c r="D101" s="165" t="s">
        <v>210</v>
      </c>
      <c r="E101" s="165">
        <v>39.090000000000003</v>
      </c>
      <c r="F101" s="165"/>
      <c r="G101" s="165" t="s">
        <v>213</v>
      </c>
      <c r="H101" s="165" t="s">
        <v>328</v>
      </c>
      <c r="I101" s="165" t="s">
        <v>206</v>
      </c>
      <c r="J101" s="165" t="s">
        <v>210</v>
      </c>
      <c r="K101" s="165">
        <v>29.95</v>
      </c>
    </row>
    <row r="102" spans="1:11" x14ac:dyDescent="0.25">
      <c r="A102" s="165" t="s">
        <v>276</v>
      </c>
      <c r="B102" s="165" t="s">
        <v>205</v>
      </c>
      <c r="C102" s="165" t="s">
        <v>206</v>
      </c>
      <c r="D102" s="165" t="s">
        <v>207</v>
      </c>
      <c r="E102" s="165">
        <v>27.48</v>
      </c>
      <c r="F102" s="165"/>
      <c r="G102" s="165" t="s">
        <v>214</v>
      </c>
      <c r="H102" s="165" t="s">
        <v>328</v>
      </c>
      <c r="I102" s="165" t="s">
        <v>206</v>
      </c>
      <c r="J102" s="165" t="s">
        <v>210</v>
      </c>
      <c r="K102" s="165">
        <v>29.97</v>
      </c>
    </row>
    <row r="103" spans="1:11" x14ac:dyDescent="0.25">
      <c r="A103" s="165" t="s">
        <v>276</v>
      </c>
      <c r="B103" s="165" t="s">
        <v>328</v>
      </c>
      <c r="C103" s="165" t="s">
        <v>206</v>
      </c>
      <c r="D103" s="165" t="s">
        <v>210</v>
      </c>
      <c r="E103" s="165">
        <v>38.5</v>
      </c>
      <c r="F103" s="165"/>
      <c r="G103" s="165" t="s">
        <v>215</v>
      </c>
      <c r="H103" s="165" t="s">
        <v>328</v>
      </c>
      <c r="I103" s="165" t="s">
        <v>206</v>
      </c>
      <c r="J103" s="165" t="s">
        <v>210</v>
      </c>
      <c r="K103" s="165">
        <v>29.96</v>
      </c>
    </row>
    <row r="104" spans="1:11" x14ac:dyDescent="0.25">
      <c r="A104" s="165" t="s">
        <v>277</v>
      </c>
      <c r="B104" s="165" t="s">
        <v>205</v>
      </c>
      <c r="C104" s="165" t="s">
        <v>206</v>
      </c>
      <c r="D104" s="165" t="s">
        <v>207</v>
      </c>
      <c r="E104" s="165" t="s">
        <v>220</v>
      </c>
      <c r="F104" s="165"/>
      <c r="G104" s="165" t="s">
        <v>216</v>
      </c>
      <c r="H104" s="165" t="s">
        <v>328</v>
      </c>
      <c r="I104" s="165" t="s">
        <v>206</v>
      </c>
      <c r="J104" s="165" t="s">
        <v>210</v>
      </c>
      <c r="K104" s="165">
        <v>29.85</v>
      </c>
    </row>
    <row r="105" spans="1:11" x14ac:dyDescent="0.25">
      <c r="A105" s="165" t="s">
        <v>277</v>
      </c>
      <c r="B105" s="165" t="s">
        <v>328</v>
      </c>
      <c r="C105" s="165" t="s">
        <v>206</v>
      </c>
      <c r="D105" s="165" t="s">
        <v>210</v>
      </c>
      <c r="E105" s="165">
        <v>35.1</v>
      </c>
      <c r="F105" s="165"/>
      <c r="G105" s="165" t="s">
        <v>217</v>
      </c>
      <c r="H105" s="165" t="s">
        <v>328</v>
      </c>
      <c r="I105" s="165" t="s">
        <v>206</v>
      </c>
      <c r="J105" s="165" t="s">
        <v>210</v>
      </c>
      <c r="K105" s="165">
        <v>30.13</v>
      </c>
    </row>
    <row r="106" spans="1:11" x14ac:dyDescent="0.25">
      <c r="A106" s="165" t="s">
        <v>278</v>
      </c>
      <c r="B106" s="165" t="s">
        <v>205</v>
      </c>
      <c r="C106" s="165" t="s">
        <v>206</v>
      </c>
      <c r="D106" s="165" t="s">
        <v>207</v>
      </c>
      <c r="E106" s="165" t="s">
        <v>220</v>
      </c>
      <c r="F106" s="165"/>
      <c r="G106" s="165" t="s">
        <v>218</v>
      </c>
      <c r="H106" s="165" t="s">
        <v>328</v>
      </c>
      <c r="I106" s="165" t="s">
        <v>206</v>
      </c>
      <c r="J106" s="165" t="s">
        <v>210</v>
      </c>
      <c r="K106" s="165">
        <v>30.46</v>
      </c>
    </row>
    <row r="107" spans="1:11" x14ac:dyDescent="0.25">
      <c r="A107" s="165" t="s">
        <v>278</v>
      </c>
      <c r="B107" s="165" t="s">
        <v>328</v>
      </c>
      <c r="C107" s="165" t="s">
        <v>206</v>
      </c>
      <c r="D107" s="165" t="s">
        <v>210</v>
      </c>
      <c r="E107" s="165">
        <v>36.200000000000003</v>
      </c>
      <c r="F107" s="165"/>
      <c r="G107" s="165" t="s">
        <v>219</v>
      </c>
      <c r="H107" s="165" t="s">
        <v>328</v>
      </c>
      <c r="I107" s="165" t="s">
        <v>206</v>
      </c>
      <c r="J107" s="165" t="s">
        <v>210</v>
      </c>
      <c r="K107" s="165">
        <v>30.42</v>
      </c>
    </row>
    <row r="108" spans="1:11" x14ac:dyDescent="0.25">
      <c r="A108" s="165" t="s">
        <v>279</v>
      </c>
      <c r="B108" s="165" t="s">
        <v>205</v>
      </c>
      <c r="C108" s="165" t="s">
        <v>206</v>
      </c>
      <c r="D108" s="165" t="s">
        <v>207</v>
      </c>
      <c r="E108" s="165" t="s">
        <v>220</v>
      </c>
      <c r="F108" s="165"/>
      <c r="G108" s="165" t="s">
        <v>221</v>
      </c>
      <c r="H108" s="165" t="s">
        <v>328</v>
      </c>
      <c r="I108" s="165" t="s">
        <v>206</v>
      </c>
      <c r="J108" s="165" t="s">
        <v>210</v>
      </c>
      <c r="K108" s="165">
        <v>29.97</v>
      </c>
    </row>
    <row r="109" spans="1:11" x14ac:dyDescent="0.25">
      <c r="A109" s="165" t="s">
        <v>279</v>
      </c>
      <c r="B109" s="165" t="s">
        <v>328</v>
      </c>
      <c r="C109" s="165" t="s">
        <v>206</v>
      </c>
      <c r="D109" s="165" t="s">
        <v>210</v>
      </c>
      <c r="E109" s="165">
        <v>35.89</v>
      </c>
      <c r="F109" s="165"/>
      <c r="G109" s="165" t="s">
        <v>222</v>
      </c>
      <c r="H109" s="165" t="s">
        <v>328</v>
      </c>
      <c r="I109" s="165" t="s">
        <v>206</v>
      </c>
      <c r="J109" s="165" t="s">
        <v>210</v>
      </c>
      <c r="K109" s="165">
        <v>30.25</v>
      </c>
    </row>
    <row r="110" spans="1:11" x14ac:dyDescent="0.25">
      <c r="A110" s="165" t="s">
        <v>280</v>
      </c>
      <c r="B110" s="165" t="s">
        <v>205</v>
      </c>
      <c r="C110" s="165" t="s">
        <v>206</v>
      </c>
      <c r="D110" s="165" t="s">
        <v>207</v>
      </c>
      <c r="E110" s="165">
        <v>39.57</v>
      </c>
      <c r="F110" s="165"/>
      <c r="G110" s="165" t="s">
        <v>223</v>
      </c>
      <c r="H110" s="165" t="s">
        <v>328</v>
      </c>
      <c r="I110" s="165" t="s">
        <v>206</v>
      </c>
      <c r="J110" s="165" t="s">
        <v>210</v>
      </c>
      <c r="K110" s="165">
        <v>29.88</v>
      </c>
    </row>
    <row r="111" spans="1:11" x14ac:dyDescent="0.25">
      <c r="A111" s="165" t="s">
        <v>280</v>
      </c>
      <c r="B111" s="165" t="s">
        <v>328</v>
      </c>
      <c r="C111" s="165" t="s">
        <v>206</v>
      </c>
      <c r="D111" s="165" t="s">
        <v>210</v>
      </c>
      <c r="E111" s="165">
        <v>36.67</v>
      </c>
      <c r="F111" s="165"/>
      <c r="G111" s="165" t="s">
        <v>234</v>
      </c>
      <c r="H111" s="165" t="s">
        <v>328</v>
      </c>
      <c r="I111" s="165" t="s">
        <v>206</v>
      </c>
      <c r="J111" s="165" t="s">
        <v>210</v>
      </c>
      <c r="K111" s="165">
        <v>30.4</v>
      </c>
    </row>
    <row r="112" spans="1:11" x14ac:dyDescent="0.25">
      <c r="A112" s="165" t="s">
        <v>281</v>
      </c>
      <c r="B112" s="165" t="s">
        <v>205</v>
      </c>
      <c r="C112" s="165" t="s">
        <v>206</v>
      </c>
      <c r="D112" s="165" t="s">
        <v>207</v>
      </c>
      <c r="E112" s="165">
        <v>39.61</v>
      </c>
      <c r="F112" s="165"/>
      <c r="G112" s="165" t="s">
        <v>235</v>
      </c>
      <c r="H112" s="165" t="s">
        <v>328</v>
      </c>
      <c r="I112" s="165" t="s">
        <v>206</v>
      </c>
      <c r="J112" s="165" t="s">
        <v>210</v>
      </c>
      <c r="K112" s="165">
        <v>29.98</v>
      </c>
    </row>
    <row r="113" spans="1:11" x14ac:dyDescent="0.25">
      <c r="A113" s="165" t="s">
        <v>281</v>
      </c>
      <c r="B113" s="165" t="s">
        <v>328</v>
      </c>
      <c r="C113" s="165" t="s">
        <v>206</v>
      </c>
      <c r="D113" s="165" t="s">
        <v>210</v>
      </c>
      <c r="E113" s="165">
        <v>35.65</v>
      </c>
      <c r="F113" s="165"/>
      <c r="G113" s="165" t="s">
        <v>236</v>
      </c>
      <c r="H113" s="165" t="s">
        <v>328</v>
      </c>
      <c r="I113" s="165" t="s">
        <v>206</v>
      </c>
      <c r="J113" s="165" t="s">
        <v>210</v>
      </c>
      <c r="K113" s="165">
        <v>29.76</v>
      </c>
    </row>
    <row r="114" spans="1:11" x14ac:dyDescent="0.25">
      <c r="A114" s="165" t="s">
        <v>282</v>
      </c>
      <c r="B114" s="165" t="s">
        <v>205</v>
      </c>
      <c r="C114" s="165" t="s">
        <v>206</v>
      </c>
      <c r="D114" s="165" t="s">
        <v>207</v>
      </c>
      <c r="E114" s="165">
        <v>38.67</v>
      </c>
      <c r="F114" s="165"/>
      <c r="G114" s="165" t="s">
        <v>237</v>
      </c>
      <c r="H114" s="165" t="s">
        <v>328</v>
      </c>
      <c r="I114" s="165" t="s">
        <v>206</v>
      </c>
      <c r="J114" s="165" t="s">
        <v>210</v>
      </c>
      <c r="K114" s="165">
        <v>30.11</v>
      </c>
    </row>
    <row r="115" spans="1:11" x14ac:dyDescent="0.25">
      <c r="A115" s="165" t="s">
        <v>282</v>
      </c>
      <c r="B115" s="165" t="s">
        <v>328</v>
      </c>
      <c r="C115" s="165" t="s">
        <v>206</v>
      </c>
      <c r="D115" s="165" t="s">
        <v>210</v>
      </c>
      <c r="E115" s="165">
        <v>36.049999999999997</v>
      </c>
      <c r="F115" s="165"/>
      <c r="G115" s="165" t="s">
        <v>238</v>
      </c>
      <c r="H115" s="165" t="s">
        <v>328</v>
      </c>
      <c r="I115" s="165" t="s">
        <v>206</v>
      </c>
      <c r="J115" s="165" t="s">
        <v>210</v>
      </c>
      <c r="K115" s="165">
        <v>30.36</v>
      </c>
    </row>
    <row r="116" spans="1:11" x14ac:dyDescent="0.25">
      <c r="A116" s="165" t="s">
        <v>283</v>
      </c>
      <c r="B116" s="165" t="s">
        <v>205</v>
      </c>
      <c r="C116" s="165" t="s">
        <v>206</v>
      </c>
      <c r="D116" s="165" t="s">
        <v>207</v>
      </c>
      <c r="E116" s="165" t="s">
        <v>220</v>
      </c>
      <c r="F116" s="165"/>
      <c r="G116" s="165" t="s">
        <v>239</v>
      </c>
      <c r="H116" s="165" t="s">
        <v>328</v>
      </c>
      <c r="I116" s="165" t="s">
        <v>206</v>
      </c>
      <c r="J116" s="165" t="s">
        <v>210</v>
      </c>
      <c r="K116" s="165">
        <v>30.24</v>
      </c>
    </row>
    <row r="117" spans="1:11" x14ac:dyDescent="0.25">
      <c r="A117" s="165" t="s">
        <v>283</v>
      </c>
      <c r="B117" s="165" t="s">
        <v>328</v>
      </c>
      <c r="C117" s="165" t="s">
        <v>206</v>
      </c>
      <c r="D117" s="165" t="s">
        <v>210</v>
      </c>
      <c r="E117" s="165">
        <v>36.07</v>
      </c>
      <c r="F117" s="165"/>
      <c r="G117" s="165" t="s">
        <v>242</v>
      </c>
      <c r="H117" s="165" t="s">
        <v>328</v>
      </c>
      <c r="I117" s="165" t="s">
        <v>206</v>
      </c>
      <c r="J117" s="165" t="s">
        <v>210</v>
      </c>
      <c r="K117" s="165">
        <v>29.81</v>
      </c>
    </row>
    <row r="118" spans="1:11" x14ac:dyDescent="0.25">
      <c r="A118" s="165" t="s">
        <v>284</v>
      </c>
      <c r="B118" s="165" t="s">
        <v>205</v>
      </c>
      <c r="C118" s="165" t="s">
        <v>206</v>
      </c>
      <c r="D118" s="165" t="s">
        <v>207</v>
      </c>
      <c r="E118" s="165" t="s">
        <v>220</v>
      </c>
      <c r="F118" s="165"/>
      <c r="G118" s="165" t="s">
        <v>243</v>
      </c>
      <c r="H118" s="165" t="s">
        <v>328</v>
      </c>
      <c r="I118" s="165" t="s">
        <v>206</v>
      </c>
      <c r="J118" s="165" t="s">
        <v>210</v>
      </c>
      <c r="K118" s="165">
        <v>30.05</v>
      </c>
    </row>
    <row r="119" spans="1:11" x14ac:dyDescent="0.25">
      <c r="A119" s="165" t="s">
        <v>284</v>
      </c>
      <c r="B119" s="165" t="s">
        <v>328</v>
      </c>
      <c r="C119" s="165" t="s">
        <v>206</v>
      </c>
      <c r="D119" s="165" t="s">
        <v>210</v>
      </c>
      <c r="E119" s="165">
        <v>36.18</v>
      </c>
      <c r="F119" s="165"/>
      <c r="G119" s="165" t="s">
        <v>244</v>
      </c>
      <c r="H119" s="165" t="s">
        <v>328</v>
      </c>
      <c r="I119" s="165" t="s">
        <v>206</v>
      </c>
      <c r="J119" s="165" t="s">
        <v>210</v>
      </c>
      <c r="K119" s="165">
        <v>29.75</v>
      </c>
    </row>
    <row r="120" spans="1:11" x14ac:dyDescent="0.25">
      <c r="A120" s="165" t="s">
        <v>285</v>
      </c>
      <c r="B120" s="165" t="s">
        <v>205</v>
      </c>
      <c r="C120" s="165" t="s">
        <v>206</v>
      </c>
      <c r="D120" s="165" t="s">
        <v>207</v>
      </c>
      <c r="E120" s="165" t="s">
        <v>220</v>
      </c>
      <c r="F120" s="165"/>
      <c r="G120" s="165" t="s">
        <v>245</v>
      </c>
      <c r="H120" s="165" t="s">
        <v>328</v>
      </c>
      <c r="I120" s="165" t="s">
        <v>206</v>
      </c>
      <c r="J120" s="165" t="s">
        <v>210</v>
      </c>
      <c r="K120" s="165">
        <v>29.95</v>
      </c>
    </row>
    <row r="121" spans="1:11" x14ac:dyDescent="0.25">
      <c r="A121" s="165" t="s">
        <v>285</v>
      </c>
      <c r="B121" s="165" t="s">
        <v>328</v>
      </c>
      <c r="C121" s="165" t="s">
        <v>206</v>
      </c>
      <c r="D121" s="165" t="s">
        <v>210</v>
      </c>
      <c r="E121" s="165">
        <v>36.31</v>
      </c>
      <c r="F121" s="165"/>
      <c r="G121" s="165" t="s">
        <v>247</v>
      </c>
      <c r="H121" s="165" t="s">
        <v>328</v>
      </c>
      <c r="I121" s="165" t="s">
        <v>206</v>
      </c>
      <c r="J121" s="165" t="s">
        <v>210</v>
      </c>
      <c r="K121" s="165">
        <v>30.07</v>
      </c>
    </row>
    <row r="122" spans="1:11" x14ac:dyDescent="0.25">
      <c r="A122" s="165" t="s">
        <v>286</v>
      </c>
      <c r="B122" s="165" t="s">
        <v>205</v>
      </c>
      <c r="C122" s="165" t="s">
        <v>206</v>
      </c>
      <c r="D122" s="165" t="s">
        <v>207</v>
      </c>
      <c r="E122" s="165" t="s">
        <v>220</v>
      </c>
      <c r="F122" s="165"/>
      <c r="G122" s="165" t="s">
        <v>248</v>
      </c>
      <c r="H122" s="165" t="s">
        <v>328</v>
      </c>
      <c r="I122" s="165" t="s">
        <v>206</v>
      </c>
      <c r="J122" s="165" t="s">
        <v>210</v>
      </c>
      <c r="K122" s="165">
        <v>32</v>
      </c>
    </row>
    <row r="123" spans="1:11" x14ac:dyDescent="0.25">
      <c r="A123" s="165" t="s">
        <v>286</v>
      </c>
      <c r="B123" s="165" t="s">
        <v>328</v>
      </c>
      <c r="C123" s="165" t="s">
        <v>206</v>
      </c>
      <c r="D123" s="165" t="s">
        <v>210</v>
      </c>
      <c r="E123" s="165">
        <v>36.1</v>
      </c>
      <c r="F123" s="165"/>
      <c r="G123" s="165" t="s">
        <v>249</v>
      </c>
      <c r="H123" s="165" t="s">
        <v>328</v>
      </c>
      <c r="I123" s="165" t="s">
        <v>206</v>
      </c>
      <c r="J123" s="165" t="s">
        <v>210</v>
      </c>
      <c r="K123" s="165">
        <v>32.200000000000003</v>
      </c>
    </row>
    <row r="124" spans="1:11" x14ac:dyDescent="0.25">
      <c r="A124" s="165" t="s">
        <v>287</v>
      </c>
      <c r="B124" s="165" t="s">
        <v>205</v>
      </c>
      <c r="C124" s="165" t="s">
        <v>206</v>
      </c>
      <c r="D124" s="165" t="s">
        <v>207</v>
      </c>
      <c r="E124" s="165" t="s">
        <v>220</v>
      </c>
      <c r="F124" s="165"/>
      <c r="G124" s="165" t="s">
        <v>250</v>
      </c>
      <c r="H124" s="165" t="s">
        <v>328</v>
      </c>
      <c r="I124" s="165" t="s">
        <v>206</v>
      </c>
      <c r="J124" s="165" t="s">
        <v>210</v>
      </c>
      <c r="K124" s="165">
        <v>33.54</v>
      </c>
    </row>
    <row r="125" spans="1:11" x14ac:dyDescent="0.25">
      <c r="A125" s="165" t="s">
        <v>287</v>
      </c>
      <c r="B125" s="165" t="s">
        <v>328</v>
      </c>
      <c r="C125" s="165" t="s">
        <v>206</v>
      </c>
      <c r="D125" s="165" t="s">
        <v>210</v>
      </c>
      <c r="E125" s="165">
        <v>36.25</v>
      </c>
      <c r="F125" s="165"/>
      <c r="G125" s="165" t="s">
        <v>251</v>
      </c>
      <c r="H125" s="165" t="s">
        <v>328</v>
      </c>
      <c r="I125" s="165" t="s">
        <v>206</v>
      </c>
      <c r="J125" s="165" t="s">
        <v>210</v>
      </c>
      <c r="K125" s="165">
        <v>32.5</v>
      </c>
    </row>
    <row r="126" spans="1:11" x14ac:dyDescent="0.25">
      <c r="A126" s="165" t="s">
        <v>288</v>
      </c>
      <c r="B126" s="165" t="s">
        <v>205</v>
      </c>
      <c r="C126" s="165" t="s">
        <v>206</v>
      </c>
      <c r="D126" s="165" t="s">
        <v>207</v>
      </c>
      <c r="E126" s="165" t="s">
        <v>220</v>
      </c>
      <c r="F126" s="165"/>
      <c r="G126" s="165" t="s">
        <v>252</v>
      </c>
      <c r="H126" s="165" t="s">
        <v>328</v>
      </c>
      <c r="I126" s="165" t="s">
        <v>206</v>
      </c>
      <c r="J126" s="165" t="s">
        <v>210</v>
      </c>
      <c r="K126" s="165">
        <v>32.549999999999997</v>
      </c>
    </row>
    <row r="127" spans="1:11" x14ac:dyDescent="0.25">
      <c r="A127" s="165" t="s">
        <v>288</v>
      </c>
      <c r="B127" s="165" t="s">
        <v>328</v>
      </c>
      <c r="C127" s="165" t="s">
        <v>206</v>
      </c>
      <c r="D127" s="165" t="s">
        <v>210</v>
      </c>
      <c r="E127" s="165">
        <v>36.64</v>
      </c>
      <c r="F127" s="165"/>
      <c r="G127" s="165" t="s">
        <v>253</v>
      </c>
      <c r="H127" s="165" t="s">
        <v>328</v>
      </c>
      <c r="I127" s="165" t="s">
        <v>206</v>
      </c>
      <c r="J127" s="165" t="s">
        <v>210</v>
      </c>
      <c r="K127" s="165">
        <v>32.479999999999997</v>
      </c>
    </row>
    <row r="128" spans="1:11" x14ac:dyDescent="0.25">
      <c r="A128" s="165" t="s">
        <v>289</v>
      </c>
      <c r="B128" s="165" t="s">
        <v>205</v>
      </c>
      <c r="C128" s="165" t="s">
        <v>206</v>
      </c>
      <c r="D128" s="165" t="s">
        <v>207</v>
      </c>
      <c r="E128" s="165" t="s">
        <v>220</v>
      </c>
      <c r="F128" s="165"/>
      <c r="G128" s="165" t="s">
        <v>254</v>
      </c>
      <c r="H128" s="165" t="s">
        <v>328</v>
      </c>
      <c r="I128" s="165" t="s">
        <v>206</v>
      </c>
      <c r="J128" s="165" t="s">
        <v>210</v>
      </c>
      <c r="K128" s="165">
        <v>32.549999999999997</v>
      </c>
    </row>
    <row r="129" spans="1:11" x14ac:dyDescent="0.25">
      <c r="A129" s="165" t="s">
        <v>289</v>
      </c>
      <c r="B129" s="165" t="s">
        <v>328</v>
      </c>
      <c r="C129" s="165" t="s">
        <v>206</v>
      </c>
      <c r="D129" s="165" t="s">
        <v>210</v>
      </c>
      <c r="E129" s="165">
        <v>36.47</v>
      </c>
      <c r="F129" s="165"/>
      <c r="G129" s="165" t="s">
        <v>255</v>
      </c>
      <c r="H129" s="165" t="s">
        <v>328</v>
      </c>
      <c r="I129" s="165" t="s">
        <v>206</v>
      </c>
      <c r="J129" s="165" t="s">
        <v>210</v>
      </c>
      <c r="K129" s="165">
        <v>32.47</v>
      </c>
    </row>
    <row r="130" spans="1:11" x14ac:dyDescent="0.25">
      <c r="A130" s="165" t="s">
        <v>290</v>
      </c>
      <c r="B130" s="165" t="s">
        <v>205</v>
      </c>
      <c r="C130" s="165" t="s">
        <v>206</v>
      </c>
      <c r="D130" s="165" t="s">
        <v>207</v>
      </c>
      <c r="E130" s="165" t="s">
        <v>220</v>
      </c>
      <c r="F130" s="165"/>
      <c r="G130" s="165" t="s">
        <v>256</v>
      </c>
      <c r="H130" s="165" t="s">
        <v>328</v>
      </c>
      <c r="I130" s="165" t="s">
        <v>206</v>
      </c>
      <c r="J130" s="165" t="s">
        <v>210</v>
      </c>
      <c r="K130" s="165">
        <v>32.74</v>
      </c>
    </row>
    <row r="131" spans="1:11" x14ac:dyDescent="0.25">
      <c r="A131" s="165" t="s">
        <v>290</v>
      </c>
      <c r="B131" s="165" t="s">
        <v>328</v>
      </c>
      <c r="C131" s="165" t="s">
        <v>206</v>
      </c>
      <c r="D131" s="165" t="s">
        <v>210</v>
      </c>
      <c r="E131" s="165">
        <v>36.340000000000003</v>
      </c>
      <c r="F131" s="165"/>
      <c r="G131" s="165" t="s">
        <v>257</v>
      </c>
      <c r="H131" s="165" t="s">
        <v>328</v>
      </c>
      <c r="I131" s="165" t="s">
        <v>206</v>
      </c>
      <c r="J131" s="165" t="s">
        <v>210</v>
      </c>
      <c r="K131" s="165">
        <v>32.700000000000003</v>
      </c>
    </row>
    <row r="132" spans="1:11" x14ac:dyDescent="0.25">
      <c r="A132" s="165" t="s">
        <v>291</v>
      </c>
      <c r="B132" s="165" t="s">
        <v>205</v>
      </c>
      <c r="C132" s="165" t="s">
        <v>206</v>
      </c>
      <c r="D132" s="165" t="s">
        <v>207</v>
      </c>
      <c r="E132" s="165" t="s">
        <v>220</v>
      </c>
      <c r="F132" s="165"/>
      <c r="G132" s="165" t="s">
        <v>258</v>
      </c>
      <c r="H132" s="165" t="s">
        <v>328</v>
      </c>
      <c r="I132" s="165" t="s">
        <v>206</v>
      </c>
      <c r="J132" s="165" t="s">
        <v>210</v>
      </c>
      <c r="K132" s="165">
        <v>32.28</v>
      </c>
    </row>
    <row r="133" spans="1:11" x14ac:dyDescent="0.25">
      <c r="A133" s="165" t="s">
        <v>291</v>
      </c>
      <c r="B133" s="165" t="s">
        <v>328</v>
      </c>
      <c r="C133" s="165" t="s">
        <v>206</v>
      </c>
      <c r="D133" s="165" t="s">
        <v>210</v>
      </c>
      <c r="E133" s="165">
        <v>35.450000000000003</v>
      </c>
      <c r="F133" s="165"/>
      <c r="G133" s="165" t="s">
        <v>259</v>
      </c>
      <c r="H133" s="165" t="s">
        <v>328</v>
      </c>
      <c r="I133" s="165" t="s">
        <v>206</v>
      </c>
      <c r="J133" s="165" t="s">
        <v>210</v>
      </c>
      <c r="K133" s="165">
        <v>32.479999999999997</v>
      </c>
    </row>
    <row r="134" spans="1:11" x14ac:dyDescent="0.25">
      <c r="A134" s="165" t="s">
        <v>292</v>
      </c>
      <c r="B134" s="165" t="s">
        <v>205</v>
      </c>
      <c r="C134" s="165" t="s">
        <v>206</v>
      </c>
      <c r="D134" s="165" t="s">
        <v>207</v>
      </c>
      <c r="E134" s="165" t="s">
        <v>220</v>
      </c>
      <c r="F134" s="165"/>
      <c r="G134" s="165" t="s">
        <v>260</v>
      </c>
      <c r="H134" s="165" t="s">
        <v>328</v>
      </c>
      <c r="I134" s="165" t="s">
        <v>206</v>
      </c>
      <c r="J134" s="165" t="s">
        <v>210</v>
      </c>
      <c r="K134" s="165">
        <v>32.200000000000003</v>
      </c>
    </row>
    <row r="135" spans="1:11" x14ac:dyDescent="0.25">
      <c r="A135" s="165" t="s">
        <v>292</v>
      </c>
      <c r="B135" s="165" t="s">
        <v>328</v>
      </c>
      <c r="C135" s="165" t="s">
        <v>206</v>
      </c>
      <c r="D135" s="165" t="s">
        <v>210</v>
      </c>
      <c r="E135" s="165">
        <v>36.590000000000003</v>
      </c>
      <c r="F135" s="165"/>
      <c r="G135" s="165" t="s">
        <v>261</v>
      </c>
      <c r="H135" s="165" t="s">
        <v>328</v>
      </c>
      <c r="I135" s="165" t="s">
        <v>206</v>
      </c>
      <c r="J135" s="165" t="s">
        <v>210</v>
      </c>
      <c r="K135" s="165">
        <v>32.479999999999997</v>
      </c>
    </row>
    <row r="136" spans="1:11" x14ac:dyDescent="0.25">
      <c r="A136" s="165" t="s">
        <v>293</v>
      </c>
      <c r="B136" s="165" t="s">
        <v>205</v>
      </c>
      <c r="C136" s="165" t="s">
        <v>206</v>
      </c>
      <c r="D136" s="165" t="s">
        <v>207</v>
      </c>
      <c r="E136" s="165" t="s">
        <v>220</v>
      </c>
      <c r="F136" s="165"/>
      <c r="G136" s="165" t="s">
        <v>262</v>
      </c>
      <c r="H136" s="165" t="s">
        <v>328</v>
      </c>
      <c r="I136" s="165" t="s">
        <v>206</v>
      </c>
      <c r="J136" s="165" t="s">
        <v>210</v>
      </c>
      <c r="K136" s="165">
        <v>32.450000000000003</v>
      </c>
    </row>
    <row r="137" spans="1:11" x14ac:dyDescent="0.25">
      <c r="A137" s="165" t="s">
        <v>293</v>
      </c>
      <c r="B137" s="165" t="s">
        <v>328</v>
      </c>
      <c r="C137" s="165" t="s">
        <v>206</v>
      </c>
      <c r="D137" s="165" t="s">
        <v>210</v>
      </c>
      <c r="E137" s="165">
        <v>35.909999999999997</v>
      </c>
      <c r="F137" s="165"/>
      <c r="G137" s="165" t="s">
        <v>263</v>
      </c>
      <c r="H137" s="165" t="s">
        <v>328</v>
      </c>
      <c r="I137" s="165" t="s">
        <v>206</v>
      </c>
      <c r="J137" s="165" t="s">
        <v>210</v>
      </c>
      <c r="K137" s="165">
        <v>32.799999999999997</v>
      </c>
    </row>
    <row r="138" spans="1:11" x14ac:dyDescent="0.25">
      <c r="A138" s="165" t="s">
        <v>294</v>
      </c>
      <c r="B138" s="165" t="s">
        <v>205</v>
      </c>
      <c r="C138" s="165" t="s">
        <v>206</v>
      </c>
      <c r="D138" s="165" t="s">
        <v>207</v>
      </c>
      <c r="E138" s="165" t="s">
        <v>220</v>
      </c>
      <c r="F138" s="165"/>
      <c r="G138" s="165" t="s">
        <v>264</v>
      </c>
      <c r="H138" s="165" t="s">
        <v>328</v>
      </c>
      <c r="I138" s="165" t="s">
        <v>206</v>
      </c>
      <c r="J138" s="165" t="s">
        <v>210</v>
      </c>
      <c r="K138" s="165">
        <v>32.590000000000003</v>
      </c>
    </row>
    <row r="139" spans="1:11" x14ac:dyDescent="0.25">
      <c r="A139" s="165" t="s">
        <v>294</v>
      </c>
      <c r="B139" s="165" t="s">
        <v>328</v>
      </c>
      <c r="C139" s="165" t="s">
        <v>206</v>
      </c>
      <c r="D139" s="165" t="s">
        <v>210</v>
      </c>
      <c r="E139" s="165">
        <v>37.47</v>
      </c>
      <c r="F139" s="165"/>
      <c r="G139" s="165" t="s">
        <v>265</v>
      </c>
      <c r="H139" s="165" t="s">
        <v>328</v>
      </c>
      <c r="I139" s="165" t="s">
        <v>206</v>
      </c>
      <c r="J139" s="165" t="s">
        <v>210</v>
      </c>
      <c r="K139" s="165">
        <v>32.82</v>
      </c>
    </row>
    <row r="140" spans="1:11" x14ac:dyDescent="0.25">
      <c r="A140" s="165" t="s">
        <v>295</v>
      </c>
      <c r="B140" s="165" t="s">
        <v>205</v>
      </c>
      <c r="C140" s="165" t="s">
        <v>206</v>
      </c>
      <c r="D140" s="165" t="s">
        <v>207</v>
      </c>
      <c r="E140" s="165" t="s">
        <v>220</v>
      </c>
      <c r="F140" s="165"/>
      <c r="G140" s="165" t="s">
        <v>266</v>
      </c>
      <c r="H140" s="165" t="s">
        <v>328</v>
      </c>
      <c r="I140" s="165" t="s">
        <v>206</v>
      </c>
      <c r="J140" s="165" t="s">
        <v>210</v>
      </c>
      <c r="K140" s="165">
        <v>31.97</v>
      </c>
    </row>
    <row r="141" spans="1:11" x14ac:dyDescent="0.25">
      <c r="A141" s="165" t="s">
        <v>295</v>
      </c>
      <c r="B141" s="165" t="s">
        <v>328</v>
      </c>
      <c r="C141" s="165" t="s">
        <v>206</v>
      </c>
      <c r="D141" s="165" t="s">
        <v>210</v>
      </c>
      <c r="E141" s="165">
        <v>36.26</v>
      </c>
      <c r="F141" s="165"/>
      <c r="G141" s="165" t="s">
        <v>267</v>
      </c>
      <c r="H141" s="165" t="s">
        <v>328</v>
      </c>
      <c r="I141" s="165" t="s">
        <v>206</v>
      </c>
      <c r="J141" s="165" t="s">
        <v>210</v>
      </c>
      <c r="K141" s="165">
        <v>32.43</v>
      </c>
    </row>
    <row r="142" spans="1:11" x14ac:dyDescent="0.25">
      <c r="A142" s="165" t="s">
        <v>296</v>
      </c>
      <c r="B142" s="165" t="s">
        <v>205</v>
      </c>
      <c r="C142" s="165" t="s">
        <v>206</v>
      </c>
      <c r="D142" s="165" t="s">
        <v>207</v>
      </c>
      <c r="E142" s="165" t="s">
        <v>220</v>
      </c>
      <c r="F142" s="165"/>
      <c r="G142" s="165" t="s">
        <v>268</v>
      </c>
      <c r="H142" s="165" t="s">
        <v>328</v>
      </c>
      <c r="I142" s="165" t="s">
        <v>206</v>
      </c>
      <c r="J142" s="165" t="s">
        <v>210</v>
      </c>
      <c r="K142" s="165">
        <v>32.299999999999997</v>
      </c>
    </row>
    <row r="143" spans="1:11" x14ac:dyDescent="0.25">
      <c r="A143" s="165" t="s">
        <v>296</v>
      </c>
      <c r="B143" s="165" t="s">
        <v>328</v>
      </c>
      <c r="C143" s="165" t="s">
        <v>206</v>
      </c>
      <c r="D143" s="165" t="s">
        <v>210</v>
      </c>
      <c r="E143" s="165">
        <v>36.89</v>
      </c>
      <c r="F143" s="165"/>
      <c r="G143" s="165" t="s">
        <v>270</v>
      </c>
      <c r="H143" s="165" t="s">
        <v>328</v>
      </c>
      <c r="I143" s="165" t="s">
        <v>206</v>
      </c>
      <c r="J143" s="165" t="s">
        <v>210</v>
      </c>
      <c r="K143" s="165">
        <v>32.03</v>
      </c>
    </row>
    <row r="144" spans="1:11" x14ac:dyDescent="0.25">
      <c r="A144" s="165" t="s">
        <v>297</v>
      </c>
      <c r="B144" s="165" t="s">
        <v>205</v>
      </c>
      <c r="C144" s="165" t="s">
        <v>206</v>
      </c>
      <c r="D144" s="165" t="s">
        <v>207</v>
      </c>
      <c r="E144" s="165" t="s">
        <v>220</v>
      </c>
      <c r="F144" s="165"/>
      <c r="G144" s="165" t="s">
        <v>272</v>
      </c>
      <c r="H144" s="165" t="s">
        <v>328</v>
      </c>
      <c r="I144" s="165" t="s">
        <v>206</v>
      </c>
      <c r="J144" s="165" t="s">
        <v>210</v>
      </c>
      <c r="K144" s="165">
        <v>32.619999999999997</v>
      </c>
    </row>
    <row r="145" spans="1:11" x14ac:dyDescent="0.25">
      <c r="A145" s="165" t="s">
        <v>297</v>
      </c>
      <c r="B145" s="165" t="s">
        <v>328</v>
      </c>
      <c r="C145" s="165" t="s">
        <v>206</v>
      </c>
      <c r="D145" s="165" t="s">
        <v>210</v>
      </c>
      <c r="E145" s="165">
        <v>35.33</v>
      </c>
      <c r="F145" s="165"/>
      <c r="G145" s="165" t="s">
        <v>273</v>
      </c>
      <c r="H145" s="165" t="s">
        <v>328</v>
      </c>
      <c r="I145" s="165" t="s">
        <v>206</v>
      </c>
      <c r="J145" s="165" t="s">
        <v>210</v>
      </c>
      <c r="K145" s="165">
        <v>31.5</v>
      </c>
    </row>
    <row r="146" spans="1:11" x14ac:dyDescent="0.25">
      <c r="A146" s="165" t="s">
        <v>298</v>
      </c>
      <c r="B146" s="165" t="s">
        <v>205</v>
      </c>
      <c r="C146" s="165" t="s">
        <v>206</v>
      </c>
      <c r="D146" s="165" t="s">
        <v>207</v>
      </c>
      <c r="E146" s="165" t="s">
        <v>220</v>
      </c>
      <c r="F146" s="165"/>
      <c r="G146" s="165" t="s">
        <v>274</v>
      </c>
      <c r="H146" s="165" t="s">
        <v>328</v>
      </c>
      <c r="I146" s="165" t="s">
        <v>206</v>
      </c>
      <c r="J146" s="165" t="s">
        <v>210</v>
      </c>
      <c r="K146" s="165">
        <v>37.08</v>
      </c>
    </row>
    <row r="147" spans="1:11" x14ac:dyDescent="0.25">
      <c r="A147" s="165" t="s">
        <v>298</v>
      </c>
      <c r="B147" s="165" t="s">
        <v>328</v>
      </c>
      <c r="C147" s="165" t="s">
        <v>206</v>
      </c>
      <c r="D147" s="165" t="s">
        <v>210</v>
      </c>
      <c r="E147" s="165">
        <v>39.950000000000003</v>
      </c>
      <c r="F147" s="165"/>
      <c r="G147" s="165" t="s">
        <v>275</v>
      </c>
      <c r="H147" s="165" t="s">
        <v>328</v>
      </c>
      <c r="I147" s="165" t="s">
        <v>206</v>
      </c>
      <c r="J147" s="165" t="s">
        <v>210</v>
      </c>
      <c r="K147" s="165">
        <v>39.090000000000003</v>
      </c>
    </row>
    <row r="148" spans="1:11" x14ac:dyDescent="0.25">
      <c r="A148" s="165" t="s">
        <v>299</v>
      </c>
      <c r="B148" s="165" t="s">
        <v>205</v>
      </c>
      <c r="C148" s="165" t="s">
        <v>206</v>
      </c>
      <c r="D148" s="165" t="s">
        <v>207</v>
      </c>
      <c r="E148" s="165" t="s">
        <v>220</v>
      </c>
      <c r="F148" s="165"/>
      <c r="G148" s="165" t="s">
        <v>276</v>
      </c>
      <c r="H148" s="165" t="s">
        <v>328</v>
      </c>
      <c r="I148" s="165" t="s">
        <v>206</v>
      </c>
      <c r="J148" s="165" t="s">
        <v>210</v>
      </c>
      <c r="K148" s="165">
        <v>38.5</v>
      </c>
    </row>
    <row r="149" spans="1:11" x14ac:dyDescent="0.25">
      <c r="A149" s="165" t="s">
        <v>299</v>
      </c>
      <c r="B149" s="165" t="s">
        <v>328</v>
      </c>
      <c r="C149" s="165" t="s">
        <v>206</v>
      </c>
      <c r="D149" s="165" t="s">
        <v>210</v>
      </c>
      <c r="E149" s="165">
        <v>39.64</v>
      </c>
      <c r="F149" s="165"/>
      <c r="G149" s="165" t="s">
        <v>277</v>
      </c>
      <c r="H149" s="165" t="s">
        <v>328</v>
      </c>
      <c r="I149" s="165" t="s">
        <v>206</v>
      </c>
      <c r="J149" s="165" t="s">
        <v>210</v>
      </c>
      <c r="K149" s="165">
        <v>35.1</v>
      </c>
    </row>
    <row r="150" spans="1:11" x14ac:dyDescent="0.25">
      <c r="A150" s="165" t="s">
        <v>300</v>
      </c>
      <c r="B150" s="165" t="s">
        <v>205</v>
      </c>
      <c r="C150" s="165" t="s">
        <v>206</v>
      </c>
      <c r="D150" s="165" t="s">
        <v>207</v>
      </c>
      <c r="E150" s="165" t="s">
        <v>220</v>
      </c>
      <c r="F150" s="165"/>
      <c r="G150" s="165" t="s">
        <v>278</v>
      </c>
      <c r="H150" s="165" t="s">
        <v>328</v>
      </c>
      <c r="I150" s="165" t="s">
        <v>206</v>
      </c>
      <c r="J150" s="165" t="s">
        <v>210</v>
      </c>
      <c r="K150" s="165">
        <v>36.200000000000003</v>
      </c>
    </row>
    <row r="151" spans="1:11" x14ac:dyDescent="0.25">
      <c r="A151" s="165" t="s">
        <v>300</v>
      </c>
      <c r="B151" s="165" t="s">
        <v>328</v>
      </c>
      <c r="C151" s="165" t="s">
        <v>206</v>
      </c>
      <c r="D151" s="165" t="s">
        <v>210</v>
      </c>
      <c r="E151" s="165">
        <v>40.83</v>
      </c>
      <c r="F151" s="165"/>
      <c r="G151" s="165" t="s">
        <v>279</v>
      </c>
      <c r="H151" s="165" t="s">
        <v>328</v>
      </c>
      <c r="I151" s="165" t="s">
        <v>206</v>
      </c>
      <c r="J151" s="165" t="s">
        <v>210</v>
      </c>
      <c r="K151" s="165">
        <v>35.89</v>
      </c>
    </row>
    <row r="152" spans="1:11" x14ac:dyDescent="0.25">
      <c r="A152" s="165" t="s">
        <v>301</v>
      </c>
      <c r="B152" s="165" t="s">
        <v>205</v>
      </c>
      <c r="C152" s="165" t="s">
        <v>206</v>
      </c>
      <c r="D152" s="165" t="s">
        <v>207</v>
      </c>
      <c r="E152" s="165">
        <v>31.92</v>
      </c>
      <c r="F152" s="165"/>
      <c r="G152" s="165" t="s">
        <v>280</v>
      </c>
      <c r="H152" s="165" t="s">
        <v>328</v>
      </c>
      <c r="I152" s="165" t="s">
        <v>206</v>
      </c>
      <c r="J152" s="165" t="s">
        <v>210</v>
      </c>
      <c r="K152" s="165">
        <v>36.67</v>
      </c>
    </row>
    <row r="153" spans="1:11" x14ac:dyDescent="0.25">
      <c r="A153" s="165" t="s">
        <v>301</v>
      </c>
      <c r="B153" s="165" t="s">
        <v>328</v>
      </c>
      <c r="C153" s="165" t="s">
        <v>206</v>
      </c>
      <c r="D153" s="165" t="s">
        <v>210</v>
      </c>
      <c r="E153" s="165">
        <v>39.770000000000003</v>
      </c>
      <c r="F153" s="165"/>
      <c r="G153" s="165" t="s">
        <v>281</v>
      </c>
      <c r="H153" s="165" t="s">
        <v>328</v>
      </c>
      <c r="I153" s="165" t="s">
        <v>206</v>
      </c>
      <c r="J153" s="165" t="s">
        <v>210</v>
      </c>
      <c r="K153" s="165">
        <v>35.65</v>
      </c>
    </row>
    <row r="154" spans="1:11" x14ac:dyDescent="0.25">
      <c r="A154" s="165" t="s">
        <v>302</v>
      </c>
      <c r="B154" s="165" t="s">
        <v>205</v>
      </c>
      <c r="C154" s="165" t="s">
        <v>206</v>
      </c>
      <c r="D154" s="165" t="s">
        <v>207</v>
      </c>
      <c r="E154" s="165">
        <v>32.049999999999997</v>
      </c>
      <c r="F154" s="165"/>
      <c r="G154" s="165" t="s">
        <v>282</v>
      </c>
      <c r="H154" s="165" t="s">
        <v>328</v>
      </c>
      <c r="I154" s="165" t="s">
        <v>206</v>
      </c>
      <c r="J154" s="165" t="s">
        <v>210</v>
      </c>
      <c r="K154" s="165">
        <v>36.049999999999997</v>
      </c>
    </row>
    <row r="155" spans="1:11" x14ac:dyDescent="0.25">
      <c r="A155" s="165" t="s">
        <v>302</v>
      </c>
      <c r="B155" s="165" t="s">
        <v>328</v>
      </c>
      <c r="C155" s="165" t="s">
        <v>206</v>
      </c>
      <c r="D155" s="165" t="s">
        <v>210</v>
      </c>
      <c r="E155" s="165">
        <v>43.05</v>
      </c>
      <c r="F155" s="165"/>
      <c r="G155" s="165" t="s">
        <v>283</v>
      </c>
      <c r="H155" s="165" t="s">
        <v>328</v>
      </c>
      <c r="I155" s="165" t="s">
        <v>206</v>
      </c>
      <c r="J155" s="165" t="s">
        <v>210</v>
      </c>
      <c r="K155" s="165">
        <v>36.07</v>
      </c>
    </row>
    <row r="156" spans="1:11" x14ac:dyDescent="0.25">
      <c r="A156" s="165" t="s">
        <v>303</v>
      </c>
      <c r="B156" s="165" t="s">
        <v>205</v>
      </c>
      <c r="C156" s="165" t="s">
        <v>206</v>
      </c>
      <c r="D156" s="165" t="s">
        <v>207</v>
      </c>
      <c r="E156" s="165">
        <v>31.59</v>
      </c>
      <c r="F156" s="165"/>
      <c r="G156" s="165" t="s">
        <v>284</v>
      </c>
      <c r="H156" s="165" t="s">
        <v>328</v>
      </c>
      <c r="I156" s="165" t="s">
        <v>206</v>
      </c>
      <c r="J156" s="165" t="s">
        <v>210</v>
      </c>
      <c r="K156" s="165">
        <v>36.18</v>
      </c>
    </row>
    <row r="157" spans="1:11" x14ac:dyDescent="0.25">
      <c r="A157" s="165" t="s">
        <v>303</v>
      </c>
      <c r="B157" s="165" t="s">
        <v>328</v>
      </c>
      <c r="C157" s="165" t="s">
        <v>206</v>
      </c>
      <c r="D157" s="165" t="s">
        <v>210</v>
      </c>
      <c r="E157" s="165">
        <v>41.58</v>
      </c>
      <c r="F157" s="165"/>
      <c r="G157" s="165" t="s">
        <v>285</v>
      </c>
      <c r="H157" s="165" t="s">
        <v>328</v>
      </c>
      <c r="I157" s="165" t="s">
        <v>206</v>
      </c>
      <c r="J157" s="165" t="s">
        <v>210</v>
      </c>
      <c r="K157" s="165">
        <v>36.31</v>
      </c>
    </row>
    <row r="158" spans="1:11" x14ac:dyDescent="0.25">
      <c r="A158" s="165" t="s">
        <v>304</v>
      </c>
      <c r="B158" s="165" t="s">
        <v>205</v>
      </c>
      <c r="C158" s="165" t="s">
        <v>206</v>
      </c>
      <c r="D158" s="165" t="s">
        <v>207</v>
      </c>
      <c r="E158" s="165">
        <v>38.67</v>
      </c>
      <c r="F158" s="165"/>
      <c r="G158" s="165" t="s">
        <v>286</v>
      </c>
      <c r="H158" s="165" t="s">
        <v>328</v>
      </c>
      <c r="I158" s="165" t="s">
        <v>206</v>
      </c>
      <c r="J158" s="165" t="s">
        <v>210</v>
      </c>
      <c r="K158" s="165">
        <v>36.1</v>
      </c>
    </row>
    <row r="159" spans="1:11" x14ac:dyDescent="0.25">
      <c r="A159" s="165" t="s">
        <v>304</v>
      </c>
      <c r="B159" s="165" t="s">
        <v>328</v>
      </c>
      <c r="C159" s="165" t="s">
        <v>206</v>
      </c>
      <c r="D159" s="165" t="s">
        <v>210</v>
      </c>
      <c r="E159" s="165">
        <v>40.229999999999997</v>
      </c>
      <c r="F159" s="165"/>
      <c r="G159" s="165" t="s">
        <v>287</v>
      </c>
      <c r="H159" s="165" t="s">
        <v>328</v>
      </c>
      <c r="I159" s="165" t="s">
        <v>206</v>
      </c>
      <c r="J159" s="165" t="s">
        <v>210</v>
      </c>
      <c r="K159" s="165">
        <v>36.25</v>
      </c>
    </row>
    <row r="160" spans="1:11" x14ac:dyDescent="0.25">
      <c r="A160" s="165" t="s">
        <v>305</v>
      </c>
      <c r="B160" s="165" t="s">
        <v>205</v>
      </c>
      <c r="C160" s="165" t="s">
        <v>206</v>
      </c>
      <c r="D160" s="165" t="s">
        <v>207</v>
      </c>
      <c r="E160" s="165">
        <v>37.83</v>
      </c>
      <c r="F160" s="165"/>
      <c r="G160" s="165" t="s">
        <v>288</v>
      </c>
      <c r="H160" s="165" t="s">
        <v>328</v>
      </c>
      <c r="I160" s="165" t="s">
        <v>206</v>
      </c>
      <c r="J160" s="165" t="s">
        <v>210</v>
      </c>
      <c r="K160" s="165">
        <v>36.64</v>
      </c>
    </row>
    <row r="161" spans="1:11" x14ac:dyDescent="0.25">
      <c r="A161" s="165" t="s">
        <v>305</v>
      </c>
      <c r="B161" s="165" t="s">
        <v>328</v>
      </c>
      <c r="C161" s="165" t="s">
        <v>206</v>
      </c>
      <c r="D161" s="165" t="s">
        <v>210</v>
      </c>
      <c r="E161" s="165">
        <v>43.02</v>
      </c>
      <c r="F161" s="165"/>
      <c r="G161" s="165" t="s">
        <v>289</v>
      </c>
      <c r="H161" s="165" t="s">
        <v>328</v>
      </c>
      <c r="I161" s="165" t="s">
        <v>206</v>
      </c>
      <c r="J161" s="165" t="s">
        <v>210</v>
      </c>
      <c r="K161" s="165">
        <v>36.47</v>
      </c>
    </row>
    <row r="162" spans="1:11" x14ac:dyDescent="0.25">
      <c r="A162" s="165" t="s">
        <v>306</v>
      </c>
      <c r="B162" s="165" t="s">
        <v>205</v>
      </c>
      <c r="C162" s="165" t="s">
        <v>206</v>
      </c>
      <c r="D162" s="165" t="s">
        <v>207</v>
      </c>
      <c r="E162" s="165">
        <v>37.770000000000003</v>
      </c>
      <c r="F162" s="165"/>
      <c r="G162" s="165" t="s">
        <v>290</v>
      </c>
      <c r="H162" s="165" t="s">
        <v>328</v>
      </c>
      <c r="I162" s="165" t="s">
        <v>206</v>
      </c>
      <c r="J162" s="165" t="s">
        <v>210</v>
      </c>
      <c r="K162" s="165">
        <v>36.340000000000003</v>
      </c>
    </row>
    <row r="163" spans="1:11" x14ac:dyDescent="0.25">
      <c r="A163" s="165" t="s">
        <v>306</v>
      </c>
      <c r="B163" s="165" t="s">
        <v>328</v>
      </c>
      <c r="C163" s="165" t="s">
        <v>206</v>
      </c>
      <c r="D163" s="165" t="s">
        <v>210</v>
      </c>
      <c r="E163" s="165">
        <v>42.54</v>
      </c>
      <c r="F163" s="165"/>
      <c r="G163" s="165" t="s">
        <v>291</v>
      </c>
      <c r="H163" s="165" t="s">
        <v>328</v>
      </c>
      <c r="I163" s="165" t="s">
        <v>206</v>
      </c>
      <c r="J163" s="165" t="s">
        <v>210</v>
      </c>
      <c r="K163" s="165">
        <v>35.450000000000003</v>
      </c>
    </row>
    <row r="164" spans="1:11" x14ac:dyDescent="0.25">
      <c r="A164" s="165" t="s">
        <v>307</v>
      </c>
      <c r="B164" s="165" t="s">
        <v>205</v>
      </c>
      <c r="C164" s="165" t="s">
        <v>206</v>
      </c>
      <c r="D164" s="165" t="s">
        <v>207</v>
      </c>
      <c r="E164" s="165">
        <v>44.78</v>
      </c>
      <c r="F164" s="165"/>
      <c r="G164" s="165" t="s">
        <v>292</v>
      </c>
      <c r="H164" s="165" t="s">
        <v>328</v>
      </c>
      <c r="I164" s="165" t="s">
        <v>206</v>
      </c>
      <c r="J164" s="165" t="s">
        <v>210</v>
      </c>
      <c r="K164" s="165">
        <v>36.590000000000003</v>
      </c>
    </row>
    <row r="165" spans="1:11" x14ac:dyDescent="0.25">
      <c r="A165" s="165" t="s">
        <v>307</v>
      </c>
      <c r="B165" s="165" t="s">
        <v>328</v>
      </c>
      <c r="C165" s="165" t="s">
        <v>206</v>
      </c>
      <c r="D165" s="165" t="s">
        <v>210</v>
      </c>
      <c r="E165" s="165" t="s">
        <v>220</v>
      </c>
      <c r="F165" s="165"/>
      <c r="G165" s="165" t="s">
        <v>293</v>
      </c>
      <c r="H165" s="165" t="s">
        <v>328</v>
      </c>
      <c r="I165" s="165" t="s">
        <v>206</v>
      </c>
      <c r="J165" s="165" t="s">
        <v>210</v>
      </c>
      <c r="K165" s="165">
        <v>35.909999999999997</v>
      </c>
    </row>
    <row r="166" spans="1:11" x14ac:dyDescent="0.25">
      <c r="A166" s="165" t="s">
        <v>308</v>
      </c>
      <c r="B166" s="165" t="s">
        <v>205</v>
      </c>
      <c r="C166" s="165" t="s">
        <v>206</v>
      </c>
      <c r="D166" s="165" t="s">
        <v>207</v>
      </c>
      <c r="E166" s="165" t="s">
        <v>220</v>
      </c>
      <c r="F166" s="165"/>
      <c r="G166" s="165" t="s">
        <v>294</v>
      </c>
      <c r="H166" s="165" t="s">
        <v>328</v>
      </c>
      <c r="I166" s="165" t="s">
        <v>206</v>
      </c>
      <c r="J166" s="165" t="s">
        <v>210</v>
      </c>
      <c r="K166" s="165">
        <v>37.47</v>
      </c>
    </row>
    <row r="167" spans="1:11" x14ac:dyDescent="0.25">
      <c r="A167" s="165" t="s">
        <v>308</v>
      </c>
      <c r="B167" s="165" t="s">
        <v>328</v>
      </c>
      <c r="C167" s="165" t="s">
        <v>206</v>
      </c>
      <c r="D167" s="165" t="s">
        <v>210</v>
      </c>
      <c r="E167" s="165">
        <v>42.23</v>
      </c>
      <c r="F167" s="165"/>
      <c r="G167" s="165" t="s">
        <v>295</v>
      </c>
      <c r="H167" s="165" t="s">
        <v>328</v>
      </c>
      <c r="I167" s="165" t="s">
        <v>206</v>
      </c>
      <c r="J167" s="165" t="s">
        <v>210</v>
      </c>
      <c r="K167" s="165">
        <v>36.26</v>
      </c>
    </row>
    <row r="168" spans="1:11" x14ac:dyDescent="0.25">
      <c r="A168" s="165" t="s">
        <v>309</v>
      </c>
      <c r="B168" s="165" t="s">
        <v>205</v>
      </c>
      <c r="C168" s="165" t="s">
        <v>206</v>
      </c>
      <c r="D168" s="165" t="s">
        <v>207</v>
      </c>
      <c r="E168" s="165">
        <v>41.93</v>
      </c>
      <c r="F168" s="165"/>
      <c r="G168" s="165" t="s">
        <v>296</v>
      </c>
      <c r="H168" s="165" t="s">
        <v>328</v>
      </c>
      <c r="I168" s="165" t="s">
        <v>206</v>
      </c>
      <c r="J168" s="165" t="s">
        <v>210</v>
      </c>
      <c r="K168" s="165">
        <v>36.89</v>
      </c>
    </row>
    <row r="169" spans="1:11" x14ac:dyDescent="0.25">
      <c r="A169" s="165" t="s">
        <v>309</v>
      </c>
      <c r="B169" s="165" t="s">
        <v>328</v>
      </c>
      <c r="C169" s="165" t="s">
        <v>206</v>
      </c>
      <c r="D169" s="165" t="s">
        <v>210</v>
      </c>
      <c r="E169" s="165">
        <v>41.12</v>
      </c>
      <c r="F169" s="165"/>
      <c r="G169" s="165" t="s">
        <v>297</v>
      </c>
      <c r="H169" s="165" t="s">
        <v>328</v>
      </c>
      <c r="I169" s="165" t="s">
        <v>206</v>
      </c>
      <c r="J169" s="165" t="s">
        <v>210</v>
      </c>
      <c r="K169" s="165">
        <v>35.33</v>
      </c>
    </row>
    <row r="170" spans="1:11" x14ac:dyDescent="0.25">
      <c r="A170" s="165" t="s">
        <v>310</v>
      </c>
      <c r="B170" s="165" t="s">
        <v>205</v>
      </c>
      <c r="C170" s="165" t="s">
        <v>206</v>
      </c>
      <c r="D170" s="165" t="s">
        <v>207</v>
      </c>
      <c r="E170" s="165" t="s">
        <v>220</v>
      </c>
      <c r="F170" s="165"/>
      <c r="G170" s="165" t="s">
        <v>298</v>
      </c>
      <c r="H170" s="165" t="s">
        <v>328</v>
      </c>
      <c r="I170" s="165" t="s">
        <v>206</v>
      </c>
      <c r="J170" s="165" t="s">
        <v>210</v>
      </c>
      <c r="K170" s="165">
        <v>39.950000000000003</v>
      </c>
    </row>
    <row r="171" spans="1:11" x14ac:dyDescent="0.25">
      <c r="A171" s="165" t="s">
        <v>310</v>
      </c>
      <c r="B171" s="165" t="s">
        <v>328</v>
      </c>
      <c r="C171" s="165" t="s">
        <v>206</v>
      </c>
      <c r="D171" s="165" t="s">
        <v>210</v>
      </c>
      <c r="E171" s="165">
        <v>41.16</v>
      </c>
      <c r="F171" s="165"/>
      <c r="G171" s="165" t="s">
        <v>299</v>
      </c>
      <c r="H171" s="165" t="s">
        <v>328</v>
      </c>
      <c r="I171" s="165" t="s">
        <v>206</v>
      </c>
      <c r="J171" s="165" t="s">
        <v>210</v>
      </c>
      <c r="K171" s="165">
        <v>39.64</v>
      </c>
    </row>
    <row r="172" spans="1:11" x14ac:dyDescent="0.25">
      <c r="A172" s="165" t="s">
        <v>311</v>
      </c>
      <c r="B172" s="165" t="s">
        <v>205</v>
      </c>
      <c r="C172" s="165" t="s">
        <v>206</v>
      </c>
      <c r="D172" s="165" t="s">
        <v>207</v>
      </c>
      <c r="E172" s="165" t="s">
        <v>220</v>
      </c>
      <c r="F172" s="165"/>
      <c r="G172" s="165" t="s">
        <v>300</v>
      </c>
      <c r="H172" s="165" t="s">
        <v>328</v>
      </c>
      <c r="I172" s="165" t="s">
        <v>206</v>
      </c>
      <c r="J172" s="165" t="s">
        <v>210</v>
      </c>
      <c r="K172" s="165">
        <v>40.83</v>
      </c>
    </row>
    <row r="173" spans="1:11" x14ac:dyDescent="0.25">
      <c r="A173" s="165" t="s">
        <v>311</v>
      </c>
      <c r="B173" s="165" t="s">
        <v>328</v>
      </c>
      <c r="C173" s="165" t="s">
        <v>206</v>
      </c>
      <c r="D173" s="165" t="s">
        <v>210</v>
      </c>
      <c r="E173" s="165">
        <v>39.6</v>
      </c>
      <c r="F173" s="165"/>
      <c r="G173" s="165" t="s">
        <v>301</v>
      </c>
      <c r="H173" s="165" t="s">
        <v>328</v>
      </c>
      <c r="I173" s="165" t="s">
        <v>206</v>
      </c>
      <c r="J173" s="165" t="s">
        <v>210</v>
      </c>
      <c r="K173" s="165">
        <v>39.770000000000003</v>
      </c>
    </row>
    <row r="174" spans="1:11" x14ac:dyDescent="0.25">
      <c r="A174" s="165" t="s">
        <v>312</v>
      </c>
      <c r="B174" s="165" t="s">
        <v>205</v>
      </c>
      <c r="C174" s="165" t="s">
        <v>206</v>
      </c>
      <c r="D174" s="165" t="s">
        <v>207</v>
      </c>
      <c r="E174" s="165" t="s">
        <v>220</v>
      </c>
      <c r="F174" s="165"/>
      <c r="G174" s="165" t="s">
        <v>302</v>
      </c>
      <c r="H174" s="165" t="s">
        <v>328</v>
      </c>
      <c r="I174" s="165" t="s">
        <v>206</v>
      </c>
      <c r="J174" s="165" t="s">
        <v>210</v>
      </c>
      <c r="K174" s="165">
        <v>43.05</v>
      </c>
    </row>
    <row r="175" spans="1:11" x14ac:dyDescent="0.25">
      <c r="A175" s="165" t="s">
        <v>312</v>
      </c>
      <c r="B175" s="165" t="s">
        <v>328</v>
      </c>
      <c r="C175" s="165" t="s">
        <v>206</v>
      </c>
      <c r="D175" s="165" t="s">
        <v>210</v>
      </c>
      <c r="E175" s="165" t="s">
        <v>220</v>
      </c>
      <c r="F175" s="165"/>
      <c r="G175" s="165" t="s">
        <v>303</v>
      </c>
      <c r="H175" s="165" t="s">
        <v>328</v>
      </c>
      <c r="I175" s="165" t="s">
        <v>206</v>
      </c>
      <c r="J175" s="165" t="s">
        <v>210</v>
      </c>
      <c r="K175" s="165">
        <v>41.58</v>
      </c>
    </row>
    <row r="176" spans="1:11" x14ac:dyDescent="0.25">
      <c r="A176" s="165" t="s">
        <v>313</v>
      </c>
      <c r="B176" s="165" t="s">
        <v>205</v>
      </c>
      <c r="C176" s="165" t="s">
        <v>206</v>
      </c>
      <c r="D176" s="165" t="s">
        <v>207</v>
      </c>
      <c r="E176" s="165" t="s">
        <v>220</v>
      </c>
      <c r="F176" s="165"/>
      <c r="G176" s="165" t="s">
        <v>304</v>
      </c>
      <c r="H176" s="165" t="s">
        <v>328</v>
      </c>
      <c r="I176" s="165" t="s">
        <v>206</v>
      </c>
      <c r="J176" s="165" t="s">
        <v>210</v>
      </c>
      <c r="K176" s="165">
        <v>40.229999999999997</v>
      </c>
    </row>
    <row r="177" spans="1:11" x14ac:dyDescent="0.25">
      <c r="A177" s="165" t="s">
        <v>313</v>
      </c>
      <c r="B177" s="165" t="s">
        <v>328</v>
      </c>
      <c r="C177" s="165" t="s">
        <v>206</v>
      </c>
      <c r="D177" s="165" t="s">
        <v>210</v>
      </c>
      <c r="E177" s="165" t="s">
        <v>220</v>
      </c>
      <c r="F177" s="165"/>
      <c r="G177" s="165" t="s">
        <v>305</v>
      </c>
      <c r="H177" s="165" t="s">
        <v>328</v>
      </c>
      <c r="I177" s="165" t="s">
        <v>206</v>
      </c>
      <c r="J177" s="165" t="s">
        <v>210</v>
      </c>
      <c r="K177" s="165">
        <v>43.02</v>
      </c>
    </row>
    <row r="178" spans="1:11" x14ac:dyDescent="0.25">
      <c r="A178" s="165" t="s">
        <v>314</v>
      </c>
      <c r="B178" s="165" t="s">
        <v>205</v>
      </c>
      <c r="C178" s="165" t="s">
        <v>206</v>
      </c>
      <c r="D178" s="165" t="s">
        <v>207</v>
      </c>
      <c r="E178" s="165" t="s">
        <v>220</v>
      </c>
      <c r="F178" s="165"/>
      <c r="G178" s="165" t="s">
        <v>306</v>
      </c>
      <c r="H178" s="165" t="s">
        <v>328</v>
      </c>
      <c r="I178" s="165" t="s">
        <v>206</v>
      </c>
      <c r="J178" s="165" t="s">
        <v>210</v>
      </c>
      <c r="K178" s="165">
        <v>42.54</v>
      </c>
    </row>
    <row r="179" spans="1:11" x14ac:dyDescent="0.25">
      <c r="A179" s="165" t="s">
        <v>314</v>
      </c>
      <c r="B179" s="165" t="s">
        <v>328</v>
      </c>
      <c r="C179" s="165" t="s">
        <v>206</v>
      </c>
      <c r="D179" s="165" t="s">
        <v>210</v>
      </c>
      <c r="E179" s="165" t="s">
        <v>220</v>
      </c>
      <c r="F179" s="165"/>
      <c r="G179" s="165" t="s">
        <v>307</v>
      </c>
      <c r="H179" s="165" t="s">
        <v>328</v>
      </c>
      <c r="I179" s="165" t="s">
        <v>206</v>
      </c>
      <c r="J179" s="165" t="s">
        <v>210</v>
      </c>
      <c r="K179" s="165" t="s">
        <v>220</v>
      </c>
    </row>
    <row r="180" spans="1:11" x14ac:dyDescent="0.25">
      <c r="A180" s="165" t="s">
        <v>315</v>
      </c>
      <c r="B180" s="165" t="s">
        <v>205</v>
      </c>
      <c r="C180" s="165" t="s">
        <v>206</v>
      </c>
      <c r="D180" s="165" t="s">
        <v>207</v>
      </c>
      <c r="E180" s="165" t="s">
        <v>220</v>
      </c>
      <c r="F180" s="165"/>
      <c r="G180" s="165" t="s">
        <v>308</v>
      </c>
      <c r="H180" s="165" t="s">
        <v>328</v>
      </c>
      <c r="I180" s="165" t="s">
        <v>206</v>
      </c>
      <c r="J180" s="165" t="s">
        <v>210</v>
      </c>
      <c r="K180" s="165">
        <v>42.23</v>
      </c>
    </row>
    <row r="181" spans="1:11" x14ac:dyDescent="0.25">
      <c r="A181" s="165" t="s">
        <v>315</v>
      </c>
      <c r="B181" s="165" t="s">
        <v>328</v>
      </c>
      <c r="C181" s="165" t="s">
        <v>206</v>
      </c>
      <c r="D181" s="165" t="s">
        <v>210</v>
      </c>
      <c r="E181" s="165">
        <v>41.5</v>
      </c>
      <c r="F181" s="165"/>
      <c r="G181" s="165" t="s">
        <v>309</v>
      </c>
      <c r="H181" s="165" t="s">
        <v>328</v>
      </c>
      <c r="I181" s="165" t="s">
        <v>206</v>
      </c>
      <c r="J181" s="165" t="s">
        <v>210</v>
      </c>
      <c r="K181" s="165">
        <v>41.12</v>
      </c>
    </row>
    <row r="182" spans="1:11" x14ac:dyDescent="0.25">
      <c r="A182" s="165" t="s">
        <v>316</v>
      </c>
      <c r="B182" s="165" t="s">
        <v>205</v>
      </c>
      <c r="C182" s="165" t="s">
        <v>206</v>
      </c>
      <c r="D182" s="165" t="s">
        <v>207</v>
      </c>
      <c r="E182" s="165" t="s">
        <v>220</v>
      </c>
      <c r="F182" s="165"/>
      <c r="G182" s="165" t="s">
        <v>310</v>
      </c>
      <c r="H182" s="165" t="s">
        <v>328</v>
      </c>
      <c r="I182" s="165" t="s">
        <v>206</v>
      </c>
      <c r="J182" s="165" t="s">
        <v>210</v>
      </c>
      <c r="K182" s="165">
        <v>41.16</v>
      </c>
    </row>
    <row r="183" spans="1:11" x14ac:dyDescent="0.25">
      <c r="A183" s="165" t="s">
        <v>316</v>
      </c>
      <c r="B183" s="165" t="s">
        <v>328</v>
      </c>
      <c r="C183" s="165" t="s">
        <v>206</v>
      </c>
      <c r="D183" s="165" t="s">
        <v>210</v>
      </c>
      <c r="E183" s="165">
        <v>41.38</v>
      </c>
      <c r="F183" s="165"/>
      <c r="G183" s="165" t="s">
        <v>311</v>
      </c>
      <c r="H183" s="165" t="s">
        <v>328</v>
      </c>
      <c r="I183" s="165" t="s">
        <v>206</v>
      </c>
      <c r="J183" s="165" t="s">
        <v>210</v>
      </c>
      <c r="K183" s="165">
        <v>39.6</v>
      </c>
    </row>
    <row r="184" spans="1:11" x14ac:dyDescent="0.25">
      <c r="A184" s="165" t="s">
        <v>317</v>
      </c>
      <c r="B184" s="165" t="s">
        <v>205</v>
      </c>
      <c r="C184" s="165" t="s">
        <v>206</v>
      </c>
      <c r="D184" s="165" t="s">
        <v>207</v>
      </c>
      <c r="E184" s="165" t="s">
        <v>220</v>
      </c>
      <c r="F184" s="165"/>
      <c r="G184" s="165" t="s">
        <v>312</v>
      </c>
      <c r="H184" s="165" t="s">
        <v>328</v>
      </c>
      <c r="I184" s="165" t="s">
        <v>206</v>
      </c>
      <c r="J184" s="165" t="s">
        <v>210</v>
      </c>
      <c r="K184" s="165" t="s">
        <v>220</v>
      </c>
    </row>
    <row r="185" spans="1:11" x14ac:dyDescent="0.25">
      <c r="A185" s="165" t="s">
        <v>317</v>
      </c>
      <c r="B185" s="165" t="s">
        <v>328</v>
      </c>
      <c r="C185" s="165" t="s">
        <v>206</v>
      </c>
      <c r="D185" s="165" t="s">
        <v>210</v>
      </c>
      <c r="E185" s="165">
        <v>41.02</v>
      </c>
      <c r="F185" s="165"/>
      <c r="G185" s="165" t="s">
        <v>313</v>
      </c>
      <c r="H185" s="165" t="s">
        <v>328</v>
      </c>
      <c r="I185" s="165" t="s">
        <v>206</v>
      </c>
      <c r="J185" s="165" t="s">
        <v>210</v>
      </c>
      <c r="K185" s="165" t="s">
        <v>220</v>
      </c>
    </row>
    <row r="186" spans="1:11" x14ac:dyDescent="0.25">
      <c r="A186" s="165" t="s">
        <v>318</v>
      </c>
      <c r="B186" s="165" t="s">
        <v>205</v>
      </c>
      <c r="C186" s="165" t="s">
        <v>206</v>
      </c>
      <c r="D186" s="165" t="s">
        <v>207</v>
      </c>
      <c r="E186" s="165" t="s">
        <v>220</v>
      </c>
      <c r="F186" s="165"/>
      <c r="G186" s="165" t="s">
        <v>314</v>
      </c>
      <c r="H186" s="165" t="s">
        <v>328</v>
      </c>
      <c r="I186" s="165" t="s">
        <v>206</v>
      </c>
      <c r="J186" s="165" t="s">
        <v>210</v>
      </c>
      <c r="K186" s="165" t="s">
        <v>220</v>
      </c>
    </row>
    <row r="187" spans="1:11" x14ac:dyDescent="0.25">
      <c r="A187" s="165" t="s">
        <v>318</v>
      </c>
      <c r="B187" s="165" t="s">
        <v>328</v>
      </c>
      <c r="C187" s="165" t="s">
        <v>206</v>
      </c>
      <c r="D187" s="165" t="s">
        <v>210</v>
      </c>
      <c r="E187" s="165">
        <v>41.84</v>
      </c>
      <c r="F187" s="165"/>
      <c r="G187" s="165" t="s">
        <v>315</v>
      </c>
      <c r="H187" s="165" t="s">
        <v>328</v>
      </c>
      <c r="I187" s="165" t="s">
        <v>206</v>
      </c>
      <c r="J187" s="165" t="s">
        <v>210</v>
      </c>
      <c r="K187" s="165">
        <v>41.5</v>
      </c>
    </row>
    <row r="188" spans="1:11" x14ac:dyDescent="0.25">
      <c r="A188" s="165" t="s">
        <v>319</v>
      </c>
      <c r="B188" s="165" t="s">
        <v>205</v>
      </c>
      <c r="C188" s="165" t="s">
        <v>206</v>
      </c>
      <c r="D188" s="165" t="s">
        <v>207</v>
      </c>
      <c r="E188" s="165" t="s">
        <v>220</v>
      </c>
      <c r="F188" s="165"/>
      <c r="G188" s="165" t="s">
        <v>316</v>
      </c>
      <c r="H188" s="165" t="s">
        <v>328</v>
      </c>
      <c r="I188" s="165" t="s">
        <v>206</v>
      </c>
      <c r="J188" s="165" t="s">
        <v>210</v>
      </c>
      <c r="K188" s="165">
        <v>41.38</v>
      </c>
    </row>
    <row r="189" spans="1:11" x14ac:dyDescent="0.25">
      <c r="A189" s="165" t="s">
        <v>319</v>
      </c>
      <c r="B189" s="165" t="s">
        <v>328</v>
      </c>
      <c r="C189" s="165" t="s">
        <v>206</v>
      </c>
      <c r="D189" s="165" t="s">
        <v>210</v>
      </c>
      <c r="E189" s="165">
        <v>41.43</v>
      </c>
      <c r="F189" s="165"/>
      <c r="G189" s="165" t="s">
        <v>317</v>
      </c>
      <c r="H189" s="165" t="s">
        <v>328</v>
      </c>
      <c r="I189" s="165" t="s">
        <v>206</v>
      </c>
      <c r="J189" s="165" t="s">
        <v>210</v>
      </c>
      <c r="K189" s="165">
        <v>41.02</v>
      </c>
    </row>
    <row r="190" spans="1:11" x14ac:dyDescent="0.25">
      <c r="A190" s="165" t="s">
        <v>321</v>
      </c>
      <c r="B190" s="165" t="s">
        <v>205</v>
      </c>
      <c r="C190" s="165" t="s">
        <v>206</v>
      </c>
      <c r="D190" s="165" t="s">
        <v>207</v>
      </c>
      <c r="E190" s="165" t="s">
        <v>220</v>
      </c>
      <c r="F190" s="165"/>
      <c r="G190" s="165" t="s">
        <v>318</v>
      </c>
      <c r="H190" s="165" t="s">
        <v>328</v>
      </c>
      <c r="I190" s="165" t="s">
        <v>206</v>
      </c>
      <c r="J190" s="165" t="s">
        <v>210</v>
      </c>
      <c r="K190" s="165">
        <v>41.84</v>
      </c>
    </row>
    <row r="191" spans="1:11" x14ac:dyDescent="0.25">
      <c r="A191" s="165" t="s">
        <v>321</v>
      </c>
      <c r="B191" s="165" t="s">
        <v>328</v>
      </c>
      <c r="C191" s="165" t="s">
        <v>206</v>
      </c>
      <c r="D191" s="165" t="s">
        <v>210</v>
      </c>
      <c r="E191" s="165">
        <v>40.799999999999997</v>
      </c>
      <c r="F191" s="165"/>
      <c r="G191" s="165" t="s">
        <v>319</v>
      </c>
      <c r="H191" s="165" t="s">
        <v>328</v>
      </c>
      <c r="I191" s="165" t="s">
        <v>206</v>
      </c>
      <c r="J191" s="165" t="s">
        <v>210</v>
      </c>
      <c r="K191" s="165">
        <v>41.43</v>
      </c>
    </row>
    <row r="192" spans="1:11" x14ac:dyDescent="0.25">
      <c r="A192" s="165" t="s">
        <v>322</v>
      </c>
      <c r="B192" s="165" t="s">
        <v>205</v>
      </c>
      <c r="C192" s="165" t="s">
        <v>206</v>
      </c>
      <c r="D192" s="165" t="s">
        <v>207</v>
      </c>
      <c r="E192" s="165" t="s">
        <v>220</v>
      </c>
      <c r="F192" s="165"/>
      <c r="G192" s="165" t="s">
        <v>321</v>
      </c>
      <c r="H192" s="165" t="s">
        <v>328</v>
      </c>
      <c r="I192" s="165" t="s">
        <v>206</v>
      </c>
      <c r="J192" s="165" t="s">
        <v>210</v>
      </c>
      <c r="K192" s="165">
        <v>40.799999999999997</v>
      </c>
    </row>
    <row r="193" spans="1:11" x14ac:dyDescent="0.25">
      <c r="A193" s="165" t="s">
        <v>322</v>
      </c>
      <c r="B193" s="165" t="s">
        <v>328</v>
      </c>
      <c r="C193" s="165" t="s">
        <v>206</v>
      </c>
      <c r="D193" s="165" t="s">
        <v>210</v>
      </c>
      <c r="E193" s="165">
        <v>41.83</v>
      </c>
      <c r="F193" s="165"/>
      <c r="G193" s="165" t="s">
        <v>322</v>
      </c>
      <c r="H193" s="165" t="s">
        <v>328</v>
      </c>
      <c r="I193" s="165" t="s">
        <v>206</v>
      </c>
      <c r="J193" s="165" t="s">
        <v>210</v>
      </c>
      <c r="K193" s="165">
        <v>41.83</v>
      </c>
    </row>
  </sheetData>
  <sortState xmlns:xlrd2="http://schemas.microsoft.com/office/spreadsheetml/2017/richdata2" ref="G2:K193">
    <sortCondition ref="H2:H193"/>
    <sortCondition ref="G2:G193"/>
  </sortState>
  <mergeCells count="4">
    <mergeCell ref="T1:V1"/>
    <mergeCell ref="W1:Y1"/>
    <mergeCell ref="Z1:AB1"/>
    <mergeCell ref="AC1:AE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F2C3E-7ABA-4C9C-8CBD-D50AB76A7BC7}">
  <sheetPr codeName="Sheet7">
    <pageSetUpPr fitToPage="1"/>
  </sheetPr>
  <dimension ref="A1:S217"/>
  <sheetViews>
    <sheetView topLeftCell="A94" zoomScaleNormal="100" workbookViewId="0">
      <selection activeCell="E168" sqref="E168"/>
    </sheetView>
  </sheetViews>
  <sheetFormatPr defaultRowHeight="15" x14ac:dyDescent="0.25"/>
  <cols>
    <col min="2" max="2" width="27.5703125" customWidth="1"/>
    <col min="3" max="3" width="24" customWidth="1"/>
    <col min="9" max="9" width="26.7109375" customWidth="1"/>
    <col min="12" max="12" width="24.85546875" customWidth="1"/>
    <col min="13" max="13" width="24.42578125" customWidth="1"/>
    <col min="16" max="16" width="26.5703125" customWidth="1"/>
  </cols>
  <sheetData>
    <row r="1" spans="1:11" x14ac:dyDescent="0.25">
      <c r="A1" s="165" t="s">
        <v>329</v>
      </c>
      <c r="B1" s="165"/>
      <c r="C1" s="165"/>
      <c r="D1" s="165"/>
      <c r="E1" s="165"/>
      <c r="F1" s="165"/>
      <c r="G1" s="165"/>
      <c r="H1" s="165"/>
      <c r="I1" s="165"/>
      <c r="J1" s="165"/>
      <c r="K1" s="165"/>
    </row>
    <row r="2" spans="1:11" x14ac:dyDescent="0.25">
      <c r="A2" s="165"/>
      <c r="B2" s="165" t="s">
        <v>330</v>
      </c>
      <c r="C2" s="165" t="s">
        <v>331</v>
      </c>
      <c r="D2" s="165" t="s">
        <v>332</v>
      </c>
      <c r="E2" s="165"/>
      <c r="F2" s="165"/>
      <c r="G2" s="165"/>
      <c r="H2" s="165"/>
      <c r="I2" s="165"/>
      <c r="J2" s="165"/>
      <c r="K2" s="165"/>
    </row>
    <row r="3" spans="1:11" x14ac:dyDescent="0.25">
      <c r="A3" s="165"/>
      <c r="B3" s="165" t="s">
        <v>333</v>
      </c>
      <c r="C3" s="165">
        <v>10</v>
      </c>
      <c r="D3" s="165" t="s">
        <v>334</v>
      </c>
      <c r="E3" s="165"/>
      <c r="F3" s="165"/>
      <c r="G3" s="165"/>
      <c r="H3" s="165"/>
      <c r="I3" s="165"/>
      <c r="J3" s="165"/>
      <c r="K3" s="165" t="str">
        <f>B3&amp;" = "&amp;C3&amp;","&amp;" # "&amp;D3</f>
        <v>orig_F_conc = 10, # What is the starting F primer concentration? (in uM)</v>
      </c>
    </row>
    <row r="4" spans="1:11" x14ac:dyDescent="0.25">
      <c r="A4" s="165"/>
      <c r="B4" s="165" t="s">
        <v>335</v>
      </c>
      <c r="C4" s="165">
        <v>10</v>
      </c>
      <c r="D4" s="165" t="s">
        <v>336</v>
      </c>
      <c r="E4" s="165"/>
      <c r="F4" s="165"/>
      <c r="G4" s="165"/>
      <c r="H4" s="165"/>
      <c r="I4" s="165"/>
      <c r="J4" s="165"/>
      <c r="K4" s="165" t="str">
        <f t="shared" ref="K4:K31" si="0">B4&amp;" = "&amp;C4&amp;","&amp;" # "&amp;D4</f>
        <v>orig_R_conc = 10, # What is the starting R primer concentration? (in uM)</v>
      </c>
    </row>
    <row r="5" spans="1:11" x14ac:dyDescent="0.25">
      <c r="A5" s="165"/>
      <c r="B5" s="165" t="s">
        <v>337</v>
      </c>
      <c r="C5" s="165">
        <v>10</v>
      </c>
      <c r="D5" s="165" t="s">
        <v>338</v>
      </c>
      <c r="E5" s="165"/>
      <c r="F5" s="165"/>
      <c r="G5" s="165"/>
      <c r="H5" s="165"/>
      <c r="I5" s="165"/>
      <c r="J5" s="165"/>
      <c r="K5" s="165" t="str">
        <f t="shared" si="0"/>
        <v>orig_P_conc = 10, # What is probe starting concentration? (in uM)</v>
      </c>
    </row>
    <row r="6" spans="1:11" x14ac:dyDescent="0.25">
      <c r="A6" s="165"/>
      <c r="B6" s="165" t="s">
        <v>339</v>
      </c>
      <c r="C6" s="165">
        <v>250</v>
      </c>
      <c r="D6" s="165" t="s">
        <v>340</v>
      </c>
      <c r="E6" s="165"/>
      <c r="F6" s="165"/>
      <c r="G6" s="165"/>
      <c r="H6" s="165"/>
      <c r="I6" s="165"/>
      <c r="J6" s="165"/>
      <c r="K6" s="165" t="str">
        <f t="shared" si="0"/>
        <v>std_F_conc = 250, # What is the constant F primer concentration for standards? This should be guess or from literature. (in nM)</v>
      </c>
    </row>
    <row r="7" spans="1:11" x14ac:dyDescent="0.25">
      <c r="A7" s="165"/>
      <c r="B7" s="165" t="s">
        <v>341</v>
      </c>
      <c r="C7" s="165">
        <v>250</v>
      </c>
      <c r="D7" s="165" t="s">
        <v>342</v>
      </c>
      <c r="E7" s="165"/>
      <c r="F7" s="165"/>
      <c r="G7" s="165"/>
      <c r="H7" s="165"/>
      <c r="I7" s="165"/>
      <c r="J7" s="165"/>
      <c r="K7" s="165" t="str">
        <f t="shared" si="0"/>
        <v>std_R_cond = 250, # What is the constant R primer concentration for standards? This should be guess or from literature. (in nM)</v>
      </c>
    </row>
    <row r="8" spans="1:11" x14ac:dyDescent="0.25">
      <c r="A8" s="165"/>
      <c r="B8" s="165" t="s">
        <v>343</v>
      </c>
      <c r="C8" s="165">
        <v>500</v>
      </c>
      <c r="D8" s="165" t="s">
        <v>344</v>
      </c>
      <c r="E8" s="165"/>
      <c r="F8" s="165"/>
      <c r="G8" s="165"/>
      <c r="H8" s="165"/>
      <c r="I8" s="165"/>
      <c r="J8" s="165"/>
      <c r="K8" s="165" t="str">
        <f t="shared" si="0"/>
        <v>P_conc = 500, # What is the probe concentration? This should be constant throughout experiment.</v>
      </c>
    </row>
    <row r="9" spans="1:11" x14ac:dyDescent="0.25">
      <c r="A9" s="165"/>
      <c r="B9" s="165" t="s">
        <v>345</v>
      </c>
      <c r="C9" s="165">
        <v>21</v>
      </c>
      <c r="D9" s="165" t="s">
        <v>346</v>
      </c>
      <c r="E9" s="165"/>
      <c r="F9" s="165"/>
      <c r="G9" s="165"/>
      <c r="H9" s="165"/>
      <c r="I9" s="165"/>
      <c r="J9" s="165"/>
      <c r="K9" s="165" t="str">
        <f t="shared" si="0"/>
        <v>tot_stds = 21, # How many wells of standards will be run? (in # wells)</v>
      </c>
    </row>
    <row r="10" spans="1:11" x14ac:dyDescent="0.25">
      <c r="A10" s="165"/>
      <c r="B10" s="165" t="s">
        <v>347</v>
      </c>
      <c r="C10" s="165">
        <v>3</v>
      </c>
      <c r="D10" s="165" t="s">
        <v>348</v>
      </c>
      <c r="E10" s="165"/>
      <c r="F10" s="165"/>
      <c r="G10" s="165"/>
      <c r="H10" s="165"/>
      <c r="I10" s="165"/>
      <c r="J10" s="165"/>
      <c r="K10" s="165" t="str">
        <f t="shared" si="0"/>
        <v>tot_NTCs = 3, # How many wells of NTCs will be run? (in # wells)</v>
      </c>
    </row>
    <row r="11" spans="1:11" x14ac:dyDescent="0.25">
      <c r="A11" s="165"/>
      <c r="B11" s="165" t="s">
        <v>349</v>
      </c>
      <c r="C11" s="165">
        <v>72</v>
      </c>
      <c r="D11" s="165" t="s">
        <v>350</v>
      </c>
      <c r="E11" s="165"/>
      <c r="F11" s="165"/>
      <c r="G11" s="165"/>
      <c r="H11" s="165"/>
      <c r="I11" s="165"/>
      <c r="J11" s="165"/>
      <c r="K11" s="165" t="str">
        <f t="shared" si="0"/>
        <v>tot_samp = 72, # How many samples with varying conditions will be run? (in # wells)</v>
      </c>
    </row>
    <row r="12" spans="1:11" x14ac:dyDescent="0.25">
      <c r="A12" s="165"/>
      <c r="B12" s="165" t="s">
        <v>351</v>
      </c>
      <c r="C12" s="165">
        <v>8.86</v>
      </c>
      <c r="D12" s="165" t="s">
        <v>352</v>
      </c>
      <c r="E12" s="165"/>
      <c r="F12" s="165"/>
      <c r="G12" s="165"/>
      <c r="H12" s="165"/>
      <c r="I12" s="165"/>
      <c r="J12" s="165"/>
      <c r="K12" s="165" t="str">
        <f t="shared" si="0"/>
        <v>rxn_base = 8.86, # Everything in PCR buffer (Mg2+, dNTPs, polymerase, enhancers, stabilizers, sugars, etc.). (in uL)</v>
      </c>
    </row>
    <row r="13" spans="1:11" x14ac:dyDescent="0.25">
      <c r="A13" s="165"/>
      <c r="B13" s="165" t="s">
        <v>353</v>
      </c>
      <c r="C13" s="165">
        <v>20</v>
      </c>
      <c r="D13" s="165" t="s">
        <v>354</v>
      </c>
      <c r="E13" s="165"/>
      <c r="F13" s="165"/>
      <c r="G13" s="165"/>
      <c r="H13" s="165"/>
      <c r="I13" s="165"/>
      <c r="J13" s="165"/>
      <c r="K13" s="165" t="str">
        <f t="shared" si="0"/>
        <v>tot_rxn_vol = 20, # What is total volume of PCR reaction in plate/tube? (in ul)</v>
      </c>
    </row>
    <row r="14" spans="1:11" x14ac:dyDescent="0.25">
      <c r="A14" s="165"/>
      <c r="B14" s="165" t="s">
        <v>355</v>
      </c>
      <c r="C14" s="165" t="s">
        <v>356</v>
      </c>
      <c r="D14" s="165" t="s">
        <v>357</v>
      </c>
      <c r="E14" s="165"/>
      <c r="F14" s="165"/>
      <c r="G14" s="165"/>
      <c r="H14" s="165"/>
      <c r="I14" s="165"/>
      <c r="J14" s="165"/>
      <c r="K14" s="165" t="str">
        <f t="shared" si="0"/>
        <v>F_concs = [50, 100, 200, 400, 600, 800], # What are the F primer concentrations? (a list in nM)</v>
      </c>
    </row>
    <row r="15" spans="1:11" x14ac:dyDescent="0.25">
      <c r="A15" s="165"/>
      <c r="B15" s="165" t="s">
        <v>358</v>
      </c>
      <c r="C15" s="165" t="s">
        <v>356</v>
      </c>
      <c r="D15" s="165" t="s">
        <v>359</v>
      </c>
      <c r="E15" s="165"/>
      <c r="F15" s="165"/>
      <c r="G15" s="165"/>
      <c r="H15" s="165"/>
      <c r="I15" s="165"/>
      <c r="J15" s="165"/>
      <c r="K15" s="165" t="str">
        <f t="shared" si="0"/>
        <v>R_concs = [50, 100, 200, 400, 600, 800], # What are the R primer concentrations? (a list in nM)</v>
      </c>
    </row>
    <row r="16" spans="1:11" x14ac:dyDescent="0.25">
      <c r="A16" s="165"/>
      <c r="B16" s="165" t="s">
        <v>360</v>
      </c>
      <c r="C16" s="165">
        <v>50</v>
      </c>
      <c r="D16" s="165" t="s">
        <v>361</v>
      </c>
      <c r="E16" s="165"/>
      <c r="F16" s="165"/>
      <c r="G16" s="165"/>
      <c r="H16" s="165"/>
      <c r="I16" s="165"/>
      <c r="J16" s="165"/>
      <c r="K16" s="165" t="str">
        <f t="shared" si="0"/>
        <v>F_50 = 50, # F primer at lowest concentration. (in nM)</v>
      </c>
    </row>
    <row r="17" spans="2:11" x14ac:dyDescent="0.25">
      <c r="B17" s="165" t="s">
        <v>362</v>
      </c>
      <c r="C17" s="165">
        <v>100</v>
      </c>
      <c r="D17" s="165" t="s">
        <v>363</v>
      </c>
      <c r="E17" s="165"/>
      <c r="F17" s="165"/>
      <c r="G17" s="165"/>
      <c r="H17" s="165"/>
      <c r="I17" s="165"/>
      <c r="J17" s="165"/>
      <c r="K17" s="165" t="str">
        <f t="shared" si="0"/>
        <v>F_100 = 100, # F primer at concentration. (in nM)</v>
      </c>
    </row>
    <row r="18" spans="2:11" x14ac:dyDescent="0.25">
      <c r="B18" s="165" t="s">
        <v>364</v>
      </c>
      <c r="C18" s="165">
        <v>200</v>
      </c>
      <c r="D18" s="165" t="s">
        <v>363</v>
      </c>
      <c r="E18" s="165"/>
      <c r="F18" s="165"/>
      <c r="G18" s="165"/>
      <c r="H18" s="165"/>
      <c r="I18" s="165"/>
      <c r="J18" s="165"/>
      <c r="K18" s="165" t="str">
        <f t="shared" si="0"/>
        <v>F_200 = 200, # F primer at concentration. (in nM)</v>
      </c>
    </row>
    <row r="19" spans="2:11" x14ac:dyDescent="0.25">
      <c r="B19" s="165" t="s">
        <v>365</v>
      </c>
      <c r="C19" s="165">
        <v>400</v>
      </c>
      <c r="D19" s="165" t="s">
        <v>363</v>
      </c>
      <c r="E19" s="165"/>
      <c r="F19" s="165"/>
      <c r="G19" s="165"/>
      <c r="H19" s="165"/>
      <c r="I19" s="165"/>
      <c r="J19" s="165"/>
      <c r="K19" s="165" t="str">
        <f t="shared" si="0"/>
        <v>F_400 = 400, # F primer at concentration. (in nM)</v>
      </c>
    </row>
    <row r="20" spans="2:11" x14ac:dyDescent="0.25">
      <c r="B20" s="165" t="s">
        <v>366</v>
      </c>
      <c r="C20" s="165">
        <v>600</v>
      </c>
      <c r="D20" s="165" t="s">
        <v>363</v>
      </c>
      <c r="E20" s="165"/>
      <c r="F20" s="165"/>
      <c r="G20" s="165"/>
      <c r="H20" s="165"/>
      <c r="I20" s="165"/>
      <c r="J20" s="165"/>
      <c r="K20" s="165" t="str">
        <f t="shared" si="0"/>
        <v>F_600 = 600, # F primer at concentration. (in nM)</v>
      </c>
    </row>
    <row r="21" spans="2:11" x14ac:dyDescent="0.25">
      <c r="B21" s="165" t="s">
        <v>367</v>
      </c>
      <c r="C21" s="165">
        <v>800</v>
      </c>
      <c r="D21" s="165" t="s">
        <v>368</v>
      </c>
      <c r="E21" s="165"/>
      <c r="F21" s="165"/>
      <c r="G21" s="165"/>
      <c r="H21" s="165"/>
      <c r="I21" s="165"/>
      <c r="J21" s="165"/>
      <c r="K21" s="165" t="str">
        <f t="shared" si="0"/>
        <v>F_800 = 800, # F primer at highest concentration. (in nM)</v>
      </c>
    </row>
    <row r="22" spans="2:11" x14ac:dyDescent="0.25">
      <c r="B22" s="165" t="s">
        <v>369</v>
      </c>
      <c r="C22" s="165">
        <v>50</v>
      </c>
      <c r="D22" s="165" t="s">
        <v>370</v>
      </c>
      <c r="E22" s="165"/>
      <c r="F22" s="165"/>
      <c r="G22" s="165"/>
      <c r="H22" s="165"/>
      <c r="I22" s="165"/>
      <c r="J22" s="165"/>
      <c r="K22" s="165" t="str">
        <f t="shared" si="0"/>
        <v>R_50 = 50, # R primer at lowest concentration. (in nM)</v>
      </c>
    </row>
    <row r="23" spans="2:11" x14ac:dyDescent="0.25">
      <c r="B23" s="165" t="s">
        <v>371</v>
      </c>
      <c r="C23" s="165">
        <v>100</v>
      </c>
      <c r="D23" s="165" t="s">
        <v>372</v>
      </c>
      <c r="E23" s="165"/>
      <c r="F23" s="165"/>
      <c r="G23" s="165"/>
      <c r="H23" s="165"/>
      <c r="I23" s="165"/>
      <c r="J23" s="165"/>
      <c r="K23" s="165" t="str">
        <f t="shared" si="0"/>
        <v>R_100 = 100, # R primer at concentration. (in nM)</v>
      </c>
    </row>
    <row r="24" spans="2:11" x14ac:dyDescent="0.25">
      <c r="B24" s="165" t="s">
        <v>373</v>
      </c>
      <c r="C24" s="165">
        <v>200</v>
      </c>
      <c r="D24" s="165" t="s">
        <v>372</v>
      </c>
      <c r="E24" s="165"/>
      <c r="F24" s="165"/>
      <c r="G24" s="165"/>
      <c r="H24" s="165"/>
      <c r="I24" s="165"/>
      <c r="J24" s="165"/>
      <c r="K24" s="165" t="str">
        <f t="shared" si="0"/>
        <v>R_200 = 200, # R primer at concentration. (in nM)</v>
      </c>
    </row>
    <row r="25" spans="2:11" x14ac:dyDescent="0.25">
      <c r="B25" s="165" t="s">
        <v>374</v>
      </c>
      <c r="C25" s="165">
        <v>400</v>
      </c>
      <c r="D25" s="165" t="s">
        <v>372</v>
      </c>
      <c r="E25" s="165"/>
      <c r="F25" s="165"/>
      <c r="G25" s="165"/>
      <c r="H25" s="165"/>
      <c r="I25" s="165"/>
      <c r="J25" s="165"/>
      <c r="K25" s="165" t="str">
        <f t="shared" si="0"/>
        <v>R_400 = 400, # R primer at concentration. (in nM)</v>
      </c>
    </row>
    <row r="26" spans="2:11" x14ac:dyDescent="0.25">
      <c r="B26" s="165" t="s">
        <v>375</v>
      </c>
      <c r="C26" s="165">
        <v>600</v>
      </c>
      <c r="D26" s="165" t="s">
        <v>372</v>
      </c>
      <c r="E26" s="165"/>
      <c r="F26" s="165"/>
      <c r="G26" s="165"/>
      <c r="H26" s="165"/>
      <c r="I26" s="165"/>
      <c r="J26" s="165"/>
      <c r="K26" s="165" t="str">
        <f t="shared" si="0"/>
        <v>R_600 = 600, # R primer at concentration. (in nM)</v>
      </c>
    </row>
    <row r="27" spans="2:11" x14ac:dyDescent="0.25">
      <c r="B27" s="165" t="s">
        <v>376</v>
      </c>
      <c r="C27" s="165">
        <v>800</v>
      </c>
      <c r="D27" s="165" t="s">
        <v>377</v>
      </c>
      <c r="E27" s="165"/>
      <c r="F27" s="165"/>
      <c r="G27" s="165"/>
      <c r="H27" s="165"/>
      <c r="I27" s="165"/>
      <c r="J27" s="165"/>
      <c r="K27" s="165" t="str">
        <f t="shared" si="0"/>
        <v>R_800 = 800, # R primer at highest concentration. (in nM)</v>
      </c>
    </row>
    <row r="28" spans="2:11" x14ac:dyDescent="0.25">
      <c r="B28" s="165" t="s">
        <v>378</v>
      </c>
      <c r="C28" s="165">
        <v>2</v>
      </c>
      <c r="D28" s="165" t="s">
        <v>379</v>
      </c>
      <c r="E28" s="165"/>
      <c r="F28" s="165"/>
      <c r="G28" s="165"/>
      <c r="H28" s="165"/>
      <c r="I28" s="165"/>
      <c r="J28" s="165"/>
      <c r="K28" s="165" t="str">
        <f t="shared" si="0"/>
        <v xml:space="preserve">dna_per_rxn = 2, # How much standard, positive control or NTC to add per well. </v>
      </c>
    </row>
    <row r="29" spans="2:11" x14ac:dyDescent="0.25">
      <c r="B29" s="165" t="s">
        <v>380</v>
      </c>
      <c r="C29" s="165">
        <v>3</v>
      </c>
      <c r="D29" s="165" t="s">
        <v>381</v>
      </c>
      <c r="E29" s="165"/>
      <c r="F29" s="165"/>
      <c r="G29" s="165"/>
      <c r="H29" s="165"/>
      <c r="I29" s="165"/>
      <c r="J29" s="165"/>
      <c r="K29" s="165" t="str">
        <f t="shared" si="0"/>
        <v>std_NTC_reps = 3, # How many standard and NTC replicates? (int)</v>
      </c>
    </row>
    <row r="30" spans="2:11" x14ac:dyDescent="0.25">
      <c r="B30" s="165" t="s">
        <v>382</v>
      </c>
      <c r="C30" s="165">
        <v>12</v>
      </c>
      <c r="D30" s="165" t="s">
        <v>383</v>
      </c>
      <c r="E30" s="165"/>
      <c r="F30" s="165"/>
      <c r="G30" s="165"/>
      <c r="H30" s="165"/>
      <c r="I30" s="165"/>
      <c r="J30" s="165"/>
      <c r="K30" s="165" t="str">
        <f t="shared" si="0"/>
        <v>R_reps = 12, # How many wells will use R primer at particular concentration? (int)</v>
      </c>
    </row>
    <row r="31" spans="2:11" x14ac:dyDescent="0.25">
      <c r="B31" s="165" t="s">
        <v>384</v>
      </c>
      <c r="C31" s="165">
        <v>12</v>
      </c>
      <c r="D31" s="165" t="s">
        <v>385</v>
      </c>
      <c r="E31" s="165"/>
      <c r="F31" s="165"/>
      <c r="G31" s="165"/>
      <c r="H31" s="165"/>
      <c r="I31" s="165"/>
      <c r="J31" s="165"/>
      <c r="K31" s="165" t="str">
        <f t="shared" si="0"/>
        <v>F_reps = 12, # How many wells will use F primer at particular concentration? (int)</v>
      </c>
    </row>
    <row r="32" spans="2:11" x14ac:dyDescent="0.25">
      <c r="B32" s="165" t="s">
        <v>386</v>
      </c>
      <c r="C32" s="165">
        <v>100</v>
      </c>
      <c r="D32" s="165" t="s">
        <v>387</v>
      </c>
      <c r="E32" s="165"/>
      <c r="F32" s="165"/>
      <c r="G32" s="165"/>
      <c r="H32" s="165"/>
      <c r="I32" s="165"/>
      <c r="J32" s="165"/>
      <c r="K32" s="165" t="str">
        <f>B32&amp;" = "&amp;F_int_vol&amp;","&amp;" # "&amp;D32</f>
        <v>F_int_vol = 100, # What is the volume of F intermediate primer in new tube? (in ul)</v>
      </c>
    </row>
    <row r="33" spans="2:11" x14ac:dyDescent="0.25">
      <c r="B33" s="102" t="s">
        <v>388</v>
      </c>
      <c r="C33" s="165">
        <v>0.2</v>
      </c>
      <c r="D33" s="165" t="s">
        <v>389</v>
      </c>
      <c r="E33" s="165"/>
      <c r="F33" s="165"/>
      <c r="G33" s="165"/>
      <c r="H33" s="165"/>
      <c r="I33" s="165"/>
      <c r="J33" s="165"/>
      <c r="K33" s="165" t="str">
        <f>B33&amp;" = "&amp;" "&amp;"# "&amp;D33</f>
        <v>percent_waste =  # What percentage waste? (decimal)</v>
      </c>
    </row>
    <row r="34" spans="2:11" x14ac:dyDescent="0.25">
      <c r="B34" s="165" t="s">
        <v>390</v>
      </c>
      <c r="C34" s="165">
        <v>2.5000000000000001E-2</v>
      </c>
      <c r="D34" s="165" t="s">
        <v>391</v>
      </c>
      <c r="E34" s="165"/>
      <c r="F34" s="165"/>
      <c r="G34" s="165"/>
      <c r="H34" s="165"/>
      <c r="I34" s="165"/>
      <c r="J34" s="165"/>
      <c r="K34" s="165" t="str">
        <f t="shared" ref="K34:K37" si="1">B34&amp;" = "&amp;" "&amp;"# "&amp;D34</f>
        <v>sN_mix_waste_offset =  # How much percent_waste offset should sN_mix use? This calculated as percent_waste-sN_mix_overage = percent_waste for sN_mix_overage e.g. (20-7=13%) Should not be 0 otherwise offset = percent_waste. (decimal)</v>
      </c>
    </row>
    <row r="35" spans="2:11" x14ac:dyDescent="0.25">
      <c r="B35" s="165" t="s">
        <v>392</v>
      </c>
      <c r="C35" s="165">
        <v>0.1</v>
      </c>
      <c r="D35" s="165" t="s">
        <v>393</v>
      </c>
      <c r="E35" s="165"/>
      <c r="F35" s="165"/>
      <c r="G35" s="165"/>
      <c r="H35" s="165"/>
      <c r="I35" s="165"/>
      <c r="J35" s="165"/>
      <c r="K35" s="165" t="str">
        <f t="shared" si="1"/>
        <v>R_mix_waste_offset =  # How much percent_waste offset should R_mix use? This calculated as percent_waste-R_mix_overage = percent_waste for R_mix_overage e.g. (20-=13%) If 0, then offset = percent_waste. (decimal)</v>
      </c>
    </row>
    <row r="36" spans="2:11" x14ac:dyDescent="0.25">
      <c r="B36" s="165" t="s">
        <v>394</v>
      </c>
      <c r="C36" s="101">
        <v>2.8000000000000001E-2</v>
      </c>
      <c r="D36" s="165" t="s">
        <v>395</v>
      </c>
      <c r="E36" s="165"/>
      <c r="F36" s="165"/>
      <c r="G36" s="165"/>
      <c r="H36" s="165"/>
      <c r="I36" s="165"/>
      <c r="J36" s="165"/>
      <c r="K36" s="165" t="str">
        <f t="shared" si="1"/>
        <v>std_NTC_waste_offset =  # How much percent_waste offset should std_NTC use? (decimal)</v>
      </c>
    </row>
    <row r="37" spans="2:11" x14ac:dyDescent="0.25">
      <c r="B37" s="165" t="s">
        <v>396</v>
      </c>
      <c r="C37" s="103">
        <v>0.03</v>
      </c>
      <c r="D37" s="165" t="s">
        <v>397</v>
      </c>
      <c r="E37" s="165"/>
      <c r="F37" s="165"/>
      <c r="G37" s="165"/>
      <c r="H37" s="165"/>
      <c r="I37" s="165"/>
      <c r="J37" s="165"/>
      <c r="K37" s="165" t="str">
        <f t="shared" si="1"/>
        <v>bpw_waste_offset =  # How much percent_waste offset should bpw_waste use? (decimal)</v>
      </c>
    </row>
    <row r="38" spans="2:11" x14ac:dyDescent="0.25">
      <c r="B38" s="165"/>
      <c r="C38" s="84"/>
      <c r="D38" s="165"/>
      <c r="E38" s="165"/>
      <c r="F38" s="165"/>
      <c r="G38" s="165"/>
      <c r="H38" s="165"/>
      <c r="I38" s="165"/>
      <c r="J38" s="165"/>
      <c r="K38" s="165"/>
    </row>
    <row r="39" spans="2:11" x14ac:dyDescent="0.25">
      <c r="B39" s="165" t="s">
        <v>398</v>
      </c>
      <c r="C39" s="165"/>
      <c r="D39" s="165"/>
      <c r="E39" s="165"/>
      <c r="F39" s="165"/>
      <c r="G39" s="165"/>
      <c r="H39" s="165"/>
      <c r="I39" s="165"/>
      <c r="J39" s="165"/>
      <c r="K39" s="165"/>
    </row>
    <row r="40" spans="2:11" x14ac:dyDescent="0.25">
      <c r="B40" s="165" t="s">
        <v>399</v>
      </c>
      <c r="C40" s="165">
        <f>SUM(C9:C11)</f>
        <v>96</v>
      </c>
      <c r="D40" s="165" t="s">
        <v>400</v>
      </c>
      <c r="E40" s="165"/>
      <c r="F40" s="165"/>
      <c r="G40" s="165"/>
      <c r="H40" s="165"/>
      <c r="I40" s="165"/>
      <c r="J40" s="165"/>
      <c r="K40" s="165" t="str">
        <f>B40&amp;" = "&amp;" "&amp;"# "&amp;D40</f>
        <v>tot_rxns =  # Calc what is total # rxns. (int)</v>
      </c>
    </row>
    <row r="41" spans="2:11" x14ac:dyDescent="0.25">
      <c r="B41" s="165" t="s">
        <v>401</v>
      </c>
      <c r="C41" s="165">
        <f>SUM(C9:C10)</f>
        <v>24</v>
      </c>
      <c r="D41" s="165" t="s">
        <v>402</v>
      </c>
      <c r="E41" s="165"/>
      <c r="F41" s="165"/>
      <c r="G41" s="165"/>
      <c r="H41" s="165"/>
      <c r="I41" s="165"/>
      <c r="J41" s="165"/>
      <c r="K41" s="165" t="str">
        <f t="shared" ref="K41:K104" si="2">B41&amp;" = "&amp;" "&amp;"# "&amp;D41</f>
        <v>tot_sds_NTC =  # Calc number of standards and nontemplate controls. (int)</v>
      </c>
    </row>
    <row r="42" spans="2:11" x14ac:dyDescent="0.25">
      <c r="B42" s="165" t="s">
        <v>403</v>
      </c>
      <c r="C42" s="165">
        <f>C13-C28</f>
        <v>18</v>
      </c>
      <c r="D42" s="165" t="s">
        <v>404</v>
      </c>
      <c r="E42" s="165"/>
      <c r="F42" s="165"/>
      <c r="G42" s="165"/>
      <c r="H42" s="165"/>
      <c r="I42" s="165"/>
      <c r="J42" s="165"/>
      <c r="K42" s="165" t="str">
        <f t="shared" si="2"/>
        <v>rxn_vol_no_dna =  # Calc what is volume of PCR rxn with no DNA added. (in ul)</v>
      </c>
    </row>
    <row r="43" spans="2:11" x14ac:dyDescent="0.25">
      <c r="B43" s="165" t="s">
        <v>405</v>
      </c>
      <c r="C43" s="165">
        <f>C8/1000*C13/C5</f>
        <v>1</v>
      </c>
      <c r="D43" s="165" t="s">
        <v>406</v>
      </c>
      <c r="E43" s="165"/>
      <c r="F43" s="165"/>
      <c r="G43" s="165"/>
      <c r="H43" s="165"/>
      <c r="I43" s="165"/>
      <c r="J43" s="165"/>
      <c r="K43" s="165" t="str">
        <f t="shared" si="2"/>
        <v>P_per_rxn =  # Calc this constant probe is needed per pcr reaction. (in ul)</v>
      </c>
    </row>
    <row r="44" spans="2:11" x14ac:dyDescent="0.25">
      <c r="B44" s="165" t="s">
        <v>407</v>
      </c>
      <c r="C44" s="165">
        <f>C21/1000*C13/C3</f>
        <v>1.6</v>
      </c>
      <c r="D44" s="165" t="s">
        <v>408</v>
      </c>
      <c r="E44" s="165"/>
      <c r="F44" s="165"/>
      <c r="G44" s="165"/>
      <c r="H44" s="165"/>
      <c r="I44" s="165"/>
      <c r="J44" s="165"/>
      <c r="K44" s="165" t="str">
        <f t="shared" si="2"/>
        <v>max_vol_F_per_rxn =  # Calc greatest vol added from starting F primer conc to rxn to satisfy max test F conc? (in ul)</v>
      </c>
    </row>
    <row r="45" spans="2:11" x14ac:dyDescent="0.25">
      <c r="B45" s="165" t="s">
        <v>409</v>
      </c>
      <c r="C45" s="165">
        <f>C27/1000*C13/orig_R_conc</f>
        <v>1.6</v>
      </c>
      <c r="D45" s="165" t="s">
        <v>410</v>
      </c>
      <c r="E45" s="165"/>
      <c r="F45" s="165"/>
      <c r="G45" s="165"/>
      <c r="H45" s="165"/>
      <c r="I45" s="165"/>
      <c r="J45" s="165"/>
      <c r="K45" s="165" t="str">
        <f t="shared" si="2"/>
        <v>max_vol_R_per_rxn =  # Calc greatest vol added from starting R primer conc to rxn to satisfy max test R conc? (in ul)</v>
      </c>
    </row>
    <row r="46" spans="2:11" x14ac:dyDescent="0.25">
      <c r="B46" s="165" t="s">
        <v>411</v>
      </c>
      <c r="C46" s="165">
        <f>C42-C12-C43-C44-C45</f>
        <v>4.9400000000000013</v>
      </c>
      <c r="D46" s="165" t="s">
        <v>412</v>
      </c>
      <c r="E46" s="165"/>
      <c r="F46" s="165"/>
      <c r="G46" s="165"/>
      <c r="H46" s="165"/>
      <c r="I46" s="165"/>
      <c r="J46" s="165"/>
      <c r="K46" s="165" t="str">
        <f t="shared" si="2"/>
        <v>water_per_rxn =  # Calc this is water added per rxn such that greatest F, R primer conc can be accommodated in total rxn vol. (in ul)</v>
      </c>
    </row>
    <row r="47" spans="2:11" x14ac:dyDescent="0.25">
      <c r="B47" s="102" t="s">
        <v>413</v>
      </c>
      <c r="C47" s="165">
        <f>C6/1000*C13/C3</f>
        <v>0.5</v>
      </c>
      <c r="D47" s="165" t="s">
        <v>414</v>
      </c>
      <c r="E47" s="165"/>
      <c r="F47" s="165"/>
      <c r="G47" s="165"/>
      <c r="H47" s="165"/>
      <c r="I47" s="165"/>
      <c r="J47" s="165"/>
      <c r="K47" s="165" t="str">
        <f t="shared" si="2"/>
        <v>std_vol_F_per_rxn =  # Calc adding this much F primer to each std rxn</v>
      </c>
    </row>
    <row r="48" spans="2:11" x14ac:dyDescent="0.25">
      <c r="B48" s="102" t="s">
        <v>415</v>
      </c>
      <c r="C48" s="165">
        <f>C7/1000*C13/orig_R_conc</f>
        <v>0.5</v>
      </c>
      <c r="D48" s="165" t="s">
        <v>414</v>
      </c>
      <c r="E48" s="165"/>
      <c r="F48" s="165"/>
      <c r="G48" s="165"/>
      <c r="H48" s="165"/>
      <c r="I48" s="165"/>
      <c r="J48" s="165"/>
      <c r="K48" s="165" t="str">
        <f t="shared" si="2"/>
        <v>std_vol_R_per_rxn =  # Calc adding this much F primer to each std rxn</v>
      </c>
    </row>
    <row r="49" spans="2:11" x14ac:dyDescent="0.25">
      <c r="B49" s="165" t="s">
        <v>416</v>
      </c>
      <c r="C49" s="165">
        <f>C12+C43+C46</f>
        <v>14.8</v>
      </c>
      <c r="D49" s="165" t="s">
        <v>417</v>
      </c>
      <c r="E49" s="165"/>
      <c r="F49" s="165"/>
      <c r="G49" s="165"/>
      <c r="H49" s="165"/>
      <c r="I49" s="165"/>
      <c r="J49" s="165"/>
      <c r="K49" s="165" t="str">
        <f t="shared" si="2"/>
        <v>BPW_rxn =  # Mix base + probe + water (no DNA, F, R primer). (in ul)</v>
      </c>
    </row>
    <row r="50" spans="2:11" x14ac:dyDescent="0.25">
      <c r="B50" s="165" t="s">
        <v>418</v>
      </c>
      <c r="C50" s="165">
        <f>C44-C47+C45-C48</f>
        <v>2.2000000000000002</v>
      </c>
      <c r="D50" s="165" t="s">
        <v>419</v>
      </c>
      <c r="E50" s="165"/>
      <c r="F50" s="165"/>
      <c r="G50" s="165"/>
      <c r="H50" s="165"/>
      <c r="I50" s="165"/>
      <c r="J50" s="165"/>
      <c r="K50" s="165"/>
    </row>
    <row r="51" spans="2:11" x14ac:dyDescent="0.25">
      <c r="B51" s="165" t="s">
        <v>420</v>
      </c>
      <c r="C51" s="165">
        <f>C49+C47+C48+C50</f>
        <v>18</v>
      </c>
      <c r="D51" s="165" t="s">
        <v>421</v>
      </c>
      <c r="E51" s="165"/>
      <c r="F51" s="165"/>
      <c r="G51" s="165"/>
      <c r="H51" s="165"/>
      <c r="I51" s="165"/>
      <c r="J51" s="165"/>
      <c r="K51" s="165" t="str">
        <f t="shared" si="2"/>
        <v>BPW_sN_rxn =  # Mix base + probe + water+F,R primer at std conc+water_offset(no DNA). (in ul)</v>
      </c>
    </row>
    <row r="52" spans="2:11" x14ac:dyDescent="0.25">
      <c r="B52" s="165" t="s">
        <v>422</v>
      </c>
      <c r="C52" s="165">
        <f>C41*(1+C33-C34)*C49</f>
        <v>417.36000000000007</v>
      </c>
      <c r="D52" s="165" t="s">
        <v>423</v>
      </c>
      <c r="E52" s="165"/>
      <c r="F52" s="165"/>
      <c r="G52" s="165"/>
      <c r="H52" s="165"/>
      <c r="I52" s="165"/>
      <c r="J52" s="165"/>
      <c r="K52" s="165" t="str">
        <f t="shared" si="2"/>
        <v>BWP_mix_xfer_sN_mix =  # Calc how much tot_BPW_mix to move to make new tube for stds and NTC. (in ul)</v>
      </c>
    </row>
    <row r="53" spans="2:11" x14ac:dyDescent="0.25">
      <c r="B53" s="165" t="s">
        <v>424</v>
      </c>
      <c r="C53" s="165">
        <f>C50*C41*(1+C33-C34)</f>
        <v>62.040000000000006</v>
      </c>
      <c r="D53" s="165" t="s">
        <v>425</v>
      </c>
      <c r="E53" s="165"/>
      <c r="F53" s="165"/>
      <c r="G53" s="165"/>
      <c r="H53" s="165"/>
      <c r="I53" s="165"/>
      <c r="J53" s="165"/>
      <c r="K53" s="165" t="str">
        <f t="shared" si="2"/>
        <v>std_woff_add_to_sN_mix =  # Cal how much water to add to sdd_NTC mmix with waste</v>
      </c>
    </row>
    <row r="54" spans="2:11" x14ac:dyDescent="0.25">
      <c r="B54" s="165" t="s">
        <v>426</v>
      </c>
      <c r="C54" s="165">
        <f>C41*(1+C33-C34)*C47</f>
        <v>14.100000000000001</v>
      </c>
      <c r="D54" s="165" t="s">
        <v>427</v>
      </c>
      <c r="E54" s="165"/>
      <c r="F54" s="165"/>
      <c r="G54" s="165"/>
      <c r="H54" s="165"/>
      <c r="I54" s="165"/>
      <c r="J54" s="165"/>
      <c r="K54" s="165" t="str">
        <f t="shared" si="2"/>
        <v>F_add_to_sN_mix =  # Calc how much F primer to add to std_NTC mmix with waste</v>
      </c>
    </row>
    <row r="55" spans="2:11" x14ac:dyDescent="0.25">
      <c r="B55" s="165" t="s">
        <v>428</v>
      </c>
      <c r="C55" s="165">
        <f>C41*(1+C33-C34)*C48</f>
        <v>14.100000000000001</v>
      </c>
      <c r="D55" s="165" t="s">
        <v>429</v>
      </c>
      <c r="E55" s="165"/>
      <c r="F55" s="165"/>
      <c r="G55" s="165"/>
      <c r="H55" s="165"/>
      <c r="I55" s="165"/>
      <c r="J55" s="165"/>
      <c r="K55" s="165" t="str">
        <f t="shared" si="2"/>
        <v>R_add_to_sN_mix =  # Calc how much R primer to add to std_NTC mmix with waste</v>
      </c>
    </row>
    <row r="56" spans="2:11" x14ac:dyDescent="0.25">
      <c r="B56" s="165" t="s">
        <v>430</v>
      </c>
      <c r="C56" s="165">
        <f>C51*C29*(1+C33-C36)</f>
        <v>63.287999999999997</v>
      </c>
      <c r="D56" s="165" t="s">
        <v>431</v>
      </c>
      <c r="E56" s="165"/>
      <c r="F56" s="165"/>
      <c r="G56" s="165"/>
      <c r="H56" s="165"/>
      <c r="I56" s="165"/>
      <c r="J56" s="165"/>
      <c r="K56" s="165" t="str">
        <f t="shared" si="2"/>
        <v>sN_mix_xfer_to_stds_mix =  # Calc how much sn_mix to aliquot to tube in preparation for std DNA mixing. (in ul)</v>
      </c>
    </row>
    <row r="57" spans="2:11" x14ac:dyDescent="0.25">
      <c r="B57" s="165" t="s">
        <v>432</v>
      </c>
      <c r="C57" s="165">
        <f>C28*C29*(1+C33-C36)</f>
        <v>7.032</v>
      </c>
      <c r="D57" s="165" t="s">
        <v>433</v>
      </c>
      <c r="E57" s="165"/>
      <c r="F57" s="165"/>
      <c r="G57" s="165"/>
      <c r="H57" s="165"/>
      <c r="I57" s="165"/>
      <c r="J57" s="165"/>
      <c r="K57" s="165" t="str">
        <f t="shared" si="2"/>
        <v>std_DNA_xfer_to_stds_mix =  # Calc how much DNA from each standard adding to stds_mix with waste. (in ul)</v>
      </c>
    </row>
    <row r="58" spans="2:11" x14ac:dyDescent="0.25">
      <c r="B58" s="165" t="s">
        <v>434</v>
      </c>
      <c r="C58" s="165">
        <f>C11*C49*(1+C33-C37)</f>
        <v>1246.7520000000002</v>
      </c>
      <c r="D58" s="165" t="s">
        <v>435</v>
      </c>
      <c r="E58" s="165"/>
      <c r="F58" s="165"/>
      <c r="G58" s="165"/>
      <c r="H58" s="165"/>
      <c r="I58" s="165"/>
      <c r="J58" s="165"/>
      <c r="K58" s="165" t="str">
        <f t="shared" si="2"/>
        <v>bpw_mix_xfer_bpwd_mix =  # Calc how much bpw_mix needed in new tube for # total samples</v>
      </c>
    </row>
    <row r="59" spans="2:11" x14ac:dyDescent="0.25">
      <c r="B59" s="165" t="s">
        <v>436</v>
      </c>
      <c r="C59" s="165">
        <f>C28*C11*(1+C33-C37)</f>
        <v>168.48</v>
      </c>
      <c r="D59" s="165" t="s">
        <v>437</v>
      </c>
      <c r="E59" s="165"/>
      <c r="F59" s="165"/>
      <c r="G59" s="165"/>
      <c r="H59" s="165"/>
      <c r="I59" s="165"/>
      <c r="J59" s="165"/>
      <c r="K59" s="165" t="str">
        <f t="shared" si="2"/>
        <v>std_DNA_xfer_to_bpwd_mix =  # Calc how much DNA to add to bpw_mix for template in PCR rxns.</v>
      </c>
    </row>
    <row r="60" spans="2:11" x14ac:dyDescent="0.25">
      <c r="B60" s="165" t="s">
        <v>438</v>
      </c>
      <c r="C60" s="165">
        <f>C49+C28</f>
        <v>16.8</v>
      </c>
      <c r="D60" s="165" t="s">
        <v>439</v>
      </c>
      <c r="E60" s="165"/>
      <c r="F60" s="165"/>
      <c r="G60" s="165"/>
      <c r="H60" s="165"/>
      <c r="I60" s="165"/>
      <c r="J60" s="165"/>
      <c r="K60" s="165" t="str">
        <f t="shared" si="2"/>
        <v>bpwd_rxn =  # Calc vol of bpw reaction + DNA vol</v>
      </c>
    </row>
    <row r="61" spans="2:11" x14ac:dyDescent="0.25">
      <c r="B61" s="165" t="s">
        <v>440</v>
      </c>
      <c r="C61" s="165">
        <f>C60*R_reps*(1+C33-C35)</f>
        <v>221.76</v>
      </c>
      <c r="D61" s="165" t="s">
        <v>441</v>
      </c>
      <c r="E61" s="165"/>
      <c r="F61" s="165"/>
      <c r="G61" s="165"/>
      <c r="H61" s="165"/>
      <c r="I61" s="165"/>
      <c r="J61" s="165"/>
      <c r="K61" s="165" t="str">
        <f t="shared" si="2"/>
        <v>bpwd_mix_xfer_R_mix =  # Calc how muc bpwd_mix to transfer to each tube for specific R conc. Less than 12% to avoid missing vol.</v>
      </c>
    </row>
    <row r="62" spans="2:11" x14ac:dyDescent="0.25">
      <c r="B62" s="165" t="s">
        <v>442</v>
      </c>
      <c r="C62" s="84">
        <f>C22/1000*C13/orig_R_conc</f>
        <v>0.1</v>
      </c>
      <c r="D62" s="165" t="s">
        <v>443</v>
      </c>
      <c r="E62" s="165"/>
      <c r="F62" s="165"/>
      <c r="G62" s="165"/>
      <c r="H62" s="165"/>
      <c r="I62" s="165"/>
      <c r="J62" s="165"/>
      <c r="K62" s="165" t="str">
        <f t="shared" si="2"/>
        <v>R_50_rxn =  # Calc how much R primer at lowest concentration to add per reaction? (e.g. 50nM) (in ul)</v>
      </c>
    </row>
    <row r="63" spans="2:11" x14ac:dyDescent="0.25">
      <c r="B63" s="165" t="s">
        <v>444</v>
      </c>
      <c r="C63" s="84">
        <f>C62*C30*(1+C33-C35)</f>
        <v>1.32</v>
      </c>
      <c r="D63" s="165" t="s">
        <v>445</v>
      </c>
      <c r="E63" s="165"/>
      <c r="F63" s="165"/>
      <c r="G63" s="165"/>
      <c r="H63" s="165"/>
      <c r="I63" s="165"/>
      <c r="J63" s="165"/>
      <c r="K63" s="165" t="str">
        <f t="shared" si="2"/>
        <v>R_50_mix =  # Calc how much R primer to add to R_50 mix. (in ul)</v>
      </c>
    </row>
    <row r="64" spans="2:11" x14ac:dyDescent="0.25">
      <c r="B64" s="165" t="s">
        <v>446</v>
      </c>
      <c r="C64" s="84">
        <f>C45-C62</f>
        <v>1.5</v>
      </c>
      <c r="D64" s="165" t="s">
        <v>447</v>
      </c>
      <c r="E64" s="165"/>
      <c r="F64" s="165"/>
      <c r="G64" s="165"/>
      <c r="H64" s="165"/>
      <c r="I64" s="165"/>
      <c r="J64" s="165"/>
      <c r="K64" s="165" t="str">
        <f t="shared" si="2"/>
        <v>R_50_woff_rxn =  # Calc how much water offset to add to each rxn. (in ul)</v>
      </c>
    </row>
    <row r="65" spans="2:11" x14ac:dyDescent="0.25">
      <c r="B65" s="165" t="s">
        <v>448</v>
      </c>
      <c r="C65" s="84">
        <f>C64*C30*(1+C33-C35)</f>
        <v>19.799999999999997</v>
      </c>
      <c r="D65" s="165" t="s">
        <v>449</v>
      </c>
      <c r="E65" s="165"/>
      <c r="F65" s="165"/>
      <c r="G65" s="165"/>
      <c r="H65" s="165"/>
      <c r="I65" s="165"/>
      <c r="J65" s="165"/>
      <c r="K65" s="165" t="str">
        <f t="shared" si="2"/>
        <v>R_50_woff_mix =  # Calc how much water offset to add to R_50 mix. (in ul)</v>
      </c>
    </row>
    <row r="66" spans="2:11" x14ac:dyDescent="0.25">
      <c r="B66" s="165" t="s">
        <v>450</v>
      </c>
      <c r="C66" s="84">
        <f>C23/1000*$C$13/orig_R_conc</f>
        <v>0.2</v>
      </c>
      <c r="D66" s="165" t="s">
        <v>451</v>
      </c>
      <c r="E66" s="165"/>
      <c r="F66" s="165"/>
      <c r="G66" s="165"/>
      <c r="H66" s="165"/>
      <c r="I66" s="165"/>
      <c r="J66" s="165"/>
      <c r="K66" s="165" t="str">
        <f t="shared" si="2"/>
        <v>R_100_rxn =  # Calc how much R primer at concentration to add. (in ul)</v>
      </c>
    </row>
    <row r="67" spans="2:11" x14ac:dyDescent="0.25">
      <c r="B67" s="165" t="s">
        <v>452</v>
      </c>
      <c r="C67" s="84">
        <f>C66*$C$30*(1+$C$33-C35)</f>
        <v>2.64</v>
      </c>
      <c r="D67" s="165" t="s">
        <v>453</v>
      </c>
      <c r="E67" s="165"/>
      <c r="F67" s="165"/>
      <c r="G67" s="165"/>
      <c r="H67" s="165"/>
      <c r="I67" s="165"/>
      <c r="J67" s="165"/>
      <c r="K67" s="165" t="str">
        <f t="shared" si="2"/>
        <v>R_100_mix =  # Calc how much R primer to add to add. (in ul)</v>
      </c>
    </row>
    <row r="68" spans="2:11" x14ac:dyDescent="0.25">
      <c r="B68" s="165" t="s">
        <v>454</v>
      </c>
      <c r="C68" s="84">
        <f>$C$45-C66</f>
        <v>1.4000000000000001</v>
      </c>
      <c r="D68" s="165" t="s">
        <v>447</v>
      </c>
      <c r="E68" s="165"/>
      <c r="F68" s="165"/>
      <c r="G68" s="165"/>
      <c r="H68" s="165"/>
      <c r="I68" s="165"/>
      <c r="J68" s="165"/>
      <c r="K68" s="165" t="str">
        <f t="shared" si="2"/>
        <v>R_100_woff_rxn =  # Calc how much water offset to add to each rxn. (in ul)</v>
      </c>
    </row>
    <row r="69" spans="2:11" x14ac:dyDescent="0.25">
      <c r="B69" s="165" t="s">
        <v>455</v>
      </c>
      <c r="C69" s="84">
        <f>C68*$C$30*(1+$C$33-C35)</f>
        <v>18.479999999999997</v>
      </c>
      <c r="D69" s="165" t="s">
        <v>456</v>
      </c>
      <c r="E69" s="165"/>
      <c r="F69" s="165"/>
      <c r="G69" s="165"/>
      <c r="H69" s="165"/>
      <c r="I69" s="165"/>
      <c r="J69" s="165"/>
      <c r="K69" s="165" t="str">
        <f t="shared" si="2"/>
        <v>R_100_woff_mix =  # Calc how much water offset to add to mix. (in ul)</v>
      </c>
    </row>
    <row r="70" spans="2:11" x14ac:dyDescent="0.25">
      <c r="B70" s="165" t="s">
        <v>457</v>
      </c>
      <c r="C70" s="84">
        <f>C24/1000*$C$13/orig_R_conc</f>
        <v>0.4</v>
      </c>
      <c r="D70" s="165" t="s">
        <v>451</v>
      </c>
      <c r="E70" s="165"/>
      <c r="F70" s="165"/>
      <c r="G70" s="165"/>
      <c r="H70" s="165"/>
      <c r="I70" s="165"/>
      <c r="J70" s="165"/>
      <c r="K70" s="165" t="str">
        <f t="shared" si="2"/>
        <v>R_200_rxn =  # Calc how much R primer at concentration to add. (in ul)</v>
      </c>
    </row>
    <row r="71" spans="2:11" x14ac:dyDescent="0.25">
      <c r="B71" s="165" t="s">
        <v>458</v>
      </c>
      <c r="C71" s="84">
        <f>C70*$C$30*(1+$C$33-C35)</f>
        <v>5.28</v>
      </c>
      <c r="D71" s="165" t="s">
        <v>453</v>
      </c>
      <c r="E71" s="165"/>
      <c r="F71" s="165"/>
      <c r="G71" s="165"/>
      <c r="H71" s="165"/>
      <c r="I71" s="165"/>
      <c r="J71" s="165"/>
      <c r="K71" s="165" t="str">
        <f t="shared" si="2"/>
        <v>R_200_mix =  # Calc how much R primer to add to add. (in ul)</v>
      </c>
    </row>
    <row r="72" spans="2:11" x14ac:dyDescent="0.25">
      <c r="B72" s="165" t="s">
        <v>459</v>
      </c>
      <c r="C72" s="84">
        <f>$C$45-C70</f>
        <v>1.2000000000000002</v>
      </c>
      <c r="D72" s="165" t="s">
        <v>447</v>
      </c>
      <c r="E72" s="165"/>
      <c r="F72" s="165"/>
      <c r="G72" s="165"/>
      <c r="H72" s="165"/>
      <c r="I72" s="165"/>
      <c r="J72" s="165"/>
      <c r="K72" s="165" t="str">
        <f t="shared" si="2"/>
        <v>R_200_woff_rxn =  # Calc how much water offset to add to each rxn. (in ul)</v>
      </c>
    </row>
    <row r="73" spans="2:11" x14ac:dyDescent="0.25">
      <c r="B73" s="165" t="s">
        <v>460</v>
      </c>
      <c r="C73" s="84">
        <f>C72*$C$30*(1+$C$33-C35)</f>
        <v>15.84</v>
      </c>
      <c r="D73" s="165" t="s">
        <v>456</v>
      </c>
      <c r="E73" s="165"/>
      <c r="F73" s="165"/>
      <c r="G73" s="165"/>
      <c r="H73" s="165"/>
      <c r="I73" s="165"/>
      <c r="J73" s="165"/>
      <c r="K73" s="165" t="str">
        <f t="shared" si="2"/>
        <v>R_200_woff_mix =  # Calc how much water offset to add to mix. (in ul)</v>
      </c>
    </row>
    <row r="74" spans="2:11" x14ac:dyDescent="0.25">
      <c r="B74" s="165" t="s">
        <v>461</v>
      </c>
      <c r="C74" s="84">
        <f>C25/1000*$C$13/orig_R_conc</f>
        <v>0.8</v>
      </c>
      <c r="D74" s="165" t="s">
        <v>451</v>
      </c>
      <c r="E74" s="165"/>
      <c r="F74" s="165"/>
      <c r="G74" s="165"/>
      <c r="H74" s="165"/>
      <c r="I74" s="165"/>
      <c r="J74" s="165"/>
      <c r="K74" s="165" t="str">
        <f t="shared" si="2"/>
        <v>R_400_rxn =  # Calc how much R primer at concentration to add. (in ul)</v>
      </c>
    </row>
    <row r="75" spans="2:11" x14ac:dyDescent="0.25">
      <c r="B75" s="165" t="s">
        <v>462</v>
      </c>
      <c r="C75" s="84">
        <f>C74*$C$30*(1+$C$33-C35)</f>
        <v>10.56</v>
      </c>
      <c r="D75" s="165" t="s">
        <v>453</v>
      </c>
      <c r="E75" s="165"/>
      <c r="F75" s="165"/>
      <c r="G75" s="165"/>
      <c r="H75" s="165"/>
      <c r="I75" s="165"/>
      <c r="J75" s="165"/>
      <c r="K75" s="165" t="str">
        <f t="shared" si="2"/>
        <v>R_400_mix =  # Calc how much R primer to add to add. (in ul)</v>
      </c>
    </row>
    <row r="76" spans="2:11" x14ac:dyDescent="0.25">
      <c r="B76" s="165" t="s">
        <v>463</v>
      </c>
      <c r="C76" s="84">
        <f>$C$45-C74</f>
        <v>0.8</v>
      </c>
      <c r="D76" s="165" t="s">
        <v>447</v>
      </c>
      <c r="E76" s="165"/>
      <c r="F76" s="165"/>
      <c r="G76" s="165"/>
      <c r="H76" s="165"/>
      <c r="I76" s="165"/>
      <c r="J76" s="165"/>
      <c r="K76" s="165" t="str">
        <f t="shared" si="2"/>
        <v>R_400_woff_rxn =  # Calc how much water offset to add to each rxn. (in ul)</v>
      </c>
    </row>
    <row r="77" spans="2:11" x14ac:dyDescent="0.25">
      <c r="B77" s="165" t="s">
        <v>464</v>
      </c>
      <c r="C77" s="84">
        <f>C76*$C$30*(1+$C$33-C35)</f>
        <v>10.56</v>
      </c>
      <c r="D77" s="165" t="s">
        <v>456</v>
      </c>
      <c r="E77" s="165"/>
      <c r="F77" s="165"/>
      <c r="G77" s="165"/>
      <c r="H77" s="165"/>
      <c r="I77" s="165"/>
      <c r="J77" s="165"/>
      <c r="K77" s="165" t="str">
        <f t="shared" si="2"/>
        <v>R_400_woff_mix =  # Calc how much water offset to add to mix. (in ul)</v>
      </c>
    </row>
    <row r="78" spans="2:11" x14ac:dyDescent="0.25">
      <c r="B78" s="165" t="s">
        <v>465</v>
      </c>
      <c r="C78" s="84">
        <f>C26/1000*$C$13/orig_R_conc</f>
        <v>1.2</v>
      </c>
      <c r="D78" s="165" t="s">
        <v>451</v>
      </c>
      <c r="E78" s="165"/>
      <c r="F78" s="165"/>
      <c r="G78" s="165"/>
      <c r="H78" s="165"/>
      <c r="I78" s="165"/>
      <c r="J78" s="165"/>
      <c r="K78" s="165" t="str">
        <f t="shared" si="2"/>
        <v>R_600_rxn =  # Calc how much R primer at concentration to add. (in ul)</v>
      </c>
    </row>
    <row r="79" spans="2:11" x14ac:dyDescent="0.25">
      <c r="B79" s="165" t="s">
        <v>466</v>
      </c>
      <c r="C79" s="84">
        <f>C78*$C$30*(1+$C$33-C35)</f>
        <v>15.839999999999996</v>
      </c>
      <c r="D79" s="165" t="s">
        <v>453</v>
      </c>
      <c r="E79" s="165"/>
      <c r="F79" s="165"/>
      <c r="G79" s="165"/>
      <c r="H79" s="165"/>
      <c r="I79" s="165"/>
      <c r="J79" s="165"/>
      <c r="K79" s="165" t="str">
        <f t="shared" si="2"/>
        <v>R_600_mix =  # Calc how much R primer to add to add. (in ul)</v>
      </c>
    </row>
    <row r="80" spans="2:11" x14ac:dyDescent="0.25">
      <c r="B80" s="165" t="s">
        <v>467</v>
      </c>
      <c r="C80" s="84">
        <f>$C$45-C78</f>
        <v>0.40000000000000013</v>
      </c>
      <c r="D80" s="165" t="s">
        <v>447</v>
      </c>
      <c r="E80" s="165"/>
      <c r="F80" s="165"/>
      <c r="G80" s="165"/>
      <c r="H80" s="165"/>
      <c r="I80" s="165"/>
      <c r="J80" s="165"/>
      <c r="K80" s="165" t="str">
        <f t="shared" si="2"/>
        <v>R_600_woff_rxn =  # Calc how much water offset to add to each rxn. (in ul)</v>
      </c>
    </row>
    <row r="81" spans="2:11" x14ac:dyDescent="0.25">
      <c r="B81" s="165" t="s">
        <v>468</v>
      </c>
      <c r="C81" s="84">
        <f>C80*$C$30*(1+$C$33-C35)</f>
        <v>5.2800000000000011</v>
      </c>
      <c r="D81" s="165" t="s">
        <v>456</v>
      </c>
      <c r="E81" s="165"/>
      <c r="F81" s="165"/>
      <c r="G81" s="165"/>
      <c r="H81" s="165"/>
      <c r="I81" s="165"/>
      <c r="J81" s="165"/>
      <c r="K81" s="165" t="str">
        <f t="shared" si="2"/>
        <v>R_600_woff_mix =  # Calc how much water offset to add to mix. (in ul)</v>
      </c>
    </row>
    <row r="82" spans="2:11" x14ac:dyDescent="0.25">
      <c r="B82" s="165" t="s">
        <v>469</v>
      </c>
      <c r="C82" s="84">
        <f>C27/1000*$C$13/orig_R_conc</f>
        <v>1.6</v>
      </c>
      <c r="D82" s="165" t="s">
        <v>451</v>
      </c>
      <c r="E82" s="165"/>
      <c r="F82" s="165"/>
      <c r="G82" s="165"/>
      <c r="H82" s="165"/>
      <c r="I82" s="165"/>
      <c r="J82" s="165"/>
      <c r="K82" s="165" t="str">
        <f t="shared" si="2"/>
        <v>R_800_rxn =  # Calc how much R primer at concentration to add. (in ul)</v>
      </c>
    </row>
    <row r="83" spans="2:11" x14ac:dyDescent="0.25">
      <c r="B83" s="165" t="s">
        <v>470</v>
      </c>
      <c r="C83" s="84">
        <f>C82*$C$30*(1+$C$33-C35)</f>
        <v>21.12</v>
      </c>
      <c r="D83" s="165" t="s">
        <v>453</v>
      </c>
      <c r="E83" s="165"/>
      <c r="F83" s="165"/>
      <c r="G83" s="165"/>
      <c r="H83" s="165"/>
      <c r="I83" s="165"/>
      <c r="J83" s="165"/>
      <c r="K83" s="165" t="str">
        <f t="shared" si="2"/>
        <v>R_800_mix =  # Calc how much R primer to add to add. (in ul)</v>
      </c>
    </row>
    <row r="84" spans="2:11" x14ac:dyDescent="0.25">
      <c r="B84" s="165" t="s">
        <v>471</v>
      </c>
      <c r="C84" s="84">
        <f>$C$45-C82</f>
        <v>0</v>
      </c>
      <c r="D84" s="165" t="s">
        <v>447</v>
      </c>
      <c r="E84" s="165"/>
      <c r="F84" s="165"/>
      <c r="G84" s="165"/>
      <c r="H84" s="165"/>
      <c r="I84" s="165"/>
      <c r="J84" s="165"/>
      <c r="K84" s="165" t="str">
        <f t="shared" si="2"/>
        <v>R_800_woff_rxn =  # Calc how much water offset to add to each rxn. (in ul)</v>
      </c>
    </row>
    <row r="85" spans="2:11" x14ac:dyDescent="0.25">
      <c r="B85" s="165" t="s">
        <v>472</v>
      </c>
      <c r="C85" s="84">
        <f>C84*$C$30*(1+$C$33-C35)</f>
        <v>0</v>
      </c>
      <c r="D85" s="165" t="s">
        <v>456</v>
      </c>
      <c r="E85" s="165"/>
      <c r="F85" s="165"/>
      <c r="G85" s="165"/>
      <c r="H85" s="165"/>
      <c r="I85" s="165"/>
      <c r="J85" s="165"/>
      <c r="K85" s="165" t="str">
        <f t="shared" si="2"/>
        <v>R_800_woff_mix =  # Calc how much water offset to add to mix. (in ul)</v>
      </c>
    </row>
    <row r="86" spans="2:11" x14ac:dyDescent="0.25">
      <c r="B86" s="165" t="s">
        <v>473</v>
      </c>
      <c r="C86" s="84">
        <f>C16/1000*$C$13/$C$44</f>
        <v>0.625</v>
      </c>
      <c r="D86" s="165" t="s">
        <v>474</v>
      </c>
      <c r="E86" s="165"/>
      <c r="F86" s="165"/>
      <c r="G86" s="165"/>
      <c r="H86" s="165"/>
      <c r="I86" s="165"/>
      <c r="J86" s="165"/>
      <c r="K86" s="165" t="str">
        <f t="shared" si="2"/>
        <v>F_50_int_conc =  # What intermediate (int) concentration of F primer is needed such that by adding 1.6ul I obtain a final F primer concentration of 50, 100, 200…etc in rxn well? (in uM)</v>
      </c>
    </row>
    <row r="87" spans="2:11" x14ac:dyDescent="0.25">
      <c r="B87" s="165" t="s">
        <v>475</v>
      </c>
      <c r="C87" s="84">
        <f t="shared" ref="C87:C91" si="3">C17/1000*$C$13/$C$44</f>
        <v>1.25</v>
      </c>
      <c r="D87" s="165" t="s">
        <v>474</v>
      </c>
      <c r="E87" s="165"/>
      <c r="F87" s="165"/>
      <c r="G87" s="165"/>
      <c r="H87" s="165"/>
      <c r="I87" s="165"/>
      <c r="J87" s="165"/>
      <c r="K87" s="165" t="str">
        <f t="shared" si="2"/>
        <v>F_100_int_conc =  # What intermediate (int) concentration of F primer is needed such that by adding 1.6ul I obtain a final F primer concentration of 50, 100, 200…etc in rxn well? (in uM)</v>
      </c>
    </row>
    <row r="88" spans="2:11" x14ac:dyDescent="0.25">
      <c r="B88" s="165" t="s">
        <v>476</v>
      </c>
      <c r="C88" s="84">
        <f t="shared" si="3"/>
        <v>2.5</v>
      </c>
      <c r="D88" s="165" t="s">
        <v>474</v>
      </c>
      <c r="E88" s="165"/>
      <c r="F88" s="165"/>
      <c r="G88" s="165"/>
      <c r="H88" s="165"/>
      <c r="I88" s="165"/>
      <c r="J88" s="165"/>
      <c r="K88" s="165" t="str">
        <f t="shared" si="2"/>
        <v>F_200_int_conc =  # What intermediate (int) concentration of F primer is needed such that by adding 1.6ul I obtain a final F primer concentration of 50, 100, 200…etc in rxn well? (in uM)</v>
      </c>
    </row>
    <row r="89" spans="2:11" x14ac:dyDescent="0.25">
      <c r="B89" s="165" t="s">
        <v>477</v>
      </c>
      <c r="C89" s="84">
        <f t="shared" si="3"/>
        <v>5</v>
      </c>
      <c r="D89" s="165" t="s">
        <v>474</v>
      </c>
      <c r="E89" s="165"/>
      <c r="F89" s="165"/>
      <c r="G89" s="165"/>
      <c r="H89" s="165"/>
      <c r="I89" s="165"/>
      <c r="J89" s="165"/>
      <c r="K89" s="165" t="str">
        <f t="shared" si="2"/>
        <v>F_400_int_conc =  # What intermediate (int) concentration of F primer is needed such that by adding 1.6ul I obtain a final F primer concentration of 50, 100, 200…etc in rxn well? (in uM)</v>
      </c>
    </row>
    <row r="90" spans="2:11" x14ac:dyDescent="0.25">
      <c r="B90" s="165" t="s">
        <v>478</v>
      </c>
      <c r="C90" s="84">
        <f t="shared" si="3"/>
        <v>7.5</v>
      </c>
      <c r="D90" s="165" t="s">
        <v>474</v>
      </c>
      <c r="E90" s="165"/>
      <c r="F90" s="165"/>
      <c r="G90" s="165"/>
      <c r="H90" s="165"/>
      <c r="I90" s="165"/>
      <c r="J90" s="165"/>
      <c r="K90" s="165" t="str">
        <f t="shared" si="2"/>
        <v>F_600_int_conc =  # What intermediate (int) concentration of F primer is needed such that by adding 1.6ul I obtain a final F primer concentration of 50, 100, 200…etc in rxn well? (in uM)</v>
      </c>
    </row>
    <row r="91" spans="2:11" x14ac:dyDescent="0.25">
      <c r="B91" s="165" t="s">
        <v>479</v>
      </c>
      <c r="C91" s="84">
        <f t="shared" si="3"/>
        <v>10</v>
      </c>
      <c r="D91" s="165" t="s">
        <v>474</v>
      </c>
      <c r="E91" s="165"/>
      <c r="F91" s="165"/>
      <c r="G91" s="165"/>
      <c r="H91" s="165"/>
      <c r="I91" s="165"/>
      <c r="J91" s="165"/>
      <c r="K91" s="165" t="str">
        <f t="shared" si="2"/>
        <v>F_800_int_conc =  # What intermediate (int) concentration of F primer is needed such that by adding 1.6ul I obtain a final F primer concentration of 50, 100, 200…etc in rxn well? (in uM)</v>
      </c>
    </row>
    <row r="92" spans="2:11" x14ac:dyDescent="0.25">
      <c r="B92" s="165" t="s">
        <v>480</v>
      </c>
      <c r="C92" s="84">
        <f>C86*F_int_vol/$C$3</f>
        <v>6.25</v>
      </c>
      <c r="D92" s="165" t="s">
        <v>481</v>
      </c>
      <c r="E92" s="165"/>
      <c r="F92" s="165"/>
      <c r="G92" s="165"/>
      <c r="H92" s="165"/>
      <c r="I92" s="165"/>
      <c r="J92" s="165"/>
      <c r="K92" s="165" t="str">
        <f t="shared" si="2"/>
        <v>F_50_int_primer =  # What amount of primer should be added to generate int F primer conc? (in ul)</v>
      </c>
    </row>
    <row r="93" spans="2:11" x14ac:dyDescent="0.25">
      <c r="B93" s="165" t="s">
        <v>482</v>
      </c>
      <c r="C93" s="84">
        <f>F_int_vol-C92</f>
        <v>93.75</v>
      </c>
      <c r="D93" s="165" t="s">
        <v>483</v>
      </c>
      <c r="E93" s="165"/>
      <c r="F93" s="165"/>
      <c r="G93" s="165"/>
      <c r="H93" s="165"/>
      <c r="I93" s="165"/>
      <c r="J93" s="165"/>
      <c r="K93" s="165" t="str">
        <f t="shared" si="2"/>
        <v>F_50_int_water =  # What amount of water should be added to generate int F primer conc? (in ul)</v>
      </c>
    </row>
    <row r="94" spans="2:11" x14ac:dyDescent="0.25">
      <c r="B94" s="165" t="s">
        <v>484</v>
      </c>
      <c r="C94" s="84">
        <f>C87*F_int_vol/$C$3</f>
        <v>12.5</v>
      </c>
      <c r="D94" s="165" t="s">
        <v>481</v>
      </c>
      <c r="E94" s="165"/>
      <c r="F94" s="165"/>
      <c r="G94" s="165"/>
      <c r="H94" s="165"/>
      <c r="I94" s="165"/>
      <c r="J94" s="165"/>
      <c r="K94" s="165" t="str">
        <f t="shared" si="2"/>
        <v>F_100_int_primer =  # What amount of primer should be added to generate int F primer conc? (in ul)</v>
      </c>
    </row>
    <row r="95" spans="2:11" x14ac:dyDescent="0.25">
      <c r="B95" s="165" t="s">
        <v>485</v>
      </c>
      <c r="C95" s="84">
        <f>F_int_vol-C94</f>
        <v>87.5</v>
      </c>
      <c r="D95" s="165" t="s">
        <v>483</v>
      </c>
      <c r="E95" s="165"/>
      <c r="F95" s="165"/>
      <c r="G95" s="165"/>
      <c r="H95" s="165"/>
      <c r="I95" s="165"/>
      <c r="J95" s="165"/>
      <c r="K95" s="165" t="str">
        <f t="shared" si="2"/>
        <v>F_100_int_water =  # What amount of water should be added to generate int F primer conc? (in ul)</v>
      </c>
    </row>
    <row r="96" spans="2:11" x14ac:dyDescent="0.25">
      <c r="B96" s="165" t="s">
        <v>486</v>
      </c>
      <c r="C96" s="84">
        <f>C88*F_int_vol/$C$3</f>
        <v>25</v>
      </c>
      <c r="D96" s="165" t="s">
        <v>481</v>
      </c>
      <c r="E96" s="165"/>
      <c r="F96" s="165"/>
      <c r="G96" s="165"/>
      <c r="H96" s="165"/>
      <c r="I96" s="165"/>
      <c r="J96" s="165"/>
      <c r="K96" s="165" t="str">
        <f t="shared" si="2"/>
        <v>F_200_int_primer =  # What amount of primer should be added to generate int F primer conc? (in ul)</v>
      </c>
    </row>
    <row r="97" spans="2:11" x14ac:dyDescent="0.25">
      <c r="B97" s="165" t="s">
        <v>487</v>
      </c>
      <c r="C97" s="84">
        <f>F_int_vol-C96</f>
        <v>75</v>
      </c>
      <c r="D97" s="165" t="s">
        <v>483</v>
      </c>
      <c r="E97" s="165"/>
      <c r="F97" s="165"/>
      <c r="G97" s="165"/>
      <c r="H97" s="165"/>
      <c r="I97" s="165"/>
      <c r="J97" s="165"/>
      <c r="K97" s="165" t="str">
        <f t="shared" si="2"/>
        <v>F_200_int_water =  # What amount of water should be added to generate int F primer conc? (in ul)</v>
      </c>
    </row>
    <row r="98" spans="2:11" x14ac:dyDescent="0.25">
      <c r="B98" s="165" t="s">
        <v>488</v>
      </c>
      <c r="C98" s="84">
        <f>C89*F_int_vol/$C$3</f>
        <v>50</v>
      </c>
      <c r="D98" s="165" t="s">
        <v>481</v>
      </c>
      <c r="E98" s="165"/>
      <c r="F98" s="165"/>
      <c r="G98" s="165"/>
      <c r="H98" s="165"/>
      <c r="I98" s="165"/>
      <c r="J98" s="165"/>
      <c r="K98" s="165" t="str">
        <f t="shared" si="2"/>
        <v>F_400_int_primer =  # What amount of primer should be added to generate int F primer conc? (in ul)</v>
      </c>
    </row>
    <row r="99" spans="2:11" x14ac:dyDescent="0.25">
      <c r="B99" s="165" t="s">
        <v>489</v>
      </c>
      <c r="C99" s="84">
        <f>F_int_vol-C98</f>
        <v>50</v>
      </c>
      <c r="D99" s="165" t="s">
        <v>483</v>
      </c>
      <c r="E99" s="165"/>
      <c r="F99" s="165"/>
      <c r="G99" s="165"/>
      <c r="H99" s="165"/>
      <c r="I99" s="165"/>
      <c r="J99" s="165"/>
      <c r="K99" s="165" t="str">
        <f t="shared" si="2"/>
        <v>F_400_int_water =  # What amount of water should be added to generate int F primer conc? (in ul)</v>
      </c>
    </row>
    <row r="100" spans="2:11" x14ac:dyDescent="0.25">
      <c r="B100" s="165" t="s">
        <v>490</v>
      </c>
      <c r="C100" s="84">
        <f>C90*F_int_vol/$C$3</f>
        <v>75</v>
      </c>
      <c r="D100" s="165" t="s">
        <v>481</v>
      </c>
      <c r="E100" s="165"/>
      <c r="F100" s="165"/>
      <c r="G100" s="165"/>
      <c r="H100" s="165"/>
      <c r="I100" s="165"/>
      <c r="J100" s="165"/>
      <c r="K100" s="165" t="str">
        <f t="shared" si="2"/>
        <v>F_600_int_primer =  # What amount of primer should be added to generate int F primer conc? (in ul)</v>
      </c>
    </row>
    <row r="101" spans="2:11" x14ac:dyDescent="0.25">
      <c r="B101" s="165" t="s">
        <v>491</v>
      </c>
      <c r="C101" s="84">
        <f>F_int_vol-C100</f>
        <v>25</v>
      </c>
      <c r="D101" s="165" t="s">
        <v>483</v>
      </c>
      <c r="E101" s="165"/>
      <c r="F101" s="165"/>
      <c r="G101" s="165"/>
      <c r="H101" s="165"/>
      <c r="I101" s="165"/>
      <c r="J101" s="165"/>
      <c r="K101" s="165" t="str">
        <f t="shared" si="2"/>
        <v>F_600_int_water =  # What amount of water should be added to generate int F primer conc? (in ul)</v>
      </c>
    </row>
    <row r="102" spans="2:11" x14ac:dyDescent="0.25">
      <c r="B102" s="165" t="s">
        <v>492</v>
      </c>
      <c r="C102" s="84">
        <f>C91*F_int_vol/$C$3</f>
        <v>100</v>
      </c>
      <c r="D102" s="165" t="s">
        <v>481</v>
      </c>
      <c r="E102" s="165"/>
      <c r="F102" s="165"/>
      <c r="G102" s="165"/>
      <c r="H102" s="165"/>
      <c r="I102" s="165"/>
      <c r="J102" s="165"/>
      <c r="K102" s="165" t="str">
        <f t="shared" si="2"/>
        <v>F_800_int_primer =  # What amount of primer should be added to generate int F primer conc? (in ul)</v>
      </c>
    </row>
    <row r="103" spans="2:11" x14ac:dyDescent="0.25">
      <c r="B103" s="165" t="s">
        <v>493</v>
      </c>
      <c r="C103" s="84">
        <f>F_int_vol-C102</f>
        <v>0</v>
      </c>
      <c r="D103" s="165" t="s">
        <v>483</v>
      </c>
      <c r="E103" s="165"/>
      <c r="F103" s="165"/>
      <c r="G103" s="165"/>
      <c r="H103" s="165"/>
      <c r="I103" s="165"/>
      <c r="J103" s="165"/>
      <c r="K103" s="165" t="str">
        <f t="shared" si="2"/>
        <v>F_800_int_water =  # What amount of water should be added to generate int F primer conc? (in ul)</v>
      </c>
    </row>
    <row r="104" spans="2:11" x14ac:dyDescent="0.25">
      <c r="B104" s="165" t="s">
        <v>494</v>
      </c>
      <c r="C104" s="84">
        <f>C60+C62+C64</f>
        <v>18.400000000000002</v>
      </c>
      <c r="D104" s="165" t="s">
        <v>495</v>
      </c>
      <c r="E104" s="165"/>
      <c r="F104" s="165"/>
      <c r="G104" s="165"/>
      <c r="H104" s="165"/>
      <c r="I104" s="165"/>
      <c r="J104" s="165"/>
      <c r="K104" s="165" t="str">
        <f t="shared" si="2"/>
        <v>R_mix_rxn =  # What is the rxn vol that should be aliquoted to plate wells after R primer addition? (in ul)</v>
      </c>
    </row>
    <row r="108" spans="2:11" x14ac:dyDescent="0.25">
      <c r="B108" s="165" t="s">
        <v>496</v>
      </c>
      <c r="C108" s="165"/>
      <c r="D108" s="165"/>
      <c r="E108" s="165"/>
      <c r="F108" s="165"/>
      <c r="G108" s="165"/>
      <c r="H108" s="165"/>
      <c r="I108" s="165"/>
      <c r="J108" s="165"/>
      <c r="K108" s="165"/>
    </row>
    <row r="109" spans="2:11" x14ac:dyDescent="0.25">
      <c r="B109" s="102" t="s">
        <v>497</v>
      </c>
      <c r="C109" s="84">
        <f>C49*(1+C33)*C40</f>
        <v>1704.96</v>
      </c>
      <c r="D109" s="165" t="s">
        <v>498</v>
      </c>
      <c r="E109" s="165"/>
      <c r="F109" s="165"/>
      <c r="G109" s="165"/>
      <c r="H109" s="165"/>
      <c r="I109" s="165"/>
      <c r="J109" s="165"/>
      <c r="K109" s="165" t="str">
        <f t="shared" ref="K109:K117" si="4">B109&amp;" = "&amp;" "&amp;"# "&amp;D109</f>
        <v>BPW_mix_tot =  # Mix = base + probe + water (no DNA, F, R primer)*96*waste. (in ul)</v>
      </c>
    </row>
    <row r="110" spans="2:11" x14ac:dyDescent="0.25">
      <c r="B110" s="165" t="s">
        <v>499</v>
      </c>
      <c r="C110" s="84">
        <f>C52+C53+C54+C55</f>
        <v>507.60000000000014</v>
      </c>
      <c r="D110" s="165" t="s">
        <v>500</v>
      </c>
      <c r="E110" s="165"/>
      <c r="F110" s="165"/>
      <c r="G110" s="165"/>
      <c r="H110" s="165"/>
      <c r="I110" s="165"/>
      <c r="J110" s="165"/>
      <c r="K110" s="165" t="str">
        <f t="shared" si="4"/>
        <v>sN_mix_tot =  # Mix = base + probe + water + F,R primers at std conc + water offset (no DNA) * number stds_NTC * waste</v>
      </c>
    </row>
    <row r="111" spans="2:11" x14ac:dyDescent="0.25">
      <c r="B111" s="165" t="s">
        <v>501</v>
      </c>
      <c r="C111" s="84">
        <f>C58+C59</f>
        <v>1415.2320000000002</v>
      </c>
      <c r="D111" s="165" t="s">
        <v>502</v>
      </c>
      <c r="E111" s="165"/>
      <c r="F111" s="165"/>
      <c r="G111" s="165"/>
      <c r="H111" s="165"/>
      <c r="I111" s="165"/>
      <c r="J111" s="165"/>
      <c r="K111" s="165" t="str">
        <f t="shared" si="4"/>
        <v xml:space="preserve">bpwd_mix_tot =  # Mix = base + probe + DNA (no F, R primer) </v>
      </c>
    </row>
    <row r="112" spans="2:11" x14ac:dyDescent="0.25">
      <c r="B112" s="165" t="s">
        <v>503</v>
      </c>
      <c r="C112" s="84">
        <f>C61+C63+C65</f>
        <v>242.88</v>
      </c>
      <c r="D112" s="165" t="s">
        <v>504</v>
      </c>
      <c r="E112" s="165"/>
      <c r="F112" s="165"/>
      <c r="G112" s="165"/>
      <c r="H112" s="165"/>
      <c r="I112" s="165"/>
      <c r="J112" s="165"/>
      <c r="K112" s="165" t="str">
        <f t="shared" si="4"/>
        <v>50_mix =  # Mix = base + probe + DNA+ R primer (No F primer)</v>
      </c>
    </row>
    <row r="113" spans="2:19" x14ac:dyDescent="0.25">
      <c r="B113" s="165" t="s">
        <v>505</v>
      </c>
      <c r="C113" s="84">
        <f>C61+C67+C69</f>
        <v>242.87999999999997</v>
      </c>
      <c r="D113" s="165" t="s">
        <v>504</v>
      </c>
      <c r="E113" s="165"/>
      <c r="F113" s="165"/>
      <c r="G113" s="165"/>
      <c r="H113" s="165"/>
      <c r="I113" s="165"/>
      <c r="J113" s="165"/>
      <c r="K113" s="165" t="str">
        <f t="shared" si="4"/>
        <v>100_mix =  # Mix = base + probe + DNA+ R primer (No F primer)</v>
      </c>
      <c r="L113" s="165"/>
      <c r="M113" s="165"/>
      <c r="N113" s="165"/>
      <c r="O113" s="165"/>
      <c r="P113" s="165"/>
      <c r="Q113" s="165"/>
      <c r="R113" s="165"/>
      <c r="S113" s="165"/>
    </row>
    <row r="114" spans="2:19" x14ac:dyDescent="0.25">
      <c r="B114" s="165" t="s">
        <v>506</v>
      </c>
      <c r="C114" s="84">
        <f>C61+C71+C73</f>
        <v>242.88</v>
      </c>
      <c r="D114" s="165" t="s">
        <v>504</v>
      </c>
      <c r="E114" s="165"/>
      <c r="F114" s="165"/>
      <c r="G114" s="165"/>
      <c r="H114" s="165"/>
      <c r="I114" s="165"/>
      <c r="J114" s="165"/>
      <c r="K114" s="165" t="str">
        <f t="shared" si="4"/>
        <v>200_mix =  # Mix = base + probe + DNA+ R primer (No F primer)</v>
      </c>
      <c r="L114" s="165"/>
      <c r="M114" s="165"/>
      <c r="N114" s="165"/>
      <c r="O114" s="165"/>
      <c r="P114" s="165"/>
      <c r="Q114" s="165"/>
      <c r="R114" s="165"/>
      <c r="S114" s="165"/>
    </row>
    <row r="115" spans="2:19" x14ac:dyDescent="0.25">
      <c r="B115" s="165" t="s">
        <v>507</v>
      </c>
      <c r="C115" s="84">
        <f>C61+C75+C77</f>
        <v>242.88</v>
      </c>
      <c r="D115" s="165" t="s">
        <v>504</v>
      </c>
      <c r="E115" s="165"/>
      <c r="F115" s="165"/>
      <c r="G115" s="165"/>
      <c r="H115" s="165"/>
      <c r="I115" s="165"/>
      <c r="J115" s="165"/>
      <c r="K115" s="165" t="str">
        <f t="shared" si="4"/>
        <v>400_mix =  # Mix = base + probe + DNA+ R primer (No F primer)</v>
      </c>
      <c r="L115" s="165"/>
      <c r="M115" s="165"/>
      <c r="N115" s="165"/>
      <c r="O115" s="165"/>
      <c r="P115" s="165"/>
      <c r="Q115" s="165"/>
      <c r="R115" s="165"/>
      <c r="S115" s="165"/>
    </row>
    <row r="116" spans="2:19" x14ac:dyDescent="0.25">
      <c r="B116" s="165" t="s">
        <v>508</v>
      </c>
      <c r="C116" s="84">
        <f>C61+C79+C81</f>
        <v>242.88</v>
      </c>
      <c r="D116" s="165" t="s">
        <v>504</v>
      </c>
      <c r="E116" s="165"/>
      <c r="F116" s="165"/>
      <c r="G116" s="165"/>
      <c r="H116" s="165"/>
      <c r="I116" s="165"/>
      <c r="J116" s="165"/>
      <c r="K116" s="165" t="str">
        <f t="shared" si="4"/>
        <v>600_mix =  # Mix = base + probe + DNA+ R primer (No F primer)</v>
      </c>
      <c r="L116" s="165"/>
      <c r="M116" s="165"/>
      <c r="N116" s="165"/>
      <c r="O116" s="165"/>
      <c r="P116" s="165"/>
      <c r="Q116" s="165"/>
      <c r="R116" s="165"/>
      <c r="S116" s="165"/>
    </row>
    <row r="117" spans="2:19" x14ac:dyDescent="0.25">
      <c r="B117" s="165" t="s">
        <v>509</v>
      </c>
      <c r="C117" s="84">
        <f>C61+C83+C85</f>
        <v>242.88</v>
      </c>
      <c r="D117" s="165" t="s">
        <v>504</v>
      </c>
      <c r="E117" s="165"/>
      <c r="F117" s="165"/>
      <c r="G117" s="165"/>
      <c r="H117" s="165"/>
      <c r="I117" s="165"/>
      <c r="J117" s="165"/>
      <c r="K117" s="165" t="str">
        <f t="shared" si="4"/>
        <v>800_mix =  # Mix = base + probe + DNA+ R primer (No F primer)</v>
      </c>
      <c r="L117" s="165"/>
      <c r="M117" s="165"/>
      <c r="N117" s="165"/>
      <c r="O117" s="165"/>
      <c r="P117" s="165"/>
      <c r="Q117" s="165"/>
      <c r="R117" s="165"/>
      <c r="S117" s="165"/>
    </row>
    <row r="119" spans="2:19" x14ac:dyDescent="0.25">
      <c r="B119" s="165" t="s">
        <v>510</v>
      </c>
      <c r="C119" s="165"/>
      <c r="D119" s="165"/>
      <c r="E119" s="165"/>
      <c r="F119" s="165"/>
      <c r="G119" s="165"/>
      <c r="H119" s="165"/>
      <c r="I119" s="165"/>
      <c r="J119" s="165"/>
      <c r="K119" s="165"/>
      <c r="L119" s="165"/>
      <c r="M119" s="165"/>
      <c r="N119" s="165"/>
      <c r="O119" s="165"/>
      <c r="P119" s="165"/>
      <c r="Q119" s="165"/>
      <c r="R119" s="165"/>
      <c r="S119" s="165"/>
    </row>
    <row r="120" spans="2:19" x14ac:dyDescent="0.25">
      <c r="B120" s="6" t="s">
        <v>50</v>
      </c>
      <c r="C120" s="6" t="s">
        <v>74</v>
      </c>
      <c r="D120" s="6"/>
      <c r="E120" s="6" t="s">
        <v>150</v>
      </c>
      <c r="F120" s="6"/>
      <c r="G120" s="6"/>
      <c r="H120" s="7" t="s">
        <v>151</v>
      </c>
      <c r="I120" s="165"/>
      <c r="J120" s="165"/>
      <c r="K120" s="165"/>
      <c r="L120" s="165" t="s">
        <v>511</v>
      </c>
      <c r="M120" s="165"/>
      <c r="N120" s="165"/>
      <c r="O120" s="165"/>
      <c r="P120" s="165"/>
      <c r="Q120" s="165"/>
      <c r="R120" s="165"/>
      <c r="S120" s="165"/>
    </row>
    <row r="121" spans="2:19" x14ac:dyDescent="0.25">
      <c r="B121" s="8" t="s">
        <v>153</v>
      </c>
      <c r="C121" s="8">
        <v>0.4</v>
      </c>
      <c r="D121" s="8" t="s">
        <v>27</v>
      </c>
      <c r="E121" s="77">
        <v>0.08</v>
      </c>
      <c r="F121" s="77" t="s">
        <v>56</v>
      </c>
      <c r="G121" s="77"/>
      <c r="H121" s="9">
        <v>29.400000000000002</v>
      </c>
      <c r="I121" s="165"/>
      <c r="J121" s="165"/>
      <c r="K121" s="165"/>
      <c r="L121" s="102" t="s">
        <v>512</v>
      </c>
      <c r="M121" s="165">
        <f>C49*(1+C33)*C40</f>
        <v>1704.96</v>
      </c>
      <c r="N121" s="165"/>
      <c r="O121" s="165"/>
      <c r="P121" s="165" t="str">
        <f>B111</f>
        <v>bpwd_mix_tot</v>
      </c>
      <c r="Q121" s="84">
        <f>C111</f>
        <v>1415.2320000000002</v>
      </c>
      <c r="R121" s="165"/>
      <c r="S121" s="165" t="s">
        <v>513</v>
      </c>
    </row>
    <row r="122" spans="2:19" x14ac:dyDescent="0.25">
      <c r="B122" s="8" t="s">
        <v>155</v>
      </c>
      <c r="C122" s="8">
        <v>0.4</v>
      </c>
      <c r="D122" s="8" t="s">
        <v>27</v>
      </c>
      <c r="E122" s="77">
        <v>0.08</v>
      </c>
      <c r="F122" s="77" t="s">
        <v>56</v>
      </c>
      <c r="G122" s="77"/>
      <c r="H122" s="9">
        <v>29.400000000000002</v>
      </c>
      <c r="I122" s="165"/>
      <c r="J122" s="165"/>
      <c r="K122" s="165"/>
      <c r="L122" s="165" t="s">
        <v>514</v>
      </c>
      <c r="M122" s="165"/>
      <c r="N122" s="165"/>
      <c r="O122" s="165"/>
      <c r="P122" s="165" t="str">
        <f>B61</f>
        <v>bpwd_mix_xfer_R_mix</v>
      </c>
      <c r="Q122" s="165">
        <f>C61</f>
        <v>221.76</v>
      </c>
      <c r="R122" s="165"/>
      <c r="S122" s="165"/>
    </row>
    <row r="123" spans="2:19" x14ac:dyDescent="0.25">
      <c r="B123" s="8" t="s">
        <v>157</v>
      </c>
      <c r="C123" s="8">
        <v>0.5</v>
      </c>
      <c r="D123" s="8" t="s">
        <v>27</v>
      </c>
      <c r="E123" s="77">
        <v>0.1</v>
      </c>
      <c r="F123" s="77" t="s">
        <v>56</v>
      </c>
      <c r="G123" s="77"/>
      <c r="H123" s="9">
        <v>36.75</v>
      </c>
      <c r="I123" s="165"/>
      <c r="J123" s="165"/>
      <c r="K123" s="165"/>
      <c r="L123" s="165" t="str">
        <f>B52</f>
        <v>BWP_mix_xfer_sN_mix</v>
      </c>
      <c r="M123" s="165">
        <f>C52</f>
        <v>417.36000000000007</v>
      </c>
      <c r="N123" s="165"/>
      <c r="O123" s="165"/>
      <c r="P123" s="165" t="s">
        <v>515</v>
      </c>
      <c r="Q123" s="165">
        <v>6</v>
      </c>
      <c r="R123" s="165"/>
      <c r="S123" s="165"/>
    </row>
    <row r="124" spans="2:19" x14ac:dyDescent="0.25">
      <c r="B124" s="8" t="s">
        <v>132</v>
      </c>
      <c r="C124" s="8">
        <v>0.25</v>
      </c>
      <c r="D124" s="8" t="s">
        <v>27</v>
      </c>
      <c r="E124" s="20">
        <v>0</v>
      </c>
      <c r="F124" s="77" t="s">
        <v>56</v>
      </c>
      <c r="G124" s="77"/>
      <c r="H124" s="9">
        <v>0</v>
      </c>
      <c r="I124" s="165"/>
      <c r="J124" s="165"/>
      <c r="K124" s="165"/>
      <c r="L124" s="165" t="s">
        <v>516</v>
      </c>
      <c r="M124" s="165">
        <f>C58</f>
        <v>1246.7520000000002</v>
      </c>
      <c r="N124" s="165"/>
      <c r="O124" s="165"/>
      <c r="P124" s="165"/>
      <c r="Q124" s="165">
        <f>Q122*Q123</f>
        <v>1330.56</v>
      </c>
      <c r="R124" s="165"/>
      <c r="S124" s="165"/>
    </row>
    <row r="125" spans="2:19" x14ac:dyDescent="0.25">
      <c r="B125" s="8" t="s">
        <v>133</v>
      </c>
      <c r="C125" s="8">
        <v>0.25</v>
      </c>
      <c r="D125" s="8" t="s">
        <v>27</v>
      </c>
      <c r="E125" s="20">
        <v>0</v>
      </c>
      <c r="F125" s="77" t="s">
        <v>56</v>
      </c>
      <c r="G125" s="77"/>
      <c r="H125" s="9">
        <v>0</v>
      </c>
      <c r="I125" s="165"/>
      <c r="J125" s="165"/>
      <c r="K125" s="165"/>
      <c r="L125" s="165"/>
      <c r="M125" s="165">
        <f>SUM(M123:M124)</f>
        <v>1664.1120000000003</v>
      </c>
      <c r="N125" s="165"/>
      <c r="O125" s="165"/>
      <c r="P125" s="165"/>
      <c r="Q125" s="165"/>
      <c r="R125" s="165"/>
      <c r="S125" s="165"/>
    </row>
    <row r="126" spans="2:19" x14ac:dyDescent="0.25">
      <c r="B126" s="8" t="s">
        <v>134</v>
      </c>
      <c r="C126" s="8">
        <v>0.5</v>
      </c>
      <c r="D126" s="8" t="s">
        <v>27</v>
      </c>
      <c r="E126" s="20">
        <v>0</v>
      </c>
      <c r="F126" s="77" t="s">
        <v>56</v>
      </c>
      <c r="G126" s="77"/>
      <c r="H126" s="9">
        <v>0</v>
      </c>
      <c r="I126" s="165"/>
      <c r="J126" s="165"/>
      <c r="K126" s="165"/>
      <c r="L126" s="165"/>
      <c r="M126" s="165"/>
      <c r="N126" s="165"/>
      <c r="O126" s="165"/>
      <c r="P126" s="165"/>
      <c r="Q126" s="165"/>
      <c r="R126" s="165"/>
      <c r="S126" s="165"/>
    </row>
    <row r="127" spans="2:19" x14ac:dyDescent="0.25">
      <c r="B127" s="165" t="s">
        <v>135</v>
      </c>
      <c r="C127" s="77">
        <v>100</v>
      </c>
      <c r="D127" s="77"/>
      <c r="E127" s="20">
        <v>0</v>
      </c>
      <c r="F127" s="77" t="s">
        <v>56</v>
      </c>
      <c r="G127" s="77"/>
      <c r="H127" s="9">
        <v>0</v>
      </c>
      <c r="I127" s="165"/>
      <c r="J127" s="165"/>
      <c r="K127" s="165"/>
      <c r="L127" s="165" t="s">
        <v>517</v>
      </c>
      <c r="M127" s="165"/>
      <c r="N127" s="165"/>
      <c r="O127" s="165"/>
      <c r="P127" s="165"/>
      <c r="Q127" s="165"/>
      <c r="R127" s="165"/>
      <c r="S127" s="165"/>
    </row>
    <row r="128" spans="2:19" x14ac:dyDescent="0.25">
      <c r="B128" s="77" t="s">
        <v>136</v>
      </c>
      <c r="C128" s="77">
        <v>0.25</v>
      </c>
      <c r="D128" s="77" t="s">
        <v>137</v>
      </c>
      <c r="E128" s="77">
        <v>0.32</v>
      </c>
      <c r="F128" s="77" t="s">
        <v>56</v>
      </c>
      <c r="G128" s="77"/>
      <c r="H128" s="9">
        <v>117.60000000000001</v>
      </c>
      <c r="I128" s="165"/>
      <c r="J128" s="165"/>
      <c r="K128" s="165"/>
      <c r="L128" s="165" t="str">
        <f>B110</f>
        <v>sN_mix_tot</v>
      </c>
      <c r="M128" s="84">
        <f>C110</f>
        <v>507.60000000000014</v>
      </c>
      <c r="N128" s="165"/>
      <c r="O128" s="165"/>
      <c r="P128" s="165"/>
      <c r="Q128" s="165"/>
      <c r="R128" s="165"/>
      <c r="S128" s="165"/>
    </row>
    <row r="129" spans="2:14" x14ac:dyDescent="0.25">
      <c r="B129" s="77" t="s">
        <v>139</v>
      </c>
      <c r="C129" s="77">
        <v>2.5</v>
      </c>
      <c r="D129" s="77" t="s">
        <v>52</v>
      </c>
      <c r="E129" s="77">
        <v>0.05</v>
      </c>
      <c r="F129" s="77" t="s">
        <v>56</v>
      </c>
      <c r="G129" s="77"/>
      <c r="H129" s="9">
        <v>18.375</v>
      </c>
      <c r="I129" s="165"/>
      <c r="J129" s="165"/>
      <c r="K129" s="165"/>
      <c r="L129" s="165" t="str">
        <f>B56</f>
        <v>sN_mix_xfer_to_stds_mix</v>
      </c>
      <c r="M129" s="165">
        <f>C56</f>
        <v>63.287999999999997</v>
      </c>
      <c r="N129" s="165"/>
    </row>
    <row r="130" spans="2:14" x14ac:dyDescent="0.25">
      <c r="B130" s="77" t="s">
        <v>141</v>
      </c>
      <c r="C130" s="77">
        <v>1</v>
      </c>
      <c r="D130" s="77" t="s">
        <v>52</v>
      </c>
      <c r="E130" s="77">
        <v>3.3333333333333333E-2</v>
      </c>
      <c r="F130" s="77" t="s">
        <v>56</v>
      </c>
      <c r="G130" s="77"/>
      <c r="H130" s="9">
        <v>12.25</v>
      </c>
      <c r="I130" s="165"/>
      <c r="J130" s="165"/>
      <c r="K130" s="165"/>
      <c r="L130" s="165" t="s">
        <v>518</v>
      </c>
      <c r="M130" s="165">
        <f>M129*8</f>
        <v>506.30399999999997</v>
      </c>
      <c r="N130" s="165"/>
    </row>
    <row r="131" spans="2:14" x14ac:dyDescent="0.25">
      <c r="B131" s="77" t="s">
        <v>138</v>
      </c>
      <c r="C131" s="77">
        <v>3.5</v>
      </c>
      <c r="D131" s="77" t="s">
        <v>137</v>
      </c>
      <c r="E131" s="77">
        <v>7.0000000000000007E-2</v>
      </c>
      <c r="F131" s="77" t="s">
        <v>56</v>
      </c>
      <c r="G131" s="77"/>
      <c r="H131" s="9">
        <v>25.725000000000005</v>
      </c>
      <c r="I131" s="165"/>
      <c r="J131" s="165"/>
      <c r="K131" s="165"/>
      <c r="L131" s="165"/>
      <c r="M131" s="165"/>
      <c r="N131" s="165"/>
    </row>
    <row r="132" spans="2:14" x14ac:dyDescent="0.25">
      <c r="B132" s="77" t="s">
        <v>142</v>
      </c>
      <c r="C132" s="77">
        <v>10</v>
      </c>
      <c r="D132" s="77" t="s">
        <v>143</v>
      </c>
      <c r="E132" s="77">
        <v>4</v>
      </c>
      <c r="F132" s="77" t="s">
        <v>56</v>
      </c>
      <c r="G132" s="77"/>
      <c r="H132" s="9">
        <v>1470</v>
      </c>
      <c r="I132" s="165"/>
      <c r="J132" s="165"/>
      <c r="K132" s="165"/>
      <c r="L132" s="165"/>
      <c r="M132" s="165"/>
      <c r="N132" s="165"/>
    </row>
    <row r="133" spans="2:14" x14ac:dyDescent="0.25">
      <c r="B133" s="77" t="s">
        <v>144</v>
      </c>
      <c r="C133" s="77">
        <v>0.5</v>
      </c>
      <c r="D133" s="77" t="s">
        <v>145</v>
      </c>
      <c r="E133" s="77">
        <v>0.2</v>
      </c>
      <c r="F133" s="77" t="s">
        <v>56</v>
      </c>
      <c r="G133" s="77"/>
      <c r="H133" s="9">
        <v>73.5</v>
      </c>
      <c r="I133" s="165"/>
      <c r="J133" s="165"/>
      <c r="K133" s="165" t="s">
        <v>519</v>
      </c>
      <c r="L133" s="165"/>
      <c r="M133" s="165"/>
      <c r="N133" s="165"/>
    </row>
    <row r="134" spans="2:14" x14ac:dyDescent="0.25">
      <c r="B134" s="77" t="s">
        <v>159</v>
      </c>
      <c r="C134" s="77">
        <v>1</v>
      </c>
      <c r="D134" s="77" t="s">
        <v>147</v>
      </c>
      <c r="E134" s="77">
        <v>2</v>
      </c>
      <c r="F134" s="77" t="s">
        <v>56</v>
      </c>
      <c r="G134" s="77"/>
      <c r="H134" s="9">
        <v>735</v>
      </c>
      <c r="I134" s="165"/>
      <c r="J134" s="165"/>
      <c r="K134" s="175" t="s">
        <v>27</v>
      </c>
      <c r="L134" s="175" t="s">
        <v>520</v>
      </c>
      <c r="M134" s="175" t="s">
        <v>521</v>
      </c>
      <c r="N134" s="175" t="s">
        <v>520</v>
      </c>
    </row>
    <row r="135" spans="2:14" ht="30" x14ac:dyDescent="0.25">
      <c r="B135" s="5" t="s">
        <v>148</v>
      </c>
      <c r="C135" s="77">
        <v>5</v>
      </c>
      <c r="D135" s="77" t="s">
        <v>143</v>
      </c>
      <c r="E135" s="77">
        <v>2.2222222222222223</v>
      </c>
      <c r="F135" s="77" t="s">
        <v>56</v>
      </c>
      <c r="G135" s="77"/>
      <c r="H135" s="9">
        <v>816.66666666666674</v>
      </c>
      <c r="I135" s="165"/>
      <c r="J135" s="165"/>
      <c r="K135" s="175" t="s">
        <v>522</v>
      </c>
      <c r="L135" s="175" t="s">
        <v>523</v>
      </c>
      <c r="M135" s="175" t="s">
        <v>524</v>
      </c>
      <c r="N135" s="175" t="s">
        <v>525</v>
      </c>
    </row>
    <row r="136" spans="2:14" x14ac:dyDescent="0.25">
      <c r="B136" s="10" t="s">
        <v>149</v>
      </c>
      <c r="C136" s="11">
        <v>0</v>
      </c>
      <c r="D136" s="11" t="s">
        <v>143</v>
      </c>
      <c r="E136" s="24">
        <v>0</v>
      </c>
      <c r="F136" s="11" t="s">
        <v>56</v>
      </c>
      <c r="G136" s="11"/>
      <c r="H136" s="11">
        <v>0</v>
      </c>
      <c r="I136" s="165"/>
      <c r="J136" s="165"/>
      <c r="K136" s="175">
        <f>M136/1000*N136/L136</f>
        <v>0.625</v>
      </c>
      <c r="L136" s="175">
        <v>1.6</v>
      </c>
      <c r="M136" s="175">
        <v>50</v>
      </c>
      <c r="N136" s="175">
        <v>20</v>
      </c>
    </row>
    <row r="137" spans="2:14" x14ac:dyDescent="0.25">
      <c r="B137" s="77" t="s">
        <v>161</v>
      </c>
      <c r="C137" s="77"/>
      <c r="D137" s="77"/>
      <c r="E137" s="25">
        <v>0</v>
      </c>
      <c r="F137" s="77" t="s">
        <v>56</v>
      </c>
      <c r="G137" s="77"/>
      <c r="H137" s="9">
        <v>0</v>
      </c>
      <c r="I137" s="165"/>
      <c r="J137" s="165"/>
      <c r="K137" s="175">
        <f t="shared" ref="K137:K141" si="5">M137/1000*N137/L137</f>
        <v>1.25</v>
      </c>
      <c r="L137" s="175">
        <v>1.6</v>
      </c>
      <c r="M137" s="175">
        <v>100</v>
      </c>
      <c r="N137" s="175">
        <v>20</v>
      </c>
    </row>
    <row r="138" spans="2:14" x14ac:dyDescent="0.25">
      <c r="B138" s="77"/>
      <c r="C138" s="77"/>
      <c r="D138" s="77"/>
      <c r="E138" s="77"/>
      <c r="F138" s="77"/>
      <c r="G138" s="77"/>
      <c r="H138" s="9"/>
      <c r="I138" s="165"/>
      <c r="J138" s="165"/>
      <c r="K138" s="175">
        <f t="shared" si="5"/>
        <v>2.5</v>
      </c>
      <c r="L138" s="175">
        <v>1.6</v>
      </c>
      <c r="M138" s="175">
        <v>200</v>
      </c>
      <c r="N138" s="175">
        <v>20</v>
      </c>
    </row>
    <row r="139" spans="2:14" x14ac:dyDescent="0.25">
      <c r="B139" s="77"/>
      <c r="C139" s="77"/>
      <c r="D139" s="77" t="s">
        <v>162</v>
      </c>
      <c r="E139" s="13">
        <v>9.155555555555555</v>
      </c>
      <c r="F139" s="77" t="s">
        <v>56</v>
      </c>
      <c r="G139" s="77"/>
      <c r="H139" s="9">
        <v>3364.666666666667</v>
      </c>
      <c r="I139" s="165"/>
      <c r="J139" s="165"/>
      <c r="K139" s="175">
        <f t="shared" si="5"/>
        <v>5</v>
      </c>
      <c r="L139" s="175">
        <v>1.6</v>
      </c>
      <c r="M139" s="175">
        <v>400</v>
      </c>
      <c r="N139" s="175">
        <v>20</v>
      </c>
    </row>
    <row r="140" spans="2:14" x14ac:dyDescent="0.25">
      <c r="B140" s="165"/>
      <c r="C140" s="165"/>
      <c r="D140" s="165"/>
      <c r="E140" s="165"/>
      <c r="F140" s="165"/>
      <c r="G140" s="165"/>
      <c r="H140" s="165"/>
      <c r="I140" s="165"/>
      <c r="J140" s="165"/>
      <c r="K140" s="175">
        <f t="shared" si="5"/>
        <v>7.5</v>
      </c>
      <c r="L140" s="175">
        <v>1.6</v>
      </c>
      <c r="M140" s="175">
        <v>600</v>
      </c>
      <c r="N140" s="175">
        <v>20</v>
      </c>
    </row>
    <row r="141" spans="2:14" x14ac:dyDescent="0.25">
      <c r="B141" s="165"/>
      <c r="C141" s="165"/>
      <c r="D141" s="165"/>
      <c r="E141" s="165"/>
      <c r="F141" s="165"/>
      <c r="G141" s="165"/>
      <c r="H141" s="165"/>
      <c r="I141" s="165"/>
      <c r="J141" s="165"/>
      <c r="K141" s="175">
        <f t="shared" si="5"/>
        <v>10</v>
      </c>
      <c r="L141" s="175">
        <v>1.6</v>
      </c>
      <c r="M141" s="175">
        <v>800</v>
      </c>
      <c r="N141" s="175">
        <v>20</v>
      </c>
    </row>
    <row r="142" spans="2:14" ht="15.75" thickBot="1" x14ac:dyDescent="0.3">
      <c r="B142" s="165" t="s">
        <v>526</v>
      </c>
      <c r="C142" s="165" t="s">
        <v>527</v>
      </c>
      <c r="D142" s="165"/>
      <c r="E142" s="165"/>
      <c r="F142" s="165"/>
      <c r="G142" s="165"/>
      <c r="H142" s="165"/>
      <c r="I142" s="165"/>
      <c r="J142" s="165"/>
      <c r="K142" s="165"/>
      <c r="L142" s="165"/>
      <c r="M142" s="165"/>
      <c r="N142" s="165"/>
    </row>
    <row r="143" spans="2:14" x14ac:dyDescent="0.25">
      <c r="B143" s="91" t="s">
        <v>50</v>
      </c>
      <c r="C143" s="92" t="s">
        <v>74</v>
      </c>
      <c r="D143" s="92" t="s">
        <v>52</v>
      </c>
      <c r="E143" s="92" t="s">
        <v>75</v>
      </c>
      <c r="F143" s="93">
        <f>C40*(1+C33)</f>
        <v>115.19999999999999</v>
      </c>
      <c r="G143" s="165"/>
      <c r="H143" s="165"/>
      <c r="I143" s="165"/>
      <c r="J143" s="165"/>
      <c r="K143" s="165" t="s">
        <v>528</v>
      </c>
      <c r="L143" s="165"/>
      <c r="M143" s="165"/>
      <c r="N143" s="165"/>
    </row>
    <row r="144" spans="2:14" x14ac:dyDescent="0.25">
      <c r="B144" s="94" t="s">
        <v>76</v>
      </c>
      <c r="C144" s="95"/>
      <c r="D144" s="95"/>
      <c r="E144" s="96">
        <f>E139</f>
        <v>9.155555555555555</v>
      </c>
      <c r="F144" s="96">
        <f>E144*$F$143</f>
        <v>1054.7199999999998</v>
      </c>
      <c r="G144" s="165"/>
      <c r="H144" s="165"/>
      <c r="I144" s="165"/>
      <c r="J144" s="165"/>
      <c r="K144" s="175" t="s">
        <v>27</v>
      </c>
      <c r="L144" s="175" t="s">
        <v>520</v>
      </c>
      <c r="M144" s="175" t="s">
        <v>27</v>
      </c>
      <c r="N144" s="175" t="s">
        <v>520</v>
      </c>
    </row>
    <row r="145" spans="2:18" x14ac:dyDescent="0.25">
      <c r="B145" s="104" t="s">
        <v>529</v>
      </c>
      <c r="C145" s="95" t="s">
        <v>530</v>
      </c>
      <c r="D145" s="95"/>
      <c r="E145" s="96">
        <f>0.5*20/10</f>
        <v>1</v>
      </c>
      <c r="F145" s="96">
        <f t="shared" ref="F145:F147" si="6">E145*$F$143</f>
        <v>115.19999999999999</v>
      </c>
      <c r="G145" s="165"/>
      <c r="H145" s="165"/>
      <c r="I145" s="165"/>
      <c r="J145" s="165"/>
      <c r="K145" s="175" t="s">
        <v>522</v>
      </c>
      <c r="L145" s="175" t="s">
        <v>523</v>
      </c>
      <c r="M145" s="175" t="s">
        <v>524</v>
      </c>
      <c r="N145" s="175" t="s">
        <v>525</v>
      </c>
      <c r="O145" s="165"/>
      <c r="P145" s="165"/>
      <c r="Q145" s="165" t="s">
        <v>531</v>
      </c>
      <c r="R145" s="165" t="s">
        <v>161</v>
      </c>
    </row>
    <row r="146" spans="2:18" x14ac:dyDescent="0.25">
      <c r="B146" s="104" t="s">
        <v>532</v>
      </c>
      <c r="C146" s="95"/>
      <c r="D146" s="95"/>
      <c r="E146" s="96">
        <v>2</v>
      </c>
      <c r="F146" s="96">
        <f t="shared" si="6"/>
        <v>230.39999999999998</v>
      </c>
      <c r="G146" s="165"/>
      <c r="H146" s="165"/>
      <c r="I146" s="165"/>
      <c r="J146" s="165"/>
      <c r="K146" s="175">
        <v>10</v>
      </c>
      <c r="L146" s="106">
        <f>M146*N146/K146</f>
        <v>6.25</v>
      </c>
      <c r="M146" s="106">
        <f>K136</f>
        <v>0.625</v>
      </c>
      <c r="N146" s="175">
        <v>100</v>
      </c>
      <c r="O146" s="165"/>
      <c r="P146" s="165"/>
      <c r="Q146" s="84">
        <f>L146</f>
        <v>6.25</v>
      </c>
      <c r="R146" s="84">
        <f>N146-Q146</f>
        <v>93.75</v>
      </c>
    </row>
    <row r="147" spans="2:18" x14ac:dyDescent="0.25">
      <c r="B147" s="104" t="s">
        <v>79</v>
      </c>
      <c r="C147" s="95"/>
      <c r="D147" s="95"/>
      <c r="E147" s="96">
        <f>14.8-SUM(E144:E146)</f>
        <v>2.6444444444444457</v>
      </c>
      <c r="F147" s="96">
        <f t="shared" si="6"/>
        <v>304.6400000000001</v>
      </c>
      <c r="G147" s="165"/>
      <c r="H147" s="165"/>
      <c r="I147" s="165"/>
      <c r="J147" s="165"/>
      <c r="K147" s="175">
        <v>10</v>
      </c>
      <c r="L147" s="106">
        <f t="shared" ref="L147:L151" si="7">M147*N147/K147</f>
        <v>12.5</v>
      </c>
      <c r="M147" s="106">
        <f t="shared" ref="M147:M151" si="8">K137</f>
        <v>1.25</v>
      </c>
      <c r="N147" s="175">
        <v>100</v>
      </c>
      <c r="O147" s="165"/>
      <c r="P147" s="165"/>
      <c r="Q147" s="84">
        <f t="shared" ref="Q147:Q151" si="9">L147</f>
        <v>12.5</v>
      </c>
      <c r="R147" s="84">
        <f t="shared" ref="R147:R151" si="10">N147-Q147</f>
        <v>87.5</v>
      </c>
    </row>
    <row r="148" spans="2:18" ht="15.75" thickBot="1" x14ac:dyDescent="0.3">
      <c r="B148" s="97" t="s">
        <v>80</v>
      </c>
      <c r="C148" s="98"/>
      <c r="D148" s="98"/>
      <c r="E148" s="99">
        <f>SUM(E144:E147)</f>
        <v>14.8</v>
      </c>
      <c r="F148" s="96">
        <f>E148*$F$143</f>
        <v>1704.9599999999998</v>
      </c>
      <c r="G148" s="165"/>
      <c r="H148" s="165"/>
      <c r="I148" s="165"/>
      <c r="J148" s="165"/>
      <c r="K148" s="175">
        <v>10</v>
      </c>
      <c r="L148" s="106">
        <f t="shared" si="7"/>
        <v>25</v>
      </c>
      <c r="M148" s="106">
        <f t="shared" si="8"/>
        <v>2.5</v>
      </c>
      <c r="N148" s="175">
        <v>100</v>
      </c>
      <c r="O148" s="165"/>
      <c r="P148" s="165"/>
      <c r="Q148" s="84">
        <f t="shared" si="9"/>
        <v>25</v>
      </c>
      <c r="R148" s="84">
        <f t="shared" si="10"/>
        <v>75</v>
      </c>
    </row>
    <row r="149" spans="2:18" x14ac:dyDescent="0.25">
      <c r="B149" s="165"/>
      <c r="C149" s="165"/>
      <c r="D149" s="165"/>
      <c r="E149" s="165"/>
      <c r="F149" s="165"/>
      <c r="G149" s="165"/>
      <c r="H149" s="165"/>
      <c r="I149" s="165"/>
      <c r="J149" s="165"/>
      <c r="K149" s="175">
        <v>10</v>
      </c>
      <c r="L149" s="106">
        <f t="shared" si="7"/>
        <v>50</v>
      </c>
      <c r="M149" s="106">
        <f t="shared" si="8"/>
        <v>5</v>
      </c>
      <c r="N149" s="175">
        <v>100</v>
      </c>
      <c r="O149" s="165"/>
      <c r="P149" s="165"/>
      <c r="Q149" s="84">
        <f t="shared" si="9"/>
        <v>50</v>
      </c>
      <c r="R149" s="84">
        <f t="shared" si="10"/>
        <v>50</v>
      </c>
    </row>
    <row r="150" spans="2:18" x14ac:dyDescent="0.25">
      <c r="B150" s="165"/>
      <c r="C150" s="165"/>
      <c r="D150" s="165"/>
      <c r="E150" s="165"/>
      <c r="F150" s="165"/>
      <c r="G150" s="165"/>
      <c r="H150" s="165"/>
      <c r="I150" s="165"/>
      <c r="J150" s="165"/>
      <c r="K150" s="175">
        <v>10</v>
      </c>
      <c r="L150" s="106">
        <f t="shared" si="7"/>
        <v>75</v>
      </c>
      <c r="M150" s="106">
        <f t="shared" si="8"/>
        <v>7.5</v>
      </c>
      <c r="N150" s="175">
        <v>100</v>
      </c>
      <c r="O150" s="165"/>
      <c r="P150" s="165"/>
      <c r="Q150" s="84">
        <f t="shared" si="9"/>
        <v>75</v>
      </c>
      <c r="R150" s="84">
        <f t="shared" si="10"/>
        <v>25</v>
      </c>
    </row>
    <row r="151" spans="2:18" x14ac:dyDescent="0.25">
      <c r="B151" s="165"/>
      <c r="C151" s="165"/>
      <c r="D151" s="165"/>
      <c r="E151" s="165"/>
      <c r="F151" s="165"/>
      <c r="G151" s="165"/>
      <c r="H151" s="165"/>
      <c r="I151" s="165"/>
      <c r="J151" s="165"/>
      <c r="K151" s="175">
        <v>10</v>
      </c>
      <c r="L151" s="106">
        <f t="shared" si="7"/>
        <v>100</v>
      </c>
      <c r="M151" s="106">
        <f t="shared" si="8"/>
        <v>10</v>
      </c>
      <c r="N151" s="175">
        <v>100</v>
      </c>
      <c r="O151" s="165"/>
      <c r="P151" s="165"/>
      <c r="Q151" s="84">
        <f t="shared" si="9"/>
        <v>100</v>
      </c>
      <c r="R151" s="84">
        <f t="shared" si="10"/>
        <v>0</v>
      </c>
    </row>
    <row r="153" spans="2:18" ht="15.75" thickBot="1" x14ac:dyDescent="0.3">
      <c r="B153" s="165" t="s">
        <v>533</v>
      </c>
      <c r="C153" s="165" t="s">
        <v>527</v>
      </c>
      <c r="D153" s="165"/>
      <c r="E153" s="165"/>
      <c r="F153" s="165"/>
      <c r="G153" s="165"/>
      <c r="H153" s="84"/>
      <c r="I153" s="165"/>
      <c r="J153" s="165"/>
      <c r="K153" s="165"/>
      <c r="L153" s="165"/>
      <c r="M153" s="165"/>
      <c r="N153" s="165"/>
      <c r="O153" s="165"/>
      <c r="P153" s="165"/>
      <c r="Q153" s="165"/>
      <c r="R153" s="165"/>
    </row>
    <row r="154" spans="2:18" x14ac:dyDescent="0.25">
      <c r="B154" s="91" t="s">
        <v>50</v>
      </c>
      <c r="C154" s="92" t="s">
        <v>74</v>
      </c>
      <c r="D154" s="92" t="s">
        <v>52</v>
      </c>
      <c r="E154" s="92" t="s">
        <v>75</v>
      </c>
      <c r="F154" s="93">
        <f>C41*(1+C33-0.05)</f>
        <v>27.599999999999998</v>
      </c>
      <c r="G154" s="165"/>
      <c r="H154" s="84"/>
      <c r="I154" s="165"/>
      <c r="J154" s="165"/>
      <c r="K154" s="165"/>
      <c r="L154" s="165"/>
      <c r="M154" s="165"/>
      <c r="N154" s="165"/>
      <c r="O154" s="165"/>
      <c r="P154" s="165"/>
      <c r="Q154" s="165"/>
      <c r="R154" s="165"/>
    </row>
    <row r="155" spans="2:18" x14ac:dyDescent="0.25">
      <c r="B155" s="94" t="s">
        <v>76</v>
      </c>
      <c r="C155" s="95"/>
      <c r="D155" s="95"/>
      <c r="E155" s="96">
        <f>$C$49</f>
        <v>14.8</v>
      </c>
      <c r="F155" s="96">
        <f>E155*$F$154</f>
        <v>408.47999999999996</v>
      </c>
      <c r="G155" s="165"/>
      <c r="H155" s="165"/>
      <c r="I155" s="165"/>
      <c r="J155" s="165"/>
      <c r="K155" s="165"/>
      <c r="L155" s="165"/>
      <c r="M155" s="165"/>
      <c r="N155" s="165"/>
      <c r="O155" s="165"/>
      <c r="P155" s="165"/>
      <c r="Q155" s="165"/>
      <c r="R155" s="165"/>
    </row>
    <row r="156" spans="2:18" x14ac:dyDescent="0.25">
      <c r="B156" s="104" t="s">
        <v>534</v>
      </c>
      <c r="C156" s="95"/>
      <c r="D156" s="95"/>
      <c r="E156" s="96">
        <f>C47</f>
        <v>0.5</v>
      </c>
      <c r="F156" s="96">
        <f>E156*$F$154</f>
        <v>13.799999999999999</v>
      </c>
      <c r="G156" s="165"/>
      <c r="H156" s="165"/>
      <c r="I156" s="84"/>
      <c r="J156" s="165"/>
      <c r="K156" s="165"/>
      <c r="L156" s="165"/>
      <c r="M156" s="165"/>
      <c r="N156" s="165"/>
      <c r="O156" s="165"/>
      <c r="P156" s="165"/>
      <c r="Q156" s="165"/>
      <c r="R156" s="165"/>
    </row>
    <row r="157" spans="2:18" x14ac:dyDescent="0.25">
      <c r="B157" s="104" t="s">
        <v>535</v>
      </c>
      <c r="C157" s="95"/>
      <c r="D157" s="95"/>
      <c r="E157" s="96">
        <f>C48</f>
        <v>0.5</v>
      </c>
      <c r="F157" s="96">
        <f>E157*$F$154</f>
        <v>13.799999999999999</v>
      </c>
      <c r="G157" s="165"/>
      <c r="H157" s="165"/>
      <c r="I157" s="165"/>
      <c r="J157" s="165"/>
      <c r="K157" s="165"/>
      <c r="L157" s="165"/>
      <c r="M157" s="165"/>
      <c r="N157" s="165"/>
      <c r="O157" s="165"/>
      <c r="P157" s="165"/>
      <c r="Q157" s="165"/>
      <c r="R157" s="165"/>
    </row>
    <row r="158" spans="2:18" x14ac:dyDescent="0.25">
      <c r="B158" s="104" t="s">
        <v>79</v>
      </c>
      <c r="C158" s="95"/>
      <c r="D158" s="95"/>
      <c r="E158" s="96">
        <f>C50</f>
        <v>2.2000000000000002</v>
      </c>
      <c r="F158" s="96">
        <f>E158*$F$154</f>
        <v>60.72</v>
      </c>
      <c r="G158" s="165"/>
      <c r="H158" s="165"/>
      <c r="I158" s="165"/>
      <c r="J158" s="165"/>
      <c r="K158" s="165"/>
      <c r="L158" s="165"/>
      <c r="M158" s="165"/>
      <c r="N158" s="165"/>
      <c r="O158" s="165"/>
      <c r="P158" s="165"/>
      <c r="Q158" s="165"/>
      <c r="R158" s="165"/>
    </row>
    <row r="159" spans="2:18" ht="15.75" thickBot="1" x14ac:dyDescent="0.3">
      <c r="B159" s="97" t="s">
        <v>80</v>
      </c>
      <c r="C159" s="98"/>
      <c r="D159" s="98"/>
      <c r="E159" s="99">
        <f>SUM(E155:E158)</f>
        <v>18</v>
      </c>
      <c r="F159" s="96">
        <f>E159*$F$154</f>
        <v>496.79999999999995</v>
      </c>
      <c r="G159" s="165"/>
      <c r="H159" s="165"/>
      <c r="I159" s="165"/>
      <c r="J159" s="165"/>
      <c r="K159" s="165"/>
      <c r="L159" s="165"/>
      <c r="M159" s="165"/>
      <c r="N159" s="165"/>
      <c r="O159" s="165"/>
      <c r="P159" s="165"/>
      <c r="Q159" s="165"/>
      <c r="R159" s="165"/>
    </row>
    <row r="160" spans="2:18" x14ac:dyDescent="0.25">
      <c r="B160" s="105"/>
      <c r="C160" s="165"/>
      <c r="D160" s="165"/>
      <c r="E160" s="165"/>
      <c r="F160" s="84"/>
      <c r="G160" s="165"/>
      <c r="H160" s="165"/>
      <c r="I160" s="165"/>
      <c r="J160" s="165"/>
      <c r="K160" s="165"/>
      <c r="L160" s="165"/>
      <c r="M160" s="165"/>
      <c r="N160" s="165"/>
      <c r="O160" s="165"/>
      <c r="P160" s="165"/>
      <c r="Q160" s="165"/>
      <c r="R160" s="165"/>
    </row>
    <row r="162" spans="2:6" ht="15.75" thickBot="1" x14ac:dyDescent="0.3">
      <c r="B162" s="165" t="s">
        <v>536</v>
      </c>
      <c r="C162" s="165" t="s">
        <v>537</v>
      </c>
      <c r="D162" s="165"/>
      <c r="E162" s="165"/>
      <c r="F162" s="165"/>
    </row>
    <row r="163" spans="2:6" x14ac:dyDescent="0.25">
      <c r="B163" s="91" t="s">
        <v>50</v>
      </c>
      <c r="C163" s="92" t="s">
        <v>74</v>
      </c>
      <c r="D163" s="92" t="s">
        <v>52</v>
      </c>
      <c r="E163" s="92" t="s">
        <v>75</v>
      </c>
      <c r="F163" s="93">
        <f>C11*(1+$C$33-$C$37)</f>
        <v>84.24</v>
      </c>
    </row>
    <row r="164" spans="2:6" x14ac:dyDescent="0.25">
      <c r="B164" s="94" t="s">
        <v>76</v>
      </c>
      <c r="C164" s="95"/>
      <c r="D164" s="95"/>
      <c r="E164" s="96">
        <f>$C$49</f>
        <v>14.8</v>
      </c>
      <c r="F164" s="96">
        <f t="shared" ref="F164:F169" si="11">E164*$F$163</f>
        <v>1246.752</v>
      </c>
    </row>
    <row r="165" spans="2:6" x14ac:dyDescent="0.25">
      <c r="B165" s="104" t="s">
        <v>534</v>
      </c>
      <c r="C165" s="95"/>
      <c r="D165" s="95"/>
      <c r="E165" s="96">
        <v>0</v>
      </c>
      <c r="F165" s="96">
        <f t="shared" si="11"/>
        <v>0</v>
      </c>
    </row>
    <row r="166" spans="2:6" x14ac:dyDescent="0.25">
      <c r="B166" s="104" t="s">
        <v>535</v>
      </c>
      <c r="C166" s="95"/>
      <c r="D166" s="95"/>
      <c r="E166" s="96">
        <v>0</v>
      </c>
      <c r="F166" s="96">
        <f t="shared" si="11"/>
        <v>0</v>
      </c>
    </row>
    <row r="167" spans="2:6" x14ac:dyDescent="0.25">
      <c r="B167" s="104" t="s">
        <v>79</v>
      </c>
      <c r="C167" s="95"/>
      <c r="D167" s="95"/>
      <c r="E167" s="96">
        <v>0</v>
      </c>
      <c r="F167" s="96">
        <f t="shared" si="11"/>
        <v>0</v>
      </c>
    </row>
    <row r="168" spans="2:6" x14ac:dyDescent="0.25">
      <c r="B168" s="104" t="s">
        <v>538</v>
      </c>
      <c r="C168" s="95"/>
      <c r="D168" s="95"/>
      <c r="E168" s="96">
        <v>2</v>
      </c>
      <c r="F168" s="96">
        <f t="shared" si="11"/>
        <v>168.48</v>
      </c>
    </row>
    <row r="169" spans="2:6" ht="15.75" thickBot="1" x14ac:dyDescent="0.3">
      <c r="B169" s="97" t="s">
        <v>80</v>
      </c>
      <c r="C169" s="98"/>
      <c r="D169" s="98"/>
      <c r="E169" s="99">
        <f>SUM(E164:E168)</f>
        <v>16.8</v>
      </c>
      <c r="F169" s="96">
        <f t="shared" si="11"/>
        <v>1415.232</v>
      </c>
    </row>
    <row r="171" spans="2:6" ht="15.75" thickBot="1" x14ac:dyDescent="0.3">
      <c r="B171" s="165" t="s">
        <v>539</v>
      </c>
      <c r="C171" s="165"/>
      <c r="D171" s="165"/>
      <c r="E171" s="165"/>
      <c r="F171" s="165"/>
    </row>
    <row r="172" spans="2:6" x14ac:dyDescent="0.25">
      <c r="B172" s="91" t="s">
        <v>50</v>
      </c>
      <c r="C172" s="92" t="s">
        <v>74</v>
      </c>
      <c r="D172" s="92" t="s">
        <v>52</v>
      </c>
      <c r="E172" s="92" t="s">
        <v>75</v>
      </c>
      <c r="F172" s="93">
        <f>12*(1+C33-C35)</f>
        <v>13.2</v>
      </c>
    </row>
    <row r="173" spans="2:6" x14ac:dyDescent="0.25">
      <c r="B173" s="94" t="s">
        <v>516</v>
      </c>
      <c r="C173" s="95"/>
      <c r="D173" s="95"/>
      <c r="E173" s="96">
        <f>C60</f>
        <v>16.8</v>
      </c>
      <c r="F173" s="96">
        <f>E173*$F$172</f>
        <v>221.76</v>
      </c>
    </row>
    <row r="174" spans="2:6" x14ac:dyDescent="0.25">
      <c r="B174" s="104" t="s">
        <v>534</v>
      </c>
      <c r="C174" s="95" t="s">
        <v>540</v>
      </c>
      <c r="D174" s="95"/>
      <c r="E174" s="96"/>
      <c r="F174" s="96">
        <f t="shared" ref="F174:F177" si="12">E174*$F$172</f>
        <v>0</v>
      </c>
    </row>
    <row r="175" spans="2:6" x14ac:dyDescent="0.25">
      <c r="B175" s="104" t="s">
        <v>535</v>
      </c>
      <c r="C175" s="95">
        <v>50</v>
      </c>
      <c r="D175" s="95" t="s">
        <v>541</v>
      </c>
      <c r="E175" s="96">
        <f>C62</f>
        <v>0.1</v>
      </c>
      <c r="F175" s="96">
        <f>E175*$F$172</f>
        <v>1.32</v>
      </c>
    </row>
    <row r="176" spans="2:6" x14ac:dyDescent="0.25">
      <c r="B176" s="104" t="s">
        <v>79</v>
      </c>
      <c r="C176" s="95"/>
      <c r="D176" s="95"/>
      <c r="E176" s="96">
        <f>C64</f>
        <v>1.5</v>
      </c>
      <c r="F176" s="96">
        <f t="shared" si="12"/>
        <v>19.799999999999997</v>
      </c>
    </row>
    <row r="177" spans="2:6" ht="15.75" thickBot="1" x14ac:dyDescent="0.3">
      <c r="B177" s="97" t="s">
        <v>80</v>
      </c>
      <c r="C177" s="98"/>
      <c r="D177" s="98"/>
      <c r="E177" s="99">
        <f>SUM(E173:E176)</f>
        <v>18.400000000000002</v>
      </c>
      <c r="F177" s="96">
        <f t="shared" si="12"/>
        <v>242.88000000000002</v>
      </c>
    </row>
    <row r="179" spans="2:6" ht="15.75" thickBot="1" x14ac:dyDescent="0.3">
      <c r="B179" s="165" t="s">
        <v>542</v>
      </c>
      <c r="C179" s="165"/>
      <c r="D179" s="165"/>
      <c r="E179" s="165"/>
      <c r="F179" s="165"/>
    </row>
    <row r="180" spans="2:6" x14ac:dyDescent="0.25">
      <c r="B180" s="91" t="s">
        <v>50</v>
      </c>
      <c r="C180" s="92" t="s">
        <v>74</v>
      </c>
      <c r="D180" s="92" t="s">
        <v>52</v>
      </c>
      <c r="E180" s="92" t="s">
        <v>75</v>
      </c>
      <c r="F180" s="93">
        <f>$C$30*(1+C33-0.1)</f>
        <v>13.2</v>
      </c>
    </row>
    <row r="181" spans="2:6" x14ac:dyDescent="0.25">
      <c r="B181" s="94" t="s">
        <v>516</v>
      </c>
      <c r="C181" s="95"/>
      <c r="D181" s="95"/>
      <c r="E181" s="96">
        <f>$C$60</f>
        <v>16.8</v>
      </c>
      <c r="F181" s="96">
        <f>E181*$F$180</f>
        <v>221.76</v>
      </c>
    </row>
    <row r="182" spans="2:6" x14ac:dyDescent="0.25">
      <c r="B182" s="104" t="s">
        <v>534</v>
      </c>
      <c r="C182" s="95" t="s">
        <v>540</v>
      </c>
      <c r="D182" s="95"/>
      <c r="E182" s="96"/>
      <c r="F182" s="96">
        <f t="shared" ref="F182:F185" si="13">E182*$F$172</f>
        <v>0</v>
      </c>
    </row>
    <row r="183" spans="2:6" x14ac:dyDescent="0.25">
      <c r="B183" s="104" t="s">
        <v>535</v>
      </c>
      <c r="C183" s="95">
        <v>100</v>
      </c>
      <c r="D183" s="95" t="s">
        <v>541</v>
      </c>
      <c r="E183" s="96">
        <f>C66</f>
        <v>0.2</v>
      </c>
      <c r="F183" s="96">
        <f t="shared" si="13"/>
        <v>2.64</v>
      </c>
    </row>
    <row r="184" spans="2:6" x14ac:dyDescent="0.25">
      <c r="B184" s="104" t="s">
        <v>79</v>
      </c>
      <c r="C184" s="95"/>
      <c r="D184" s="95"/>
      <c r="E184" s="96">
        <f>C68</f>
        <v>1.4000000000000001</v>
      </c>
      <c r="F184" s="96">
        <f t="shared" si="13"/>
        <v>18.48</v>
      </c>
    </row>
    <row r="185" spans="2:6" ht="15.75" thickBot="1" x14ac:dyDescent="0.3">
      <c r="B185" s="97" t="s">
        <v>80</v>
      </c>
      <c r="C185" s="98"/>
      <c r="D185" s="98"/>
      <c r="E185" s="99">
        <f>SUM(E181:E184)</f>
        <v>18.399999999999999</v>
      </c>
      <c r="F185" s="96">
        <f t="shared" si="13"/>
        <v>242.87999999999997</v>
      </c>
    </row>
    <row r="187" spans="2:6" ht="15.75" thickBot="1" x14ac:dyDescent="0.3">
      <c r="B187" s="165" t="s">
        <v>543</v>
      </c>
      <c r="C187" s="165"/>
      <c r="D187" s="165"/>
      <c r="E187" s="165"/>
      <c r="F187" s="165"/>
    </row>
    <row r="188" spans="2:6" x14ac:dyDescent="0.25">
      <c r="B188" s="91" t="s">
        <v>50</v>
      </c>
      <c r="C188" s="92" t="s">
        <v>74</v>
      </c>
      <c r="D188" s="92" t="s">
        <v>52</v>
      </c>
      <c r="E188" s="92" t="s">
        <v>75</v>
      </c>
      <c r="F188" s="93">
        <f>$C$30*(1+$C$33-0.1)</f>
        <v>13.2</v>
      </c>
    </row>
    <row r="189" spans="2:6" x14ac:dyDescent="0.25">
      <c r="B189" s="94" t="s">
        <v>516</v>
      </c>
      <c r="C189" s="95"/>
      <c r="D189" s="95"/>
      <c r="E189" s="96">
        <f>$C$60</f>
        <v>16.8</v>
      </c>
      <c r="F189" s="96">
        <f>E189*$F$180</f>
        <v>221.76</v>
      </c>
    </row>
    <row r="190" spans="2:6" x14ac:dyDescent="0.25">
      <c r="B190" s="104" t="s">
        <v>534</v>
      </c>
      <c r="C190" s="95" t="s">
        <v>540</v>
      </c>
      <c r="D190" s="95"/>
      <c r="E190" s="96"/>
      <c r="F190" s="96">
        <f t="shared" ref="F190:F193" si="14">E190*$F$172</f>
        <v>0</v>
      </c>
    </row>
    <row r="191" spans="2:6" x14ac:dyDescent="0.25">
      <c r="B191" s="104" t="s">
        <v>535</v>
      </c>
      <c r="C191" s="95">
        <v>200</v>
      </c>
      <c r="D191" s="95" t="s">
        <v>541</v>
      </c>
      <c r="E191" s="96">
        <f>C70</f>
        <v>0.4</v>
      </c>
      <c r="F191" s="96">
        <f t="shared" si="14"/>
        <v>5.28</v>
      </c>
    </row>
    <row r="192" spans="2:6" x14ac:dyDescent="0.25">
      <c r="B192" s="104" t="s">
        <v>79</v>
      </c>
      <c r="C192" s="95"/>
      <c r="D192" s="95"/>
      <c r="E192" s="96">
        <f>C72</f>
        <v>1.2000000000000002</v>
      </c>
      <c r="F192" s="96">
        <f t="shared" si="14"/>
        <v>15.840000000000002</v>
      </c>
    </row>
    <row r="193" spans="2:6" ht="15.75" thickBot="1" x14ac:dyDescent="0.3">
      <c r="B193" s="97" t="s">
        <v>80</v>
      </c>
      <c r="C193" s="98"/>
      <c r="D193" s="98"/>
      <c r="E193" s="99">
        <f>SUM(E189:E192)</f>
        <v>18.399999999999999</v>
      </c>
      <c r="F193" s="96">
        <f t="shared" si="14"/>
        <v>242.87999999999997</v>
      </c>
    </row>
    <row r="195" spans="2:6" ht="15.75" thickBot="1" x14ac:dyDescent="0.3">
      <c r="B195" s="165" t="s">
        <v>544</v>
      </c>
      <c r="C195" s="165"/>
      <c r="D195" s="165"/>
      <c r="E195" s="165"/>
      <c r="F195" s="165"/>
    </row>
    <row r="196" spans="2:6" x14ac:dyDescent="0.25">
      <c r="B196" s="91" t="s">
        <v>50</v>
      </c>
      <c r="C196" s="92" t="s">
        <v>74</v>
      </c>
      <c r="D196" s="92" t="s">
        <v>52</v>
      </c>
      <c r="E196" s="92" t="s">
        <v>75</v>
      </c>
      <c r="F196" s="93">
        <f>$C$30*(1+$C$33-0.1)</f>
        <v>13.2</v>
      </c>
    </row>
    <row r="197" spans="2:6" x14ac:dyDescent="0.25">
      <c r="B197" s="94" t="s">
        <v>516</v>
      </c>
      <c r="C197" s="95"/>
      <c r="D197" s="95"/>
      <c r="E197" s="96">
        <f>$C$60</f>
        <v>16.8</v>
      </c>
      <c r="F197" s="96">
        <f>E197*$F$180</f>
        <v>221.76</v>
      </c>
    </row>
    <row r="198" spans="2:6" x14ac:dyDescent="0.25">
      <c r="B198" s="104" t="s">
        <v>534</v>
      </c>
      <c r="C198" s="95" t="s">
        <v>540</v>
      </c>
      <c r="D198" s="95"/>
      <c r="E198" s="96"/>
      <c r="F198" s="96">
        <f t="shared" ref="F198:F201" si="15">E198*$F$172</f>
        <v>0</v>
      </c>
    </row>
    <row r="199" spans="2:6" x14ac:dyDescent="0.25">
      <c r="B199" s="104" t="s">
        <v>535</v>
      </c>
      <c r="C199" s="95">
        <v>400</v>
      </c>
      <c r="D199" s="95" t="s">
        <v>541</v>
      </c>
      <c r="E199" s="96">
        <f>C74</f>
        <v>0.8</v>
      </c>
      <c r="F199" s="96">
        <f t="shared" si="15"/>
        <v>10.56</v>
      </c>
    </row>
    <row r="200" spans="2:6" x14ac:dyDescent="0.25">
      <c r="B200" s="104" t="s">
        <v>79</v>
      </c>
      <c r="C200" s="95"/>
      <c r="D200" s="95"/>
      <c r="E200" s="96">
        <f>C80</f>
        <v>0.40000000000000013</v>
      </c>
      <c r="F200" s="96">
        <f t="shared" si="15"/>
        <v>5.2800000000000011</v>
      </c>
    </row>
    <row r="201" spans="2:6" ht="15.75" thickBot="1" x14ac:dyDescent="0.3">
      <c r="B201" s="97" t="s">
        <v>80</v>
      </c>
      <c r="C201" s="98"/>
      <c r="D201" s="98"/>
      <c r="E201" s="99">
        <f>SUM(E197:E200)</f>
        <v>18</v>
      </c>
      <c r="F201" s="96">
        <f t="shared" si="15"/>
        <v>237.6</v>
      </c>
    </row>
    <row r="203" spans="2:6" ht="15.75" thickBot="1" x14ac:dyDescent="0.3">
      <c r="B203" s="165" t="s">
        <v>545</v>
      </c>
      <c r="C203" s="165"/>
      <c r="D203" s="165"/>
      <c r="E203" s="165"/>
      <c r="F203" s="165"/>
    </row>
    <row r="204" spans="2:6" x14ac:dyDescent="0.25">
      <c r="B204" s="91" t="s">
        <v>50</v>
      </c>
      <c r="C204" s="92" t="s">
        <v>74</v>
      </c>
      <c r="D204" s="92" t="s">
        <v>52</v>
      </c>
      <c r="E204" s="92" t="s">
        <v>75</v>
      </c>
      <c r="F204" s="93">
        <f>$C$30*(1+$C$33-0.1)</f>
        <v>13.2</v>
      </c>
    </row>
    <row r="205" spans="2:6" x14ac:dyDescent="0.25">
      <c r="B205" s="94" t="s">
        <v>516</v>
      </c>
      <c r="C205" s="95"/>
      <c r="D205" s="95"/>
      <c r="E205" s="96">
        <f>$C$60</f>
        <v>16.8</v>
      </c>
      <c r="F205" s="96">
        <f>E205*$F$180</f>
        <v>221.76</v>
      </c>
    </row>
    <row r="206" spans="2:6" x14ac:dyDescent="0.25">
      <c r="B206" s="104" t="s">
        <v>534</v>
      </c>
      <c r="C206" s="95" t="s">
        <v>540</v>
      </c>
      <c r="D206" s="95"/>
      <c r="E206" s="96"/>
      <c r="F206" s="96">
        <f t="shared" ref="F206:F209" si="16">E206*$F$172</f>
        <v>0</v>
      </c>
    </row>
    <row r="207" spans="2:6" x14ac:dyDescent="0.25">
      <c r="B207" s="104" t="s">
        <v>535</v>
      </c>
      <c r="C207" s="95">
        <v>600</v>
      </c>
      <c r="D207" s="95" t="s">
        <v>541</v>
      </c>
      <c r="E207" s="96">
        <f>C78</f>
        <v>1.2</v>
      </c>
      <c r="F207" s="96">
        <f t="shared" si="16"/>
        <v>15.839999999999998</v>
      </c>
    </row>
    <row r="208" spans="2:6" x14ac:dyDescent="0.25">
      <c r="B208" s="104" t="s">
        <v>79</v>
      </c>
      <c r="C208" s="95"/>
      <c r="D208" s="95"/>
      <c r="E208" s="96">
        <f>C80</f>
        <v>0.40000000000000013</v>
      </c>
      <c r="F208" s="96">
        <f t="shared" si="16"/>
        <v>5.2800000000000011</v>
      </c>
    </row>
    <row r="209" spans="2:6" ht="15.75" thickBot="1" x14ac:dyDescent="0.3">
      <c r="B209" s="97" t="s">
        <v>80</v>
      </c>
      <c r="C209" s="98"/>
      <c r="D209" s="98"/>
      <c r="E209" s="99">
        <f>SUM(E205:E208)</f>
        <v>18.399999999999999</v>
      </c>
      <c r="F209" s="96">
        <f t="shared" si="16"/>
        <v>242.87999999999997</v>
      </c>
    </row>
    <row r="211" spans="2:6" ht="15.75" thickBot="1" x14ac:dyDescent="0.3">
      <c r="B211" s="165" t="s">
        <v>546</v>
      </c>
      <c r="C211" s="165"/>
      <c r="D211" s="165"/>
      <c r="E211" s="165"/>
      <c r="F211" s="165"/>
    </row>
    <row r="212" spans="2:6" x14ac:dyDescent="0.25">
      <c r="B212" s="91" t="s">
        <v>50</v>
      </c>
      <c r="C212" s="92" t="s">
        <v>74</v>
      </c>
      <c r="D212" s="92" t="s">
        <v>52</v>
      </c>
      <c r="E212" s="92" t="s">
        <v>75</v>
      </c>
      <c r="F212" s="93">
        <f>$C$30*(1+$C$33-0.1)</f>
        <v>13.2</v>
      </c>
    </row>
    <row r="213" spans="2:6" x14ac:dyDescent="0.25">
      <c r="B213" s="94" t="s">
        <v>516</v>
      </c>
      <c r="C213" s="95"/>
      <c r="D213" s="95"/>
      <c r="E213" s="96">
        <f>$C$60</f>
        <v>16.8</v>
      </c>
      <c r="F213" s="96">
        <f>E213*$F$180</f>
        <v>221.76</v>
      </c>
    </row>
    <row r="214" spans="2:6" x14ac:dyDescent="0.25">
      <c r="B214" s="104" t="s">
        <v>534</v>
      </c>
      <c r="C214" s="95" t="s">
        <v>540</v>
      </c>
      <c r="D214" s="95"/>
      <c r="E214" s="96"/>
      <c r="F214" s="96">
        <f t="shared" ref="F214:F217" si="17">E214*$F$172</f>
        <v>0</v>
      </c>
    </row>
    <row r="215" spans="2:6" x14ac:dyDescent="0.25">
      <c r="B215" s="104" t="s">
        <v>535</v>
      </c>
      <c r="C215" s="95">
        <v>800</v>
      </c>
      <c r="D215" s="95" t="s">
        <v>541</v>
      </c>
      <c r="E215" s="96">
        <f>C82</f>
        <v>1.6</v>
      </c>
      <c r="F215" s="96">
        <f t="shared" si="17"/>
        <v>21.12</v>
      </c>
    </row>
    <row r="216" spans="2:6" x14ac:dyDescent="0.25">
      <c r="B216" s="104" t="s">
        <v>79</v>
      </c>
      <c r="C216" s="95"/>
      <c r="D216" s="95"/>
      <c r="E216" s="96">
        <f>C84</f>
        <v>0</v>
      </c>
      <c r="F216" s="96">
        <f t="shared" si="17"/>
        <v>0</v>
      </c>
    </row>
    <row r="217" spans="2:6" ht="15.75" thickBot="1" x14ac:dyDescent="0.3">
      <c r="B217" s="97" t="s">
        <v>80</v>
      </c>
      <c r="C217" s="98"/>
      <c r="D217" s="98"/>
      <c r="E217" s="99">
        <f>SUM(E213:E216)</f>
        <v>18.400000000000002</v>
      </c>
      <c r="F217" s="96">
        <f t="shared" si="17"/>
        <v>242.88000000000002</v>
      </c>
    </row>
  </sheetData>
  <pageMargins left="0.7" right="0.7" top="0.75" bottom="0.75" header="0.3" footer="0.3"/>
  <pageSetup scale="21"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05D4E-65A8-48F4-954D-6B554D0825E8}">
  <sheetPr codeName="Sheet8"/>
  <dimension ref="A1:Z193"/>
  <sheetViews>
    <sheetView topLeftCell="H16" zoomScale="55" zoomScaleNormal="55" workbookViewId="0">
      <selection activeCell="Y73" sqref="Y73"/>
    </sheetView>
  </sheetViews>
  <sheetFormatPr defaultRowHeight="15" x14ac:dyDescent="0.25"/>
  <cols>
    <col min="18" max="18" width="10.85546875" bestFit="1" customWidth="1"/>
    <col min="22" max="22" width="11.85546875" bestFit="1" customWidth="1"/>
  </cols>
  <sheetData>
    <row r="1" spans="1:26" x14ac:dyDescent="0.25">
      <c r="A1" s="165" t="s">
        <v>198</v>
      </c>
      <c r="B1" s="165" t="s">
        <v>199</v>
      </c>
      <c r="C1" s="165" t="s">
        <v>200</v>
      </c>
      <c r="D1" s="165" t="s">
        <v>201</v>
      </c>
      <c r="E1" s="165" t="s">
        <v>202</v>
      </c>
      <c r="F1" s="165"/>
      <c r="G1" s="165" t="s">
        <v>198</v>
      </c>
      <c r="H1" s="165" t="s">
        <v>199</v>
      </c>
      <c r="I1" s="165" t="s">
        <v>200</v>
      </c>
      <c r="J1" s="165" t="s">
        <v>201</v>
      </c>
      <c r="K1" s="165" t="s">
        <v>202</v>
      </c>
      <c r="L1" s="165" t="s">
        <v>547</v>
      </c>
      <c r="M1" s="165"/>
      <c r="N1" s="107" t="s">
        <v>548</v>
      </c>
      <c r="O1" s="107" t="s">
        <v>549</v>
      </c>
      <c r="P1" s="107" t="str">
        <f>N1&amp;"_"&amp;O1</f>
        <v>[F]_[R]</v>
      </c>
      <c r="Q1" s="107" t="s">
        <v>203</v>
      </c>
      <c r="R1" s="107" t="s">
        <v>550</v>
      </c>
      <c r="S1" s="107" t="s">
        <v>551</v>
      </c>
      <c r="T1" s="165"/>
      <c r="U1" s="107" t="s">
        <v>548</v>
      </c>
      <c r="V1" s="107" t="s">
        <v>549</v>
      </c>
      <c r="W1" s="107" t="str">
        <f t="shared" ref="W1:W37" si="0">U1&amp;"_"&amp;V1</f>
        <v>[F]_[R]</v>
      </c>
      <c r="X1" s="107" t="s">
        <v>203</v>
      </c>
      <c r="Y1" s="107" t="s">
        <v>550</v>
      </c>
      <c r="Z1" s="107" t="s">
        <v>551</v>
      </c>
    </row>
    <row r="2" spans="1:26" x14ac:dyDescent="0.25">
      <c r="A2" s="165" t="s">
        <v>204</v>
      </c>
      <c r="B2" s="165" t="s">
        <v>205</v>
      </c>
      <c r="C2" s="165" t="s">
        <v>206</v>
      </c>
      <c r="D2" s="165" t="s">
        <v>207</v>
      </c>
      <c r="E2" s="165">
        <v>27.41</v>
      </c>
      <c r="F2" s="165"/>
      <c r="G2" s="165" t="s">
        <v>204</v>
      </c>
      <c r="H2" s="165" t="s">
        <v>205</v>
      </c>
      <c r="I2" s="165" t="s">
        <v>206</v>
      </c>
      <c r="J2" s="165" t="s">
        <v>207</v>
      </c>
      <c r="K2" s="165">
        <v>27.41</v>
      </c>
      <c r="L2" s="165">
        <f>AVERAGE(K2:K3)</f>
        <v>27.574999999999999</v>
      </c>
      <c r="M2" s="165"/>
      <c r="N2" s="107">
        <v>50</v>
      </c>
      <c r="O2" s="107">
        <v>50</v>
      </c>
      <c r="P2" s="107" t="str">
        <f t="shared" ref="P2:P37" si="1">N2&amp;"_"&amp;O2</f>
        <v>50_50</v>
      </c>
      <c r="Q2" s="165">
        <v>27.574999999999999</v>
      </c>
      <c r="R2" s="108">
        <f>AVERAGE(Q2:Q5)</f>
        <v>33.002499999999998</v>
      </c>
      <c r="S2" s="108">
        <f>STDEV(Q2:Q5)</f>
        <v>5.0290199509115778</v>
      </c>
      <c r="T2" s="165"/>
      <c r="U2" s="107">
        <v>50</v>
      </c>
      <c r="V2" s="107">
        <v>50</v>
      </c>
      <c r="W2" s="107" t="str">
        <f t="shared" si="0"/>
        <v>50_50</v>
      </c>
      <c r="X2" s="165">
        <v>27.574999999999999</v>
      </c>
      <c r="Y2" s="108">
        <f>AVERAGE(X2:X5)</f>
        <v>27.298749999999998</v>
      </c>
      <c r="Z2" s="108">
        <f>STDEV(X2:X5)</f>
        <v>0.18472389305844203</v>
      </c>
    </row>
    <row r="3" spans="1:26" x14ac:dyDescent="0.25">
      <c r="A3" s="165" t="s">
        <v>204</v>
      </c>
      <c r="B3" s="165" t="s">
        <v>552</v>
      </c>
      <c r="C3" s="165" t="s">
        <v>206</v>
      </c>
      <c r="D3" s="165" t="s">
        <v>210</v>
      </c>
      <c r="E3" s="165">
        <v>27.96</v>
      </c>
      <c r="F3" s="165"/>
      <c r="G3" s="165" t="s">
        <v>211</v>
      </c>
      <c r="H3" s="165" t="s">
        <v>205</v>
      </c>
      <c r="I3" s="165" t="s">
        <v>206</v>
      </c>
      <c r="J3" s="165" t="s">
        <v>207</v>
      </c>
      <c r="K3" s="165">
        <v>27.74</v>
      </c>
      <c r="L3" s="165"/>
      <c r="M3" s="165"/>
      <c r="N3" s="107">
        <v>100</v>
      </c>
      <c r="O3" s="107">
        <v>50</v>
      </c>
      <c r="P3" s="107" t="str">
        <f t="shared" si="1"/>
        <v>100_50</v>
      </c>
      <c r="Q3" s="165">
        <v>30.659999999999997</v>
      </c>
      <c r="R3" s="108"/>
      <c r="S3" s="108"/>
      <c r="T3" s="165"/>
      <c r="U3" s="107">
        <v>50</v>
      </c>
      <c r="V3" s="107">
        <v>100</v>
      </c>
      <c r="W3" s="107" t="str">
        <f t="shared" si="0"/>
        <v>50_100</v>
      </c>
      <c r="X3" s="165">
        <v>27.204999999999998</v>
      </c>
      <c r="Y3" s="108"/>
      <c r="Z3" s="108"/>
    </row>
    <row r="4" spans="1:26" x14ac:dyDescent="0.25">
      <c r="A4" s="165" t="s">
        <v>211</v>
      </c>
      <c r="B4" s="165" t="s">
        <v>205</v>
      </c>
      <c r="C4" s="165" t="s">
        <v>206</v>
      </c>
      <c r="D4" s="165" t="s">
        <v>207</v>
      </c>
      <c r="E4" s="165">
        <v>27.74</v>
      </c>
      <c r="F4" s="165"/>
      <c r="G4" s="165" t="s">
        <v>212</v>
      </c>
      <c r="H4" s="165" t="s">
        <v>205</v>
      </c>
      <c r="I4" s="165" t="s">
        <v>206</v>
      </c>
      <c r="J4" s="165" t="s">
        <v>207</v>
      </c>
      <c r="K4" s="165">
        <v>29.99</v>
      </c>
      <c r="L4" s="165">
        <f>AVERAGE(K4:K5)</f>
        <v>30.659999999999997</v>
      </c>
      <c r="M4" s="165"/>
      <c r="N4" s="107">
        <v>200</v>
      </c>
      <c r="O4" s="107">
        <v>50</v>
      </c>
      <c r="P4" s="107" t="str">
        <f t="shared" si="1"/>
        <v>200_50</v>
      </c>
      <c r="Q4" s="165">
        <v>34.57</v>
      </c>
      <c r="R4" s="108"/>
      <c r="S4" s="108"/>
      <c r="T4" s="165"/>
      <c r="U4" s="107">
        <v>50</v>
      </c>
      <c r="V4" s="107">
        <v>200</v>
      </c>
      <c r="W4" s="107" t="str">
        <f t="shared" si="0"/>
        <v>50_200</v>
      </c>
      <c r="X4" s="165">
        <v>27.225000000000001</v>
      </c>
      <c r="Y4" s="108"/>
      <c r="Z4" s="108"/>
    </row>
    <row r="5" spans="1:26" x14ac:dyDescent="0.25">
      <c r="A5" s="165" t="s">
        <v>211</v>
      </c>
      <c r="B5" s="165" t="s">
        <v>552</v>
      </c>
      <c r="C5" s="165" t="s">
        <v>206</v>
      </c>
      <c r="D5" s="165" t="s">
        <v>210</v>
      </c>
      <c r="E5" s="165">
        <v>28.54</v>
      </c>
      <c r="F5" s="165"/>
      <c r="G5" s="165" t="s">
        <v>213</v>
      </c>
      <c r="H5" s="165" t="s">
        <v>205</v>
      </c>
      <c r="I5" s="165" t="s">
        <v>206</v>
      </c>
      <c r="J5" s="165" t="s">
        <v>207</v>
      </c>
      <c r="K5" s="165">
        <v>31.33</v>
      </c>
      <c r="L5" s="165"/>
      <c r="M5" s="165"/>
      <c r="N5" s="107">
        <v>400</v>
      </c>
      <c r="O5" s="107">
        <v>50</v>
      </c>
      <c r="P5" s="107" t="str">
        <f t="shared" si="1"/>
        <v>400_50</v>
      </c>
      <c r="Q5" s="165">
        <v>39.204999999999998</v>
      </c>
      <c r="R5" s="108"/>
      <c r="S5" s="108"/>
      <c r="T5" s="165"/>
      <c r="U5" s="107">
        <v>50</v>
      </c>
      <c r="V5" s="107">
        <v>400</v>
      </c>
      <c r="W5" s="107" t="str">
        <f t="shared" si="0"/>
        <v>50_400</v>
      </c>
      <c r="X5" s="165">
        <v>27.189999999999998</v>
      </c>
      <c r="Y5" s="108"/>
      <c r="Z5" s="108"/>
    </row>
    <row r="6" spans="1:26" x14ac:dyDescent="0.25">
      <c r="A6" s="165" t="s">
        <v>212</v>
      </c>
      <c r="B6" s="165" t="s">
        <v>205</v>
      </c>
      <c r="C6" s="165" t="s">
        <v>206</v>
      </c>
      <c r="D6" s="165" t="s">
        <v>207</v>
      </c>
      <c r="E6" s="165">
        <v>29.99</v>
      </c>
      <c r="F6" s="165"/>
      <c r="G6" s="165" t="s">
        <v>214</v>
      </c>
      <c r="H6" s="165" t="s">
        <v>205</v>
      </c>
      <c r="I6" s="165" t="s">
        <v>206</v>
      </c>
      <c r="J6" s="165" t="s">
        <v>207</v>
      </c>
      <c r="K6" s="165">
        <v>34.17</v>
      </c>
      <c r="L6" s="165">
        <f>AVERAGE(K6:K7)</f>
        <v>34.57</v>
      </c>
      <c r="M6" s="165"/>
      <c r="N6" s="107">
        <v>600</v>
      </c>
      <c r="O6" s="107">
        <v>50</v>
      </c>
      <c r="P6" s="107" t="str">
        <f t="shared" si="1"/>
        <v>600_50</v>
      </c>
      <c r="Q6" s="165">
        <v>0</v>
      </c>
      <c r="R6" s="108"/>
      <c r="S6" s="108"/>
      <c r="T6" s="165"/>
      <c r="U6" s="107">
        <v>50</v>
      </c>
      <c r="V6" s="107">
        <v>600</v>
      </c>
      <c r="W6" s="107" t="str">
        <f t="shared" si="0"/>
        <v>50_600</v>
      </c>
      <c r="X6" s="165">
        <v>27.115000000000002</v>
      </c>
      <c r="Y6" s="108"/>
      <c r="Z6" s="108"/>
    </row>
    <row r="7" spans="1:26" x14ac:dyDescent="0.25">
      <c r="A7" s="165" t="s">
        <v>212</v>
      </c>
      <c r="B7" s="165" t="s">
        <v>552</v>
      </c>
      <c r="C7" s="165" t="s">
        <v>206</v>
      </c>
      <c r="D7" s="165" t="s">
        <v>210</v>
      </c>
      <c r="E7" s="165">
        <v>29.13</v>
      </c>
      <c r="F7" s="165"/>
      <c r="G7" s="165" t="s">
        <v>215</v>
      </c>
      <c r="H7" s="165" t="s">
        <v>205</v>
      </c>
      <c r="I7" s="165" t="s">
        <v>206</v>
      </c>
      <c r="J7" s="165" t="s">
        <v>207</v>
      </c>
      <c r="K7" s="165">
        <v>34.97</v>
      </c>
      <c r="L7" s="165"/>
      <c r="M7" s="165"/>
      <c r="N7" s="107">
        <v>800</v>
      </c>
      <c r="O7" s="107">
        <v>50</v>
      </c>
      <c r="P7" s="107" t="str">
        <f t="shared" si="1"/>
        <v>800_50</v>
      </c>
      <c r="Q7" s="165">
        <v>0</v>
      </c>
      <c r="R7" s="108"/>
      <c r="S7" s="108"/>
      <c r="T7" s="165"/>
      <c r="U7" s="107">
        <v>50</v>
      </c>
      <c r="V7" s="107">
        <v>800</v>
      </c>
      <c r="W7" s="107" t="str">
        <f t="shared" si="0"/>
        <v>50_800</v>
      </c>
      <c r="X7" s="165">
        <v>26.344999999999999</v>
      </c>
      <c r="Y7" s="108"/>
      <c r="Z7" s="108"/>
    </row>
    <row r="8" spans="1:26" x14ac:dyDescent="0.25">
      <c r="A8" s="165" t="s">
        <v>213</v>
      </c>
      <c r="B8" s="165" t="s">
        <v>205</v>
      </c>
      <c r="C8" s="165" t="s">
        <v>206</v>
      </c>
      <c r="D8" s="165" t="s">
        <v>207</v>
      </c>
      <c r="E8" s="165">
        <v>31.33</v>
      </c>
      <c r="F8" s="165"/>
      <c r="G8" s="165" t="s">
        <v>216</v>
      </c>
      <c r="H8" s="165" t="s">
        <v>205</v>
      </c>
      <c r="I8" s="165" t="s">
        <v>206</v>
      </c>
      <c r="J8" s="165" t="s">
        <v>207</v>
      </c>
      <c r="K8" s="165">
        <v>38.92</v>
      </c>
      <c r="L8" s="165">
        <f>AVERAGE(K8:K9)</f>
        <v>39.204999999999998</v>
      </c>
      <c r="M8" s="165"/>
      <c r="N8" s="107">
        <v>50</v>
      </c>
      <c r="O8" s="107">
        <v>100</v>
      </c>
      <c r="P8" s="107" t="str">
        <f t="shared" si="1"/>
        <v>50_100</v>
      </c>
      <c r="Q8" s="165">
        <v>27.204999999999998</v>
      </c>
      <c r="R8" s="108">
        <f>AVERAGE(Q8:Q13)</f>
        <v>35.50333333333333</v>
      </c>
      <c r="S8" s="108">
        <f>STDEV(Q8:Q13)</f>
        <v>6.420871955324043</v>
      </c>
      <c r="T8" s="165"/>
      <c r="U8" s="107">
        <v>100</v>
      </c>
      <c r="V8" s="107">
        <v>50</v>
      </c>
      <c r="W8" s="107" t="str">
        <f t="shared" si="0"/>
        <v>100_50</v>
      </c>
      <c r="X8" s="165">
        <v>30.659999999999997</v>
      </c>
      <c r="Y8" s="108">
        <f>AVERAGE(X8:X13)</f>
        <v>29.341666666666665</v>
      </c>
      <c r="Z8" s="108">
        <f>STDEV(X8:X13)</f>
        <v>0.86554414483991804</v>
      </c>
    </row>
    <row r="9" spans="1:26" x14ac:dyDescent="0.25">
      <c r="A9" s="165" t="s">
        <v>213</v>
      </c>
      <c r="B9" s="165" t="s">
        <v>552</v>
      </c>
      <c r="C9" s="165" t="s">
        <v>206</v>
      </c>
      <c r="D9" s="165" t="s">
        <v>210</v>
      </c>
      <c r="E9" s="165">
        <v>29.44</v>
      </c>
      <c r="F9" s="165"/>
      <c r="G9" s="165" t="s">
        <v>217</v>
      </c>
      <c r="H9" s="165" t="s">
        <v>205</v>
      </c>
      <c r="I9" s="165" t="s">
        <v>206</v>
      </c>
      <c r="J9" s="165" t="s">
        <v>207</v>
      </c>
      <c r="K9" s="165">
        <v>39.49</v>
      </c>
      <c r="L9" s="165"/>
      <c r="M9" s="165"/>
      <c r="N9" s="107">
        <v>100</v>
      </c>
      <c r="O9" s="107">
        <v>100</v>
      </c>
      <c r="P9" s="107" t="str">
        <f t="shared" si="1"/>
        <v>100_100</v>
      </c>
      <c r="Q9" s="165">
        <v>29.08</v>
      </c>
      <c r="R9" s="108"/>
      <c r="S9" s="108"/>
      <c r="T9" s="165"/>
      <c r="U9" s="107">
        <v>100</v>
      </c>
      <c r="V9" s="107">
        <v>100</v>
      </c>
      <c r="W9" s="107" t="str">
        <f t="shared" si="0"/>
        <v>100_100</v>
      </c>
      <c r="X9" s="165">
        <v>29.08</v>
      </c>
      <c r="Y9" s="108"/>
      <c r="Z9" s="108"/>
    </row>
    <row r="10" spans="1:26" x14ac:dyDescent="0.25">
      <c r="A10" s="165" t="s">
        <v>214</v>
      </c>
      <c r="B10" s="165" t="s">
        <v>205</v>
      </c>
      <c r="C10" s="165" t="s">
        <v>206</v>
      </c>
      <c r="D10" s="165" t="s">
        <v>207</v>
      </c>
      <c r="E10" s="165">
        <v>34.17</v>
      </c>
      <c r="F10" s="165"/>
      <c r="G10" s="165" t="s">
        <v>218</v>
      </c>
      <c r="H10" s="165" t="s">
        <v>205</v>
      </c>
      <c r="I10" s="165" t="s">
        <v>206</v>
      </c>
      <c r="J10" s="165" t="s">
        <v>207</v>
      </c>
      <c r="K10" s="165" t="s">
        <v>220</v>
      </c>
      <c r="L10" s="165"/>
      <c r="M10" s="165"/>
      <c r="N10" s="107">
        <v>200</v>
      </c>
      <c r="O10" s="107">
        <v>100</v>
      </c>
      <c r="P10" s="107" t="str">
        <f t="shared" si="1"/>
        <v>200_100</v>
      </c>
      <c r="Q10" s="165">
        <v>34.314999999999998</v>
      </c>
      <c r="R10" s="108"/>
      <c r="S10" s="108"/>
      <c r="T10" s="165"/>
      <c r="U10" s="107">
        <v>100</v>
      </c>
      <c r="V10" s="107">
        <v>200</v>
      </c>
      <c r="W10" s="107" t="str">
        <f t="shared" si="0"/>
        <v>100_200</v>
      </c>
      <c r="X10" s="165">
        <v>29.409999999999997</v>
      </c>
      <c r="Y10" s="108"/>
      <c r="Z10" s="108"/>
    </row>
    <row r="11" spans="1:26" x14ac:dyDescent="0.25">
      <c r="A11" s="165" t="s">
        <v>214</v>
      </c>
      <c r="B11" s="165" t="s">
        <v>552</v>
      </c>
      <c r="C11" s="165" t="s">
        <v>206</v>
      </c>
      <c r="D11" s="165" t="s">
        <v>210</v>
      </c>
      <c r="E11" s="165">
        <v>33.58</v>
      </c>
      <c r="F11" s="165"/>
      <c r="G11" s="165" t="s">
        <v>219</v>
      </c>
      <c r="H11" s="165" t="s">
        <v>205</v>
      </c>
      <c r="I11" s="165" t="s">
        <v>206</v>
      </c>
      <c r="J11" s="165" t="s">
        <v>207</v>
      </c>
      <c r="K11" s="165" t="s">
        <v>220</v>
      </c>
      <c r="L11" s="165"/>
      <c r="M11" s="165"/>
      <c r="N11" s="107">
        <v>400</v>
      </c>
      <c r="O11" s="107">
        <v>100</v>
      </c>
      <c r="P11" s="107" t="str">
        <f t="shared" si="1"/>
        <v>400_100</v>
      </c>
      <c r="Q11" s="165">
        <v>38.260000000000005</v>
      </c>
      <c r="R11" s="108"/>
      <c r="S11" s="108"/>
      <c r="T11" s="165"/>
      <c r="U11" s="107">
        <v>100</v>
      </c>
      <c r="V11" s="107">
        <v>400</v>
      </c>
      <c r="W11" s="107" t="str">
        <f t="shared" si="0"/>
        <v>100_400</v>
      </c>
      <c r="X11" s="165">
        <v>29.53</v>
      </c>
      <c r="Y11" s="108"/>
      <c r="Z11" s="108"/>
    </row>
    <row r="12" spans="1:26" x14ac:dyDescent="0.25">
      <c r="A12" s="165" t="s">
        <v>215</v>
      </c>
      <c r="B12" s="165" t="s">
        <v>205</v>
      </c>
      <c r="C12" s="165" t="s">
        <v>206</v>
      </c>
      <c r="D12" s="165" t="s">
        <v>207</v>
      </c>
      <c r="E12" s="165">
        <v>34.97</v>
      </c>
      <c r="F12" s="165"/>
      <c r="G12" s="165" t="s">
        <v>221</v>
      </c>
      <c r="H12" s="165" t="s">
        <v>205</v>
      </c>
      <c r="I12" s="165" t="s">
        <v>206</v>
      </c>
      <c r="J12" s="165" t="s">
        <v>207</v>
      </c>
      <c r="K12" s="165" t="s">
        <v>220</v>
      </c>
      <c r="L12" s="165"/>
      <c r="M12" s="165"/>
      <c r="N12" s="107">
        <v>600</v>
      </c>
      <c r="O12" s="107">
        <v>100</v>
      </c>
      <c r="P12" s="107" t="str">
        <f t="shared" si="1"/>
        <v>600_100</v>
      </c>
      <c r="Q12" s="165">
        <v>41.58</v>
      </c>
      <c r="R12" s="108"/>
      <c r="S12" s="108"/>
      <c r="T12" s="165"/>
      <c r="U12" s="107">
        <v>100</v>
      </c>
      <c r="V12" s="107">
        <v>600</v>
      </c>
      <c r="W12" s="107" t="str">
        <f t="shared" si="0"/>
        <v>100_600</v>
      </c>
      <c r="X12" s="165">
        <v>29.405000000000001</v>
      </c>
      <c r="Y12" s="108"/>
      <c r="Z12" s="108"/>
    </row>
    <row r="13" spans="1:26" x14ac:dyDescent="0.25">
      <c r="A13" s="165" t="s">
        <v>215</v>
      </c>
      <c r="B13" s="165" t="s">
        <v>552</v>
      </c>
      <c r="C13" s="165" t="s">
        <v>206</v>
      </c>
      <c r="D13" s="165" t="s">
        <v>210</v>
      </c>
      <c r="E13" s="165">
        <v>34.770000000000003</v>
      </c>
      <c r="F13" s="165"/>
      <c r="G13" s="165" t="s">
        <v>222</v>
      </c>
      <c r="H13" s="165" t="s">
        <v>205</v>
      </c>
      <c r="I13" s="165" t="s">
        <v>206</v>
      </c>
      <c r="J13" s="165" t="s">
        <v>207</v>
      </c>
      <c r="K13" s="165" t="s">
        <v>220</v>
      </c>
      <c r="L13" s="165"/>
      <c r="M13" s="165"/>
      <c r="N13" s="107">
        <v>800</v>
      </c>
      <c r="O13" s="107">
        <v>100</v>
      </c>
      <c r="P13" s="107" t="str">
        <f t="shared" si="1"/>
        <v>800_100</v>
      </c>
      <c r="Q13" s="165">
        <v>42.58</v>
      </c>
      <c r="R13" s="108"/>
      <c r="S13" s="108"/>
      <c r="T13" s="165"/>
      <c r="U13" s="107">
        <v>100</v>
      </c>
      <c r="V13" s="107">
        <v>800</v>
      </c>
      <c r="W13" s="107" t="str">
        <f t="shared" si="0"/>
        <v>100_800</v>
      </c>
      <c r="X13" s="165">
        <v>27.965</v>
      </c>
      <c r="Y13" s="108"/>
      <c r="Z13" s="108"/>
    </row>
    <row r="14" spans="1:26" x14ac:dyDescent="0.25">
      <c r="A14" s="165" t="s">
        <v>216</v>
      </c>
      <c r="B14" s="165" t="s">
        <v>205</v>
      </c>
      <c r="C14" s="165" t="s">
        <v>206</v>
      </c>
      <c r="D14" s="165" t="s">
        <v>207</v>
      </c>
      <c r="E14" s="165">
        <v>38.92</v>
      </c>
      <c r="F14" s="165"/>
      <c r="G14" s="165" t="s">
        <v>223</v>
      </c>
      <c r="H14" s="165" t="s">
        <v>205</v>
      </c>
      <c r="I14" s="165" t="s">
        <v>206</v>
      </c>
      <c r="J14" s="165" t="s">
        <v>207</v>
      </c>
      <c r="K14" s="165">
        <v>27.31</v>
      </c>
      <c r="L14" s="165">
        <f>AVERAGE(K14:K15)</f>
        <v>27.204999999999998</v>
      </c>
      <c r="M14" s="165"/>
      <c r="N14" s="107">
        <v>50</v>
      </c>
      <c r="O14" s="107">
        <v>200</v>
      </c>
      <c r="P14" s="107" t="str">
        <f t="shared" si="1"/>
        <v>50_200</v>
      </c>
      <c r="Q14" s="165">
        <v>27.225000000000001</v>
      </c>
      <c r="R14" s="108">
        <f>AVERAGE(Q14:Q19)</f>
        <v>35.119166666666665</v>
      </c>
      <c r="S14" s="108">
        <f>STDEV(Q14:Q19)</f>
        <v>5.9003215307868722</v>
      </c>
      <c r="T14" s="165"/>
      <c r="U14" s="107">
        <v>200</v>
      </c>
      <c r="V14" s="107">
        <v>50</v>
      </c>
      <c r="W14" s="107" t="str">
        <f t="shared" si="0"/>
        <v>200_50</v>
      </c>
      <c r="X14" s="165">
        <v>34.57</v>
      </c>
      <c r="Y14" s="108">
        <f>AVERAGE(X14:X19)</f>
        <v>34.031666666666666</v>
      </c>
      <c r="Z14" s="108">
        <f>STDEV(X14:X19)</f>
        <v>0.38167612797588774</v>
      </c>
    </row>
    <row r="15" spans="1:26" x14ac:dyDescent="0.25">
      <c r="A15" s="165" t="s">
        <v>216</v>
      </c>
      <c r="B15" s="165" t="s">
        <v>552</v>
      </c>
      <c r="C15" s="165" t="s">
        <v>206</v>
      </c>
      <c r="D15" s="165" t="s">
        <v>210</v>
      </c>
      <c r="E15" s="165">
        <v>43.71</v>
      </c>
      <c r="F15" s="165"/>
      <c r="G15" s="165" t="s">
        <v>234</v>
      </c>
      <c r="H15" s="165" t="s">
        <v>205</v>
      </c>
      <c r="I15" s="165" t="s">
        <v>206</v>
      </c>
      <c r="J15" s="165" t="s">
        <v>207</v>
      </c>
      <c r="K15" s="165">
        <v>27.1</v>
      </c>
      <c r="L15" s="165"/>
      <c r="M15" s="165"/>
      <c r="N15" s="107">
        <v>100</v>
      </c>
      <c r="O15" s="107">
        <v>200</v>
      </c>
      <c r="P15" s="107" t="str">
        <f t="shared" si="1"/>
        <v>100_200</v>
      </c>
      <c r="Q15" s="165">
        <v>29.409999999999997</v>
      </c>
      <c r="R15" s="108"/>
      <c r="S15" s="108"/>
      <c r="T15" s="165"/>
      <c r="U15" s="107">
        <v>200</v>
      </c>
      <c r="V15" s="107">
        <v>100</v>
      </c>
      <c r="W15" s="107" t="str">
        <f t="shared" si="0"/>
        <v>200_100</v>
      </c>
      <c r="X15" s="165">
        <v>34.314999999999998</v>
      </c>
      <c r="Y15" s="108"/>
      <c r="Z15" s="108"/>
    </row>
    <row r="16" spans="1:26" x14ac:dyDescent="0.25">
      <c r="A16" s="165" t="s">
        <v>217</v>
      </c>
      <c r="B16" s="165" t="s">
        <v>205</v>
      </c>
      <c r="C16" s="165" t="s">
        <v>206</v>
      </c>
      <c r="D16" s="165" t="s">
        <v>207</v>
      </c>
      <c r="E16" s="165">
        <v>39.49</v>
      </c>
      <c r="F16" s="165"/>
      <c r="G16" s="165" t="s">
        <v>235</v>
      </c>
      <c r="H16" s="165" t="s">
        <v>205</v>
      </c>
      <c r="I16" s="165" t="s">
        <v>206</v>
      </c>
      <c r="J16" s="165" t="s">
        <v>207</v>
      </c>
      <c r="K16" s="165">
        <v>28.98</v>
      </c>
      <c r="L16" s="165">
        <f>AVERAGE(K16:K17)</f>
        <v>29.08</v>
      </c>
      <c r="M16" s="165"/>
      <c r="N16" s="107">
        <v>200</v>
      </c>
      <c r="O16" s="107">
        <v>200</v>
      </c>
      <c r="P16" s="107" t="str">
        <f t="shared" si="1"/>
        <v>200_200</v>
      </c>
      <c r="Q16" s="165">
        <v>34.115000000000002</v>
      </c>
      <c r="R16" s="108"/>
      <c r="S16" s="108"/>
      <c r="T16" s="165"/>
      <c r="U16" s="107">
        <v>200</v>
      </c>
      <c r="V16" s="107">
        <v>200</v>
      </c>
      <c r="W16" s="107" t="str">
        <f t="shared" si="0"/>
        <v>200_200</v>
      </c>
      <c r="X16" s="165">
        <v>34.115000000000002</v>
      </c>
      <c r="Y16" s="108"/>
      <c r="Z16" s="108"/>
    </row>
    <row r="17" spans="1:26" x14ac:dyDescent="0.25">
      <c r="A17" s="165" t="s">
        <v>217</v>
      </c>
      <c r="B17" s="165" t="s">
        <v>552</v>
      </c>
      <c r="C17" s="165" t="s">
        <v>206</v>
      </c>
      <c r="D17" s="165" t="s">
        <v>210</v>
      </c>
      <c r="E17" s="165" t="s">
        <v>220</v>
      </c>
      <c r="F17" s="165"/>
      <c r="G17" s="165" t="s">
        <v>236</v>
      </c>
      <c r="H17" s="165" t="s">
        <v>205</v>
      </c>
      <c r="I17" s="165" t="s">
        <v>206</v>
      </c>
      <c r="J17" s="165" t="s">
        <v>207</v>
      </c>
      <c r="K17" s="165">
        <v>29.18</v>
      </c>
      <c r="L17" s="165"/>
      <c r="M17" s="165"/>
      <c r="N17" s="107">
        <v>400</v>
      </c>
      <c r="O17" s="107">
        <v>200</v>
      </c>
      <c r="P17" s="107" t="str">
        <f t="shared" si="1"/>
        <v>400_200</v>
      </c>
      <c r="Q17" s="165">
        <v>37.825000000000003</v>
      </c>
      <c r="R17" s="108"/>
      <c r="S17" s="108"/>
      <c r="T17" s="165"/>
      <c r="U17" s="107">
        <v>200</v>
      </c>
      <c r="V17" s="107">
        <v>400</v>
      </c>
      <c r="W17" s="107" t="str">
        <f t="shared" si="0"/>
        <v>200_400</v>
      </c>
      <c r="X17" s="165">
        <v>33.745000000000005</v>
      </c>
      <c r="Y17" s="108"/>
      <c r="Z17" s="108"/>
    </row>
    <row r="18" spans="1:26" x14ac:dyDescent="0.25">
      <c r="A18" s="165" t="s">
        <v>218</v>
      </c>
      <c r="B18" s="165" t="s">
        <v>205</v>
      </c>
      <c r="C18" s="165" t="s">
        <v>206</v>
      </c>
      <c r="D18" s="165" t="s">
        <v>207</v>
      </c>
      <c r="E18" s="165" t="s">
        <v>220</v>
      </c>
      <c r="F18" s="165"/>
      <c r="G18" s="165" t="s">
        <v>237</v>
      </c>
      <c r="H18" s="165" t="s">
        <v>205</v>
      </c>
      <c r="I18" s="165" t="s">
        <v>206</v>
      </c>
      <c r="J18" s="165" t="s">
        <v>207</v>
      </c>
      <c r="K18" s="165">
        <v>34.53</v>
      </c>
      <c r="L18" s="165">
        <f>AVERAGE(K18:K19)</f>
        <v>34.314999999999998</v>
      </c>
      <c r="M18" s="165"/>
      <c r="N18" s="107">
        <v>600</v>
      </c>
      <c r="O18" s="107">
        <v>200</v>
      </c>
      <c r="P18" s="107" t="str">
        <f t="shared" si="1"/>
        <v>600_200</v>
      </c>
      <c r="Q18" s="165">
        <v>41.1</v>
      </c>
      <c r="R18" s="108"/>
      <c r="S18" s="108"/>
      <c r="T18" s="165"/>
      <c r="U18" s="107">
        <v>200</v>
      </c>
      <c r="V18" s="107">
        <v>600</v>
      </c>
      <c r="W18" s="107" t="str">
        <f t="shared" si="0"/>
        <v>200_600</v>
      </c>
      <c r="X18" s="165">
        <v>33.524999999999999</v>
      </c>
      <c r="Y18" s="108"/>
      <c r="Z18" s="108"/>
    </row>
    <row r="19" spans="1:26" x14ac:dyDescent="0.25">
      <c r="A19" s="165" t="s">
        <v>218</v>
      </c>
      <c r="B19" s="165" t="s">
        <v>552</v>
      </c>
      <c r="C19" s="165" t="s">
        <v>206</v>
      </c>
      <c r="D19" s="165" t="s">
        <v>210</v>
      </c>
      <c r="E19" s="165" t="s">
        <v>220</v>
      </c>
      <c r="F19" s="165"/>
      <c r="G19" s="165" t="s">
        <v>238</v>
      </c>
      <c r="H19" s="165" t="s">
        <v>205</v>
      </c>
      <c r="I19" s="165" t="s">
        <v>206</v>
      </c>
      <c r="J19" s="165" t="s">
        <v>207</v>
      </c>
      <c r="K19" s="165">
        <v>34.1</v>
      </c>
      <c r="L19" s="165"/>
      <c r="M19" s="165"/>
      <c r="N19" s="107">
        <v>800</v>
      </c>
      <c r="O19" s="107">
        <v>200</v>
      </c>
      <c r="P19" s="107" t="str">
        <f t="shared" si="1"/>
        <v>800_200</v>
      </c>
      <c r="Q19" s="165">
        <v>41.04</v>
      </c>
      <c r="R19" s="108"/>
      <c r="S19" s="108"/>
      <c r="T19" s="165"/>
      <c r="U19" s="107">
        <v>200</v>
      </c>
      <c r="V19" s="107">
        <v>800</v>
      </c>
      <c r="W19" s="107" t="str">
        <f t="shared" si="0"/>
        <v>200_800</v>
      </c>
      <c r="X19" s="165">
        <v>33.92</v>
      </c>
      <c r="Y19" s="108"/>
      <c r="Z19" s="108"/>
    </row>
    <row r="20" spans="1:26" x14ac:dyDescent="0.25">
      <c r="A20" s="165" t="s">
        <v>219</v>
      </c>
      <c r="B20" s="165" t="s">
        <v>205</v>
      </c>
      <c r="C20" s="165" t="s">
        <v>206</v>
      </c>
      <c r="D20" s="165" t="s">
        <v>207</v>
      </c>
      <c r="E20" s="165" t="s">
        <v>220</v>
      </c>
      <c r="F20" s="165"/>
      <c r="G20" s="165" t="s">
        <v>239</v>
      </c>
      <c r="H20" s="165" t="s">
        <v>205</v>
      </c>
      <c r="I20" s="165" t="s">
        <v>206</v>
      </c>
      <c r="J20" s="165" t="s">
        <v>207</v>
      </c>
      <c r="K20" s="165">
        <v>38.35</v>
      </c>
      <c r="L20" s="165">
        <f>AVERAGE(K20:K21)</f>
        <v>38.260000000000005</v>
      </c>
      <c r="M20" s="165"/>
      <c r="N20" s="107">
        <v>50</v>
      </c>
      <c r="O20" s="107">
        <v>400</v>
      </c>
      <c r="P20" s="107" t="str">
        <f t="shared" si="1"/>
        <v>50_400</v>
      </c>
      <c r="Q20" s="165">
        <v>27.189999999999998</v>
      </c>
      <c r="R20" s="108">
        <f>AVERAGE(Q20:Q25)</f>
        <v>34.894166666666671</v>
      </c>
      <c r="S20" s="108">
        <f>STDEV(Q20:Q25)</f>
        <v>5.7408818283140448</v>
      </c>
      <c r="T20" s="165"/>
      <c r="U20" s="107">
        <v>400</v>
      </c>
      <c r="V20" s="107">
        <v>50</v>
      </c>
      <c r="W20" s="107" t="str">
        <f t="shared" si="0"/>
        <v>400_50</v>
      </c>
      <c r="X20" s="165">
        <v>39.204999999999998</v>
      </c>
      <c r="Y20" s="108">
        <f>AVERAGE(X20:X25)</f>
        <v>38.024166666666673</v>
      </c>
      <c r="Z20" s="108">
        <f>STDEV(X20:X25)</f>
        <v>0.7148385598627599</v>
      </c>
    </row>
    <row r="21" spans="1:26" x14ac:dyDescent="0.25">
      <c r="A21" s="165" t="s">
        <v>219</v>
      </c>
      <c r="B21" s="165" t="s">
        <v>552</v>
      </c>
      <c r="C21" s="165" t="s">
        <v>206</v>
      </c>
      <c r="D21" s="165" t="s">
        <v>210</v>
      </c>
      <c r="E21" s="165" t="s">
        <v>220</v>
      </c>
      <c r="F21" s="165"/>
      <c r="G21" s="165" t="s">
        <v>242</v>
      </c>
      <c r="H21" s="165" t="s">
        <v>205</v>
      </c>
      <c r="I21" s="165" t="s">
        <v>206</v>
      </c>
      <c r="J21" s="165" t="s">
        <v>207</v>
      </c>
      <c r="K21" s="165">
        <v>38.17</v>
      </c>
      <c r="L21" s="165"/>
      <c r="M21" s="165"/>
      <c r="N21" s="107">
        <v>100</v>
      </c>
      <c r="O21" s="107">
        <v>400</v>
      </c>
      <c r="P21" s="107" t="str">
        <f t="shared" si="1"/>
        <v>100_400</v>
      </c>
      <c r="Q21" s="165">
        <v>29.53</v>
      </c>
      <c r="R21" s="108"/>
      <c r="S21" s="108"/>
      <c r="T21" s="165"/>
      <c r="U21" s="107">
        <v>400</v>
      </c>
      <c r="V21" s="107">
        <v>100</v>
      </c>
      <c r="W21" s="107" t="str">
        <f t="shared" si="0"/>
        <v>400_100</v>
      </c>
      <c r="X21" s="165">
        <v>38.260000000000005</v>
      </c>
      <c r="Y21" s="108"/>
      <c r="Z21" s="108"/>
    </row>
    <row r="22" spans="1:26" x14ac:dyDescent="0.25">
      <c r="A22" s="165" t="s">
        <v>221</v>
      </c>
      <c r="B22" s="165" t="s">
        <v>205</v>
      </c>
      <c r="C22" s="165" t="s">
        <v>206</v>
      </c>
      <c r="D22" s="165" t="s">
        <v>207</v>
      </c>
      <c r="E22" s="165" t="s">
        <v>220</v>
      </c>
      <c r="F22" s="165"/>
      <c r="G22" s="165" t="s">
        <v>243</v>
      </c>
      <c r="H22" s="165" t="s">
        <v>205</v>
      </c>
      <c r="I22" s="165" t="s">
        <v>206</v>
      </c>
      <c r="J22" s="165" t="s">
        <v>207</v>
      </c>
      <c r="K22" s="165">
        <v>42.4</v>
      </c>
      <c r="L22" s="165">
        <f>AVERAGE(K22:K23)</f>
        <v>41.58</v>
      </c>
      <c r="M22" s="165"/>
      <c r="N22" s="107">
        <v>200</v>
      </c>
      <c r="O22" s="107">
        <v>400</v>
      </c>
      <c r="P22" s="107" t="str">
        <f t="shared" si="1"/>
        <v>200_400</v>
      </c>
      <c r="Q22" s="165">
        <v>33.745000000000005</v>
      </c>
      <c r="R22" s="108"/>
      <c r="S22" s="108"/>
      <c r="T22" s="165"/>
      <c r="U22" s="107">
        <v>400</v>
      </c>
      <c r="V22" s="107">
        <v>200</v>
      </c>
      <c r="W22" s="107" t="str">
        <f t="shared" si="0"/>
        <v>400_200</v>
      </c>
      <c r="X22" s="165">
        <v>37.825000000000003</v>
      </c>
      <c r="Y22" s="108"/>
      <c r="Z22" s="108"/>
    </row>
    <row r="23" spans="1:26" x14ac:dyDescent="0.25">
      <c r="A23" s="165" t="s">
        <v>221</v>
      </c>
      <c r="B23" s="165" t="s">
        <v>552</v>
      </c>
      <c r="C23" s="165" t="s">
        <v>206</v>
      </c>
      <c r="D23" s="165" t="s">
        <v>210</v>
      </c>
      <c r="E23" s="165" t="s">
        <v>220</v>
      </c>
      <c r="F23" s="165"/>
      <c r="G23" s="165" t="s">
        <v>244</v>
      </c>
      <c r="H23" s="165" t="s">
        <v>205</v>
      </c>
      <c r="I23" s="165" t="s">
        <v>206</v>
      </c>
      <c r="J23" s="165" t="s">
        <v>207</v>
      </c>
      <c r="K23" s="165">
        <v>40.76</v>
      </c>
      <c r="L23" s="165"/>
      <c r="M23" s="165"/>
      <c r="N23" s="107">
        <v>400</v>
      </c>
      <c r="O23" s="107">
        <v>400</v>
      </c>
      <c r="P23" s="107" t="str">
        <f t="shared" si="1"/>
        <v>400_400</v>
      </c>
      <c r="Q23" s="165">
        <v>37.33</v>
      </c>
      <c r="R23" s="108"/>
      <c r="S23" s="108"/>
      <c r="T23" s="165"/>
      <c r="U23" s="107">
        <v>400</v>
      </c>
      <c r="V23" s="107">
        <v>400</v>
      </c>
      <c r="W23" s="107" t="str">
        <f t="shared" si="0"/>
        <v>400_400</v>
      </c>
      <c r="X23" s="165">
        <v>37.33</v>
      </c>
      <c r="Y23" s="108"/>
      <c r="Z23" s="108"/>
    </row>
    <row r="24" spans="1:26" x14ac:dyDescent="0.25">
      <c r="A24" s="165" t="s">
        <v>222</v>
      </c>
      <c r="B24" s="165" t="s">
        <v>205</v>
      </c>
      <c r="C24" s="165" t="s">
        <v>206</v>
      </c>
      <c r="D24" s="165" t="s">
        <v>207</v>
      </c>
      <c r="E24" s="165" t="s">
        <v>220</v>
      </c>
      <c r="F24" s="165"/>
      <c r="G24" s="165" t="s">
        <v>245</v>
      </c>
      <c r="H24" s="165" t="s">
        <v>205</v>
      </c>
      <c r="I24" s="165" t="s">
        <v>206</v>
      </c>
      <c r="J24" s="165" t="s">
        <v>207</v>
      </c>
      <c r="K24" s="165" t="s">
        <v>220</v>
      </c>
      <c r="L24" s="165">
        <f>AVERAGE(K24:K25)</f>
        <v>42.58</v>
      </c>
      <c r="M24" s="165"/>
      <c r="N24" s="107">
        <v>600</v>
      </c>
      <c r="O24" s="107">
        <v>400</v>
      </c>
      <c r="P24" s="107" t="str">
        <f t="shared" si="1"/>
        <v>600_400</v>
      </c>
      <c r="Q24" s="165">
        <v>40.75</v>
      </c>
      <c r="R24" s="108"/>
      <c r="S24" s="108"/>
      <c r="T24" s="165"/>
      <c r="U24" s="107">
        <v>400</v>
      </c>
      <c r="V24" s="107">
        <v>600</v>
      </c>
      <c r="W24" s="107" t="str">
        <f t="shared" si="0"/>
        <v>400_600</v>
      </c>
      <c r="X24" s="165">
        <v>37.290000000000006</v>
      </c>
      <c r="Y24" s="108"/>
      <c r="Z24" s="108"/>
    </row>
    <row r="25" spans="1:26" x14ac:dyDescent="0.25">
      <c r="A25" s="165" t="s">
        <v>222</v>
      </c>
      <c r="B25" s="165" t="s">
        <v>552</v>
      </c>
      <c r="C25" s="165" t="s">
        <v>206</v>
      </c>
      <c r="D25" s="165" t="s">
        <v>210</v>
      </c>
      <c r="E25" s="165" t="s">
        <v>220</v>
      </c>
      <c r="F25" s="165"/>
      <c r="G25" s="165" t="s">
        <v>247</v>
      </c>
      <c r="H25" s="165" t="s">
        <v>205</v>
      </c>
      <c r="I25" s="165" t="s">
        <v>206</v>
      </c>
      <c r="J25" s="165" t="s">
        <v>207</v>
      </c>
      <c r="K25" s="165">
        <v>42.58</v>
      </c>
      <c r="L25" s="165"/>
      <c r="M25" s="165"/>
      <c r="N25" s="107">
        <v>800</v>
      </c>
      <c r="O25" s="107">
        <v>400</v>
      </c>
      <c r="P25" s="107" t="str">
        <f t="shared" si="1"/>
        <v>800_400</v>
      </c>
      <c r="Q25" s="165">
        <v>40.82</v>
      </c>
      <c r="R25" s="108"/>
      <c r="S25" s="108"/>
      <c r="T25" s="165"/>
      <c r="U25" s="107">
        <v>400</v>
      </c>
      <c r="V25" s="107">
        <v>800</v>
      </c>
      <c r="W25" s="107" t="str">
        <f t="shared" si="0"/>
        <v>400_800</v>
      </c>
      <c r="X25" s="165">
        <v>38.234999999999999</v>
      </c>
      <c r="Y25" s="108"/>
      <c r="Z25" s="108"/>
    </row>
    <row r="26" spans="1:26" x14ac:dyDescent="0.25">
      <c r="A26" s="165" t="s">
        <v>223</v>
      </c>
      <c r="B26" s="165" t="s">
        <v>205</v>
      </c>
      <c r="C26" s="165" t="s">
        <v>206</v>
      </c>
      <c r="D26" s="165" t="s">
        <v>207</v>
      </c>
      <c r="E26" s="165">
        <v>27.31</v>
      </c>
      <c r="F26" s="165"/>
      <c r="G26" s="165" t="s">
        <v>248</v>
      </c>
      <c r="H26" s="165" t="s">
        <v>205</v>
      </c>
      <c r="I26" s="165" t="s">
        <v>206</v>
      </c>
      <c r="J26" s="165" t="s">
        <v>207</v>
      </c>
      <c r="K26" s="165">
        <v>27.4</v>
      </c>
      <c r="L26" s="165">
        <f>AVERAGE(K26:K27)</f>
        <v>27.225000000000001</v>
      </c>
      <c r="M26" s="165"/>
      <c r="N26" s="107">
        <v>50</v>
      </c>
      <c r="O26" s="107">
        <v>600</v>
      </c>
      <c r="P26" s="107" t="str">
        <f t="shared" si="1"/>
        <v>50_600</v>
      </c>
      <c r="Q26" s="165">
        <v>27.115000000000002</v>
      </c>
      <c r="R26" s="108">
        <f>AVERAGE(Q26:Q31)</f>
        <v>34.752500000000005</v>
      </c>
      <c r="S26" s="108">
        <f>STDEV(Q26:Q31)</f>
        <v>5.71009347559212</v>
      </c>
      <c r="T26" s="165"/>
      <c r="U26" s="107">
        <v>600</v>
      </c>
      <c r="V26" s="107">
        <v>50</v>
      </c>
      <c r="W26" s="107" t="str">
        <f t="shared" si="0"/>
        <v>600_50</v>
      </c>
      <c r="X26" s="165">
        <v>0</v>
      </c>
      <c r="Y26" s="108">
        <f>AVERAGE(X26:X31)</f>
        <v>34.104166666666664</v>
      </c>
      <c r="Z26" s="108">
        <f>STDEV(X26:X31)</f>
        <v>16.711782794383925</v>
      </c>
    </row>
    <row r="27" spans="1:26" x14ac:dyDescent="0.25">
      <c r="A27" s="165" t="s">
        <v>223</v>
      </c>
      <c r="B27" s="165" t="s">
        <v>552</v>
      </c>
      <c r="C27" s="165" t="s">
        <v>206</v>
      </c>
      <c r="D27" s="165" t="s">
        <v>210</v>
      </c>
      <c r="E27" s="165">
        <v>27.98</v>
      </c>
      <c r="F27" s="165"/>
      <c r="G27" s="165" t="s">
        <v>249</v>
      </c>
      <c r="H27" s="165" t="s">
        <v>205</v>
      </c>
      <c r="I27" s="165" t="s">
        <v>206</v>
      </c>
      <c r="J27" s="165" t="s">
        <v>207</v>
      </c>
      <c r="K27" s="165">
        <v>27.05</v>
      </c>
      <c r="L27" s="165"/>
      <c r="M27" s="165"/>
      <c r="N27" s="107">
        <v>100</v>
      </c>
      <c r="O27" s="107">
        <v>600</v>
      </c>
      <c r="P27" s="107" t="str">
        <f t="shared" si="1"/>
        <v>100_600</v>
      </c>
      <c r="Q27" s="165">
        <v>29.405000000000001</v>
      </c>
      <c r="R27" s="108"/>
      <c r="S27" s="108"/>
      <c r="T27" s="165"/>
      <c r="U27" s="107">
        <v>600</v>
      </c>
      <c r="V27" s="107">
        <v>100</v>
      </c>
      <c r="W27" s="107" t="str">
        <f t="shared" si="0"/>
        <v>600_100</v>
      </c>
      <c r="X27" s="165">
        <v>41.58</v>
      </c>
      <c r="Y27" s="108"/>
      <c r="Z27" s="108"/>
    </row>
    <row r="28" spans="1:26" x14ac:dyDescent="0.25">
      <c r="A28" s="165" t="s">
        <v>234</v>
      </c>
      <c r="B28" s="165" t="s">
        <v>205</v>
      </c>
      <c r="C28" s="165" t="s">
        <v>206</v>
      </c>
      <c r="D28" s="165" t="s">
        <v>207</v>
      </c>
      <c r="E28" s="165">
        <v>27.1</v>
      </c>
      <c r="F28" s="165"/>
      <c r="G28" s="165" t="s">
        <v>250</v>
      </c>
      <c r="H28" s="165" t="s">
        <v>205</v>
      </c>
      <c r="I28" s="165" t="s">
        <v>206</v>
      </c>
      <c r="J28" s="165" t="s">
        <v>207</v>
      </c>
      <c r="K28" s="165">
        <v>29.58</v>
      </c>
      <c r="L28" s="165">
        <f>AVERAGE(K28:K29)</f>
        <v>29.409999999999997</v>
      </c>
      <c r="M28" s="165"/>
      <c r="N28" s="107">
        <v>200</v>
      </c>
      <c r="O28" s="107">
        <v>600</v>
      </c>
      <c r="P28" s="107" t="str">
        <f t="shared" si="1"/>
        <v>200_600</v>
      </c>
      <c r="Q28" s="165">
        <v>33.524999999999999</v>
      </c>
      <c r="R28" s="108"/>
      <c r="S28" s="108"/>
      <c r="T28" s="165"/>
      <c r="U28" s="107">
        <v>600</v>
      </c>
      <c r="V28" s="107">
        <v>200</v>
      </c>
      <c r="W28" s="107" t="str">
        <f t="shared" si="0"/>
        <v>600_200</v>
      </c>
      <c r="X28" s="165">
        <v>41.1</v>
      </c>
      <c r="Y28" s="108"/>
      <c r="Z28" s="108"/>
    </row>
    <row r="29" spans="1:26" x14ac:dyDescent="0.25">
      <c r="A29" s="165" t="s">
        <v>234</v>
      </c>
      <c r="B29" s="165" t="s">
        <v>552</v>
      </c>
      <c r="C29" s="165" t="s">
        <v>206</v>
      </c>
      <c r="D29" s="165" t="s">
        <v>210</v>
      </c>
      <c r="E29" s="165">
        <v>28.02</v>
      </c>
      <c r="F29" s="165"/>
      <c r="G29" s="165" t="s">
        <v>251</v>
      </c>
      <c r="H29" s="165" t="s">
        <v>205</v>
      </c>
      <c r="I29" s="165" t="s">
        <v>206</v>
      </c>
      <c r="J29" s="165" t="s">
        <v>207</v>
      </c>
      <c r="K29" s="165">
        <v>29.24</v>
      </c>
      <c r="L29" s="165"/>
      <c r="M29" s="165"/>
      <c r="N29" s="107">
        <v>400</v>
      </c>
      <c r="O29" s="107">
        <v>600</v>
      </c>
      <c r="P29" s="107" t="str">
        <f t="shared" si="1"/>
        <v>400_600</v>
      </c>
      <c r="Q29" s="165">
        <v>37.290000000000006</v>
      </c>
      <c r="R29" s="108"/>
      <c r="S29" s="108"/>
      <c r="T29" s="165"/>
      <c r="U29" s="107">
        <v>600</v>
      </c>
      <c r="V29" s="107">
        <v>400</v>
      </c>
      <c r="W29" s="107" t="str">
        <f t="shared" si="0"/>
        <v>600_400</v>
      </c>
      <c r="X29" s="165">
        <v>40.75</v>
      </c>
      <c r="Y29" s="108"/>
      <c r="Z29" s="108"/>
    </row>
    <row r="30" spans="1:26" x14ac:dyDescent="0.25">
      <c r="A30" s="165" t="s">
        <v>235</v>
      </c>
      <c r="B30" s="165" t="s">
        <v>205</v>
      </c>
      <c r="C30" s="165" t="s">
        <v>206</v>
      </c>
      <c r="D30" s="165" t="s">
        <v>207</v>
      </c>
      <c r="E30" s="165">
        <v>28.98</v>
      </c>
      <c r="F30" s="165"/>
      <c r="G30" s="165" t="s">
        <v>252</v>
      </c>
      <c r="H30" s="165" t="s">
        <v>205</v>
      </c>
      <c r="I30" s="165" t="s">
        <v>206</v>
      </c>
      <c r="J30" s="165" t="s">
        <v>207</v>
      </c>
      <c r="K30" s="165">
        <v>34.17</v>
      </c>
      <c r="L30" s="165">
        <f>AVERAGE(K30:K31)</f>
        <v>34.115000000000002</v>
      </c>
      <c r="M30" s="165"/>
      <c r="N30" s="107">
        <v>600</v>
      </c>
      <c r="O30" s="107">
        <v>600</v>
      </c>
      <c r="P30" s="107" t="str">
        <f t="shared" si="1"/>
        <v>600_600</v>
      </c>
      <c r="Q30" s="165">
        <v>40.58</v>
      </c>
      <c r="R30" s="108"/>
      <c r="S30" s="108"/>
      <c r="T30" s="165"/>
      <c r="U30" s="107">
        <v>600</v>
      </c>
      <c r="V30" s="107">
        <v>600</v>
      </c>
      <c r="W30" s="107" t="str">
        <f t="shared" si="0"/>
        <v>600_600</v>
      </c>
      <c r="X30" s="165">
        <v>40.58</v>
      </c>
      <c r="Y30" s="108"/>
      <c r="Z30" s="108"/>
    </row>
    <row r="31" spans="1:26" x14ac:dyDescent="0.25">
      <c r="A31" s="165" t="s">
        <v>235</v>
      </c>
      <c r="B31" s="165" t="s">
        <v>552</v>
      </c>
      <c r="C31" s="165" t="s">
        <v>206</v>
      </c>
      <c r="D31" s="165" t="s">
        <v>210</v>
      </c>
      <c r="E31" s="165">
        <v>28.31</v>
      </c>
      <c r="F31" s="165"/>
      <c r="G31" s="165" t="s">
        <v>253</v>
      </c>
      <c r="H31" s="165" t="s">
        <v>205</v>
      </c>
      <c r="I31" s="165" t="s">
        <v>206</v>
      </c>
      <c r="J31" s="165" t="s">
        <v>207</v>
      </c>
      <c r="K31" s="165">
        <v>34.06</v>
      </c>
      <c r="L31" s="165"/>
      <c r="M31" s="165"/>
      <c r="N31" s="107">
        <v>800</v>
      </c>
      <c r="O31" s="107">
        <v>600</v>
      </c>
      <c r="P31" s="107" t="str">
        <f t="shared" si="1"/>
        <v>800_600</v>
      </c>
      <c r="Q31" s="165">
        <v>40.599999999999994</v>
      </c>
      <c r="R31" s="108"/>
      <c r="S31" s="108"/>
      <c r="T31" s="165"/>
      <c r="U31" s="107">
        <v>600</v>
      </c>
      <c r="V31" s="107">
        <v>800</v>
      </c>
      <c r="W31" s="107" t="str">
        <f t="shared" si="0"/>
        <v>600_800</v>
      </c>
      <c r="X31" s="165">
        <v>40.614999999999995</v>
      </c>
      <c r="Y31" s="108"/>
      <c r="Z31" s="108"/>
    </row>
    <row r="32" spans="1:26" x14ac:dyDescent="0.25">
      <c r="A32" s="165" t="s">
        <v>236</v>
      </c>
      <c r="B32" s="165" t="s">
        <v>205</v>
      </c>
      <c r="C32" s="165" t="s">
        <v>206</v>
      </c>
      <c r="D32" s="165" t="s">
        <v>207</v>
      </c>
      <c r="E32" s="165">
        <v>29.18</v>
      </c>
      <c r="F32" s="165"/>
      <c r="G32" s="165" t="s">
        <v>254</v>
      </c>
      <c r="H32" s="165" t="s">
        <v>205</v>
      </c>
      <c r="I32" s="165" t="s">
        <v>206</v>
      </c>
      <c r="J32" s="165" t="s">
        <v>207</v>
      </c>
      <c r="K32" s="165">
        <v>37.79</v>
      </c>
      <c r="L32" s="165">
        <f>AVERAGE(K32:K33)</f>
        <v>37.825000000000003</v>
      </c>
      <c r="M32" s="165"/>
      <c r="N32" s="107">
        <v>50</v>
      </c>
      <c r="O32" s="107">
        <v>800</v>
      </c>
      <c r="P32" s="107" t="str">
        <f t="shared" si="1"/>
        <v>50_800</v>
      </c>
      <c r="Q32" s="165">
        <v>26.344999999999999</v>
      </c>
      <c r="R32" s="108">
        <f>AVERAGE(Q32:Q37)</f>
        <v>34.576666666666661</v>
      </c>
      <c r="S32" s="108">
        <f>STDEV(Q32:Q37)</f>
        <v>6.2518674543425039</v>
      </c>
      <c r="T32" s="165"/>
      <c r="U32" s="107">
        <v>800</v>
      </c>
      <c r="V32" s="107">
        <v>50</v>
      </c>
      <c r="W32" s="107" t="str">
        <f t="shared" si="0"/>
        <v>800_50</v>
      </c>
      <c r="X32" s="165">
        <v>0</v>
      </c>
      <c r="Y32" s="108">
        <f>AVERAGE(X32:X37)</f>
        <v>34.236666666666665</v>
      </c>
      <c r="Z32" s="108">
        <f>STDEV(X32:X37)</f>
        <v>16.790585060285025</v>
      </c>
    </row>
    <row r="33" spans="1:26" x14ac:dyDescent="0.25">
      <c r="A33" s="165" t="s">
        <v>236</v>
      </c>
      <c r="B33" s="165" t="s">
        <v>552</v>
      </c>
      <c r="C33" s="165" t="s">
        <v>206</v>
      </c>
      <c r="D33" s="165" t="s">
        <v>210</v>
      </c>
      <c r="E33" s="165">
        <v>28.63</v>
      </c>
      <c r="F33" s="165"/>
      <c r="G33" s="165" t="s">
        <v>255</v>
      </c>
      <c r="H33" s="165" t="s">
        <v>205</v>
      </c>
      <c r="I33" s="165" t="s">
        <v>206</v>
      </c>
      <c r="J33" s="165" t="s">
        <v>207</v>
      </c>
      <c r="K33" s="165">
        <v>37.86</v>
      </c>
      <c r="L33" s="165"/>
      <c r="M33" s="165"/>
      <c r="N33" s="107">
        <v>100</v>
      </c>
      <c r="O33" s="107">
        <v>800</v>
      </c>
      <c r="P33" s="107" t="str">
        <f t="shared" si="1"/>
        <v>100_800</v>
      </c>
      <c r="Q33" s="165">
        <v>27.965</v>
      </c>
      <c r="R33" s="108"/>
      <c r="S33" s="108"/>
      <c r="T33" s="165"/>
      <c r="U33" s="107">
        <v>800</v>
      </c>
      <c r="V33" s="107">
        <v>100</v>
      </c>
      <c r="W33" s="107" t="str">
        <f t="shared" si="0"/>
        <v>800_100</v>
      </c>
      <c r="X33" s="165">
        <v>42.58</v>
      </c>
      <c r="Y33" s="108"/>
      <c r="Z33" s="108"/>
    </row>
    <row r="34" spans="1:26" x14ac:dyDescent="0.25">
      <c r="A34" s="165" t="s">
        <v>237</v>
      </c>
      <c r="B34" s="165" t="s">
        <v>205</v>
      </c>
      <c r="C34" s="165" t="s">
        <v>206</v>
      </c>
      <c r="D34" s="165" t="s">
        <v>207</v>
      </c>
      <c r="E34" s="165">
        <v>34.53</v>
      </c>
      <c r="F34" s="165"/>
      <c r="G34" s="165" t="s">
        <v>256</v>
      </c>
      <c r="H34" s="165" t="s">
        <v>205</v>
      </c>
      <c r="I34" s="165" t="s">
        <v>206</v>
      </c>
      <c r="J34" s="165" t="s">
        <v>207</v>
      </c>
      <c r="K34" s="165">
        <v>41.64</v>
      </c>
      <c r="L34" s="165">
        <f>AVERAGE(K34:K35)</f>
        <v>41.1</v>
      </c>
      <c r="M34" s="165"/>
      <c r="N34" s="107">
        <v>200</v>
      </c>
      <c r="O34" s="107">
        <v>800</v>
      </c>
      <c r="P34" s="107" t="str">
        <f t="shared" si="1"/>
        <v>200_800</v>
      </c>
      <c r="Q34" s="165">
        <v>33.92</v>
      </c>
      <c r="R34" s="108"/>
      <c r="S34" s="108"/>
      <c r="T34" s="165"/>
      <c r="U34" s="107">
        <v>800</v>
      </c>
      <c r="V34" s="107">
        <v>200</v>
      </c>
      <c r="W34" s="107" t="str">
        <f t="shared" si="0"/>
        <v>800_200</v>
      </c>
      <c r="X34" s="165">
        <v>41.04</v>
      </c>
      <c r="Y34" s="108"/>
      <c r="Z34" s="108"/>
    </row>
    <row r="35" spans="1:26" x14ac:dyDescent="0.25">
      <c r="A35" s="165" t="s">
        <v>237</v>
      </c>
      <c r="B35" s="165" t="s">
        <v>552</v>
      </c>
      <c r="C35" s="165" t="s">
        <v>206</v>
      </c>
      <c r="D35" s="165" t="s">
        <v>210</v>
      </c>
      <c r="E35" s="165">
        <v>33.909999999999997</v>
      </c>
      <c r="F35" s="165"/>
      <c r="G35" s="165" t="s">
        <v>257</v>
      </c>
      <c r="H35" s="165" t="s">
        <v>205</v>
      </c>
      <c r="I35" s="165" t="s">
        <v>206</v>
      </c>
      <c r="J35" s="165" t="s">
        <v>207</v>
      </c>
      <c r="K35" s="165">
        <v>40.56</v>
      </c>
      <c r="L35" s="165"/>
      <c r="M35" s="165"/>
      <c r="N35" s="107">
        <v>400</v>
      </c>
      <c r="O35" s="107">
        <v>800</v>
      </c>
      <c r="P35" s="107" t="str">
        <f t="shared" si="1"/>
        <v>400_800</v>
      </c>
      <c r="Q35" s="165">
        <v>38.234999999999999</v>
      </c>
      <c r="R35" s="108"/>
      <c r="S35" s="108"/>
      <c r="T35" s="165"/>
      <c r="U35" s="107">
        <v>800</v>
      </c>
      <c r="V35" s="107">
        <v>400</v>
      </c>
      <c r="W35" s="107" t="str">
        <f t="shared" si="0"/>
        <v>800_400</v>
      </c>
      <c r="X35" s="165">
        <v>40.82</v>
      </c>
      <c r="Y35" s="108"/>
      <c r="Z35" s="108"/>
    </row>
    <row r="36" spans="1:26" x14ac:dyDescent="0.25">
      <c r="A36" s="165" t="s">
        <v>238</v>
      </c>
      <c r="B36" s="165" t="s">
        <v>205</v>
      </c>
      <c r="C36" s="165" t="s">
        <v>206</v>
      </c>
      <c r="D36" s="165" t="s">
        <v>207</v>
      </c>
      <c r="E36" s="165">
        <v>34.1</v>
      </c>
      <c r="F36" s="165"/>
      <c r="G36" s="165" t="s">
        <v>258</v>
      </c>
      <c r="H36" s="165" t="s">
        <v>205</v>
      </c>
      <c r="I36" s="165" t="s">
        <v>206</v>
      </c>
      <c r="J36" s="165" t="s">
        <v>207</v>
      </c>
      <c r="K36" s="165">
        <v>41.25</v>
      </c>
      <c r="L36" s="165">
        <f>AVERAGE(K36:K37)</f>
        <v>41.04</v>
      </c>
      <c r="M36" s="165"/>
      <c r="N36" s="107">
        <v>600</v>
      </c>
      <c r="O36" s="107">
        <v>800</v>
      </c>
      <c r="P36" s="107" t="str">
        <f t="shared" si="1"/>
        <v>600_800</v>
      </c>
      <c r="Q36" s="165">
        <v>40.614999999999995</v>
      </c>
      <c r="R36" s="108"/>
      <c r="S36" s="108"/>
      <c r="T36" s="165"/>
      <c r="U36" s="107">
        <v>800</v>
      </c>
      <c r="V36" s="107">
        <v>600</v>
      </c>
      <c r="W36" s="107" t="str">
        <f t="shared" si="0"/>
        <v>800_600</v>
      </c>
      <c r="X36" s="165">
        <v>40.599999999999994</v>
      </c>
      <c r="Y36" s="108"/>
      <c r="Z36" s="108"/>
    </row>
    <row r="37" spans="1:26" x14ac:dyDescent="0.25">
      <c r="A37" s="165" t="s">
        <v>238</v>
      </c>
      <c r="B37" s="165" t="s">
        <v>552</v>
      </c>
      <c r="C37" s="165" t="s">
        <v>206</v>
      </c>
      <c r="D37" s="165" t="s">
        <v>210</v>
      </c>
      <c r="E37" s="165">
        <v>32.979999999999997</v>
      </c>
      <c r="F37" s="165"/>
      <c r="G37" s="165" t="s">
        <v>259</v>
      </c>
      <c r="H37" s="165" t="s">
        <v>205</v>
      </c>
      <c r="I37" s="165" t="s">
        <v>206</v>
      </c>
      <c r="J37" s="165" t="s">
        <v>207</v>
      </c>
      <c r="K37" s="165">
        <v>40.83</v>
      </c>
      <c r="L37" s="165"/>
      <c r="M37" s="165"/>
      <c r="N37" s="107">
        <v>800</v>
      </c>
      <c r="O37" s="107">
        <v>800</v>
      </c>
      <c r="P37" s="107" t="str">
        <f t="shared" si="1"/>
        <v>800_800</v>
      </c>
      <c r="Q37" s="165">
        <v>40.380000000000003</v>
      </c>
      <c r="R37" s="108"/>
      <c r="S37" s="108"/>
      <c r="T37" s="165"/>
      <c r="U37" s="107">
        <v>800</v>
      </c>
      <c r="V37" s="107">
        <v>800</v>
      </c>
      <c r="W37" s="107" t="str">
        <f t="shared" si="0"/>
        <v>800_800</v>
      </c>
      <c r="X37" s="165">
        <v>40.380000000000003</v>
      </c>
      <c r="Y37" s="108"/>
      <c r="Z37" s="108"/>
    </row>
    <row r="38" spans="1:26" x14ac:dyDescent="0.25">
      <c r="A38" s="165" t="s">
        <v>239</v>
      </c>
      <c r="B38" s="165" t="s">
        <v>205</v>
      </c>
      <c r="C38" s="165" t="s">
        <v>206</v>
      </c>
      <c r="D38" s="165" t="s">
        <v>207</v>
      </c>
      <c r="E38" s="165">
        <v>38.35</v>
      </c>
      <c r="F38" s="165"/>
      <c r="G38" s="165" t="s">
        <v>260</v>
      </c>
      <c r="H38" s="165" t="s">
        <v>205</v>
      </c>
      <c r="I38" s="165" t="s">
        <v>206</v>
      </c>
      <c r="J38" s="165" t="s">
        <v>207</v>
      </c>
      <c r="K38" s="165">
        <v>27.25</v>
      </c>
      <c r="L38" s="165">
        <f>AVERAGE(K38:K39)</f>
        <v>27.189999999999998</v>
      </c>
      <c r="M38" s="165"/>
      <c r="N38" s="165"/>
      <c r="O38" s="165"/>
      <c r="P38" s="165"/>
      <c r="Q38" s="165"/>
      <c r="R38" s="165"/>
      <c r="S38" s="165"/>
      <c r="T38" s="165"/>
      <c r="U38" s="165"/>
      <c r="V38" s="165"/>
      <c r="W38" s="165"/>
      <c r="X38" s="165"/>
      <c r="Y38" s="165"/>
      <c r="Z38" s="165"/>
    </row>
    <row r="39" spans="1:26" x14ac:dyDescent="0.25">
      <c r="A39" s="165" t="s">
        <v>239</v>
      </c>
      <c r="B39" s="165" t="s">
        <v>552</v>
      </c>
      <c r="C39" s="165" t="s">
        <v>206</v>
      </c>
      <c r="D39" s="165" t="s">
        <v>210</v>
      </c>
      <c r="E39" s="165">
        <v>43.68</v>
      </c>
      <c r="F39" s="165"/>
      <c r="G39" s="165" t="s">
        <v>261</v>
      </c>
      <c r="H39" s="165" t="s">
        <v>205</v>
      </c>
      <c r="I39" s="165" t="s">
        <v>206</v>
      </c>
      <c r="J39" s="165" t="s">
        <v>207</v>
      </c>
      <c r="K39" s="165">
        <v>27.13</v>
      </c>
      <c r="L39" s="165"/>
      <c r="M39" s="165"/>
      <c r="N39" s="165"/>
      <c r="O39" s="165"/>
      <c r="P39" s="165"/>
      <c r="Q39" s="165"/>
      <c r="R39" s="165"/>
      <c r="S39" s="165"/>
      <c r="T39" s="165"/>
      <c r="U39" s="165"/>
      <c r="V39" s="165"/>
      <c r="W39" s="165"/>
      <c r="X39" s="165"/>
      <c r="Y39" s="165"/>
      <c r="Z39" s="165"/>
    </row>
    <row r="40" spans="1:26" x14ac:dyDescent="0.25">
      <c r="A40" s="165" t="s">
        <v>242</v>
      </c>
      <c r="B40" s="165" t="s">
        <v>205</v>
      </c>
      <c r="C40" s="165" t="s">
        <v>206</v>
      </c>
      <c r="D40" s="165" t="s">
        <v>207</v>
      </c>
      <c r="E40" s="165">
        <v>38.17</v>
      </c>
      <c r="F40" s="165"/>
      <c r="G40" s="165" t="s">
        <v>262</v>
      </c>
      <c r="H40" s="165" t="s">
        <v>205</v>
      </c>
      <c r="I40" s="165" t="s">
        <v>206</v>
      </c>
      <c r="J40" s="165" t="s">
        <v>207</v>
      </c>
      <c r="K40" s="165">
        <v>29.8</v>
      </c>
      <c r="L40" s="165">
        <f>AVERAGE(K40:K41)</f>
        <v>29.53</v>
      </c>
      <c r="M40" s="165"/>
      <c r="N40" s="165"/>
      <c r="O40" s="165"/>
      <c r="P40" s="165"/>
      <c r="Q40" s="165"/>
      <c r="R40" s="165"/>
      <c r="S40" s="165"/>
      <c r="T40" s="165"/>
      <c r="U40" s="165"/>
      <c r="V40" s="165"/>
      <c r="W40" s="165"/>
      <c r="X40" s="165"/>
      <c r="Y40" s="165"/>
      <c r="Z40" s="165"/>
    </row>
    <row r="41" spans="1:26" x14ac:dyDescent="0.25">
      <c r="A41" s="165" t="s">
        <v>242</v>
      </c>
      <c r="B41" s="165" t="s">
        <v>552</v>
      </c>
      <c r="C41" s="165" t="s">
        <v>206</v>
      </c>
      <c r="D41" s="165" t="s">
        <v>210</v>
      </c>
      <c r="E41" s="165">
        <v>42.44</v>
      </c>
      <c r="F41" s="165"/>
      <c r="G41" s="165" t="s">
        <v>263</v>
      </c>
      <c r="H41" s="165" t="s">
        <v>205</v>
      </c>
      <c r="I41" s="165" t="s">
        <v>206</v>
      </c>
      <c r="J41" s="165" t="s">
        <v>207</v>
      </c>
      <c r="K41" s="165">
        <v>29.26</v>
      </c>
      <c r="L41" s="165"/>
      <c r="M41" s="165"/>
      <c r="N41" s="165"/>
      <c r="O41" s="165"/>
      <c r="P41" s="165"/>
      <c r="Q41" s="165"/>
      <c r="R41" s="165"/>
      <c r="S41" s="165"/>
      <c r="T41" s="165"/>
      <c r="U41" s="165"/>
      <c r="V41" s="165"/>
      <c r="W41" s="165"/>
      <c r="X41" s="165"/>
      <c r="Y41" s="165"/>
      <c r="Z41" s="165"/>
    </row>
    <row r="42" spans="1:26" x14ac:dyDescent="0.25">
      <c r="A42" s="165" t="s">
        <v>243</v>
      </c>
      <c r="B42" s="165" t="s">
        <v>205</v>
      </c>
      <c r="C42" s="165" t="s">
        <v>206</v>
      </c>
      <c r="D42" s="165" t="s">
        <v>207</v>
      </c>
      <c r="E42" s="165">
        <v>42.4</v>
      </c>
      <c r="F42" s="165"/>
      <c r="G42" s="165" t="s">
        <v>264</v>
      </c>
      <c r="H42" s="165" t="s">
        <v>205</v>
      </c>
      <c r="I42" s="165" t="s">
        <v>206</v>
      </c>
      <c r="J42" s="165" t="s">
        <v>207</v>
      </c>
      <c r="K42" s="165">
        <v>34.130000000000003</v>
      </c>
      <c r="L42" s="165">
        <f>AVERAGE(K42:K43)</f>
        <v>33.745000000000005</v>
      </c>
      <c r="M42" s="165"/>
      <c r="N42" s="165"/>
      <c r="O42" s="165"/>
      <c r="P42" s="165"/>
      <c r="Q42" s="165"/>
      <c r="R42" s="165"/>
      <c r="S42" s="165"/>
      <c r="T42" s="165"/>
      <c r="U42" s="165"/>
      <c r="V42" s="165"/>
      <c r="W42" s="165"/>
      <c r="X42" s="165"/>
      <c r="Y42" s="165"/>
      <c r="Z42" s="165"/>
    </row>
    <row r="43" spans="1:26" x14ac:dyDescent="0.25">
      <c r="A43" s="165" t="s">
        <v>243</v>
      </c>
      <c r="B43" s="165" t="s">
        <v>552</v>
      </c>
      <c r="C43" s="165" t="s">
        <v>206</v>
      </c>
      <c r="D43" s="165" t="s">
        <v>210</v>
      </c>
      <c r="E43" s="165" t="s">
        <v>220</v>
      </c>
      <c r="F43" s="165"/>
      <c r="G43" s="165" t="s">
        <v>265</v>
      </c>
      <c r="H43" s="165" t="s">
        <v>205</v>
      </c>
      <c r="I43" s="165" t="s">
        <v>206</v>
      </c>
      <c r="J43" s="165" t="s">
        <v>207</v>
      </c>
      <c r="K43" s="165">
        <v>33.36</v>
      </c>
      <c r="L43" s="165"/>
      <c r="M43" s="165"/>
      <c r="N43" s="165"/>
      <c r="O43" s="165"/>
      <c r="P43" s="165"/>
      <c r="Q43" s="165"/>
      <c r="R43" s="165"/>
      <c r="S43" s="165"/>
      <c r="T43" s="165"/>
      <c r="U43" s="165"/>
      <c r="V43" s="165"/>
      <c r="W43" s="165"/>
      <c r="X43" s="165"/>
      <c r="Y43" s="165"/>
      <c r="Z43" s="165"/>
    </row>
    <row r="44" spans="1:26" x14ac:dyDescent="0.25">
      <c r="A44" s="165" t="s">
        <v>244</v>
      </c>
      <c r="B44" s="165" t="s">
        <v>205</v>
      </c>
      <c r="C44" s="165" t="s">
        <v>206</v>
      </c>
      <c r="D44" s="165" t="s">
        <v>207</v>
      </c>
      <c r="E44" s="165">
        <v>40.76</v>
      </c>
      <c r="F44" s="165"/>
      <c r="G44" s="165" t="s">
        <v>266</v>
      </c>
      <c r="H44" s="165" t="s">
        <v>205</v>
      </c>
      <c r="I44" s="165" t="s">
        <v>206</v>
      </c>
      <c r="J44" s="165" t="s">
        <v>207</v>
      </c>
      <c r="K44" s="165">
        <v>37.07</v>
      </c>
      <c r="L44" s="165">
        <f>AVERAGE(K44:K45)</f>
        <v>37.33</v>
      </c>
      <c r="M44" s="165"/>
      <c r="N44" s="165"/>
      <c r="O44" s="165"/>
      <c r="P44" s="165"/>
      <c r="Q44" s="165"/>
      <c r="R44" s="165"/>
      <c r="S44" s="165"/>
      <c r="T44" s="165"/>
      <c r="U44" s="165"/>
      <c r="V44" s="165"/>
      <c r="W44" s="165"/>
      <c r="X44" s="165"/>
      <c r="Y44" s="165"/>
      <c r="Z44" s="165"/>
    </row>
    <row r="45" spans="1:26" x14ac:dyDescent="0.25">
      <c r="A45" s="165" t="s">
        <v>244</v>
      </c>
      <c r="B45" s="165" t="s">
        <v>552</v>
      </c>
      <c r="C45" s="165" t="s">
        <v>206</v>
      </c>
      <c r="D45" s="165" t="s">
        <v>210</v>
      </c>
      <c r="E45" s="165" t="s">
        <v>220</v>
      </c>
      <c r="F45" s="165"/>
      <c r="G45" s="165" t="s">
        <v>267</v>
      </c>
      <c r="H45" s="165" t="s">
        <v>205</v>
      </c>
      <c r="I45" s="165" t="s">
        <v>206</v>
      </c>
      <c r="J45" s="165" t="s">
        <v>207</v>
      </c>
      <c r="K45" s="165">
        <v>37.590000000000003</v>
      </c>
      <c r="L45" s="165"/>
      <c r="M45" s="165"/>
      <c r="N45" s="165"/>
      <c r="O45" s="165"/>
      <c r="P45" s="165"/>
      <c r="Q45" s="165"/>
      <c r="R45" s="165"/>
      <c r="S45" s="165"/>
      <c r="T45" s="165"/>
      <c r="U45" s="165"/>
      <c r="V45" s="165"/>
      <c r="W45" s="165"/>
      <c r="X45" s="165"/>
      <c r="Y45" s="165"/>
      <c r="Z45" s="165"/>
    </row>
    <row r="46" spans="1:26" x14ac:dyDescent="0.25">
      <c r="A46" s="165" t="s">
        <v>245</v>
      </c>
      <c r="B46" s="165" t="s">
        <v>205</v>
      </c>
      <c r="C46" s="165" t="s">
        <v>206</v>
      </c>
      <c r="D46" s="165" t="s">
        <v>207</v>
      </c>
      <c r="E46" s="165" t="s">
        <v>220</v>
      </c>
      <c r="F46" s="165"/>
      <c r="G46" s="165" t="s">
        <v>268</v>
      </c>
      <c r="H46" s="165" t="s">
        <v>205</v>
      </c>
      <c r="I46" s="165" t="s">
        <v>206</v>
      </c>
      <c r="J46" s="165" t="s">
        <v>207</v>
      </c>
      <c r="K46" s="165">
        <v>40.97</v>
      </c>
      <c r="L46" s="165">
        <f>AVERAGE(K46:K47)</f>
        <v>40.75</v>
      </c>
      <c r="M46" s="165"/>
      <c r="N46" s="165"/>
      <c r="O46" s="165"/>
      <c r="P46" s="165"/>
      <c r="Q46" s="165"/>
      <c r="R46" s="165"/>
      <c r="S46" s="165"/>
      <c r="T46" s="165"/>
      <c r="U46" s="165"/>
      <c r="V46" s="165"/>
      <c r="W46" s="165"/>
      <c r="X46" s="165"/>
      <c r="Y46" s="165"/>
      <c r="Z46" s="165"/>
    </row>
    <row r="47" spans="1:26" x14ac:dyDescent="0.25">
      <c r="A47" s="165" t="s">
        <v>245</v>
      </c>
      <c r="B47" s="165" t="s">
        <v>552</v>
      </c>
      <c r="C47" s="165" t="s">
        <v>206</v>
      </c>
      <c r="D47" s="165" t="s">
        <v>210</v>
      </c>
      <c r="E47" s="165" t="s">
        <v>220</v>
      </c>
      <c r="F47" s="165"/>
      <c r="G47" s="165" t="s">
        <v>270</v>
      </c>
      <c r="H47" s="165" t="s">
        <v>205</v>
      </c>
      <c r="I47" s="165" t="s">
        <v>206</v>
      </c>
      <c r="J47" s="165" t="s">
        <v>207</v>
      </c>
      <c r="K47" s="165">
        <v>40.53</v>
      </c>
      <c r="L47" s="165"/>
      <c r="M47" s="165"/>
      <c r="N47" s="165"/>
      <c r="O47" s="165"/>
      <c r="P47" s="165"/>
      <c r="Q47" s="165"/>
      <c r="R47" s="165"/>
      <c r="S47" s="165"/>
      <c r="T47" s="165"/>
      <c r="U47" s="165"/>
      <c r="V47" s="165"/>
      <c r="W47" s="165"/>
      <c r="X47" s="165"/>
      <c r="Y47" s="165"/>
      <c r="Z47" s="165"/>
    </row>
    <row r="48" spans="1:26" x14ac:dyDescent="0.25">
      <c r="A48" s="165" t="s">
        <v>247</v>
      </c>
      <c r="B48" s="165" t="s">
        <v>205</v>
      </c>
      <c r="C48" s="165" t="s">
        <v>206</v>
      </c>
      <c r="D48" s="165" t="s">
        <v>207</v>
      </c>
      <c r="E48" s="165">
        <v>42.58</v>
      </c>
      <c r="F48" s="165"/>
      <c r="G48" s="165" t="s">
        <v>272</v>
      </c>
      <c r="H48" s="165" t="s">
        <v>205</v>
      </c>
      <c r="I48" s="165" t="s">
        <v>206</v>
      </c>
      <c r="J48" s="165" t="s">
        <v>207</v>
      </c>
      <c r="K48" s="165">
        <v>41.13</v>
      </c>
      <c r="L48" s="165">
        <f>AVERAGE(K48:K49)</f>
        <v>40.82</v>
      </c>
      <c r="M48" s="165"/>
      <c r="N48" s="165"/>
      <c r="O48" s="165"/>
      <c r="P48" s="165"/>
      <c r="Q48" s="165"/>
      <c r="R48" s="165"/>
      <c r="S48" s="165"/>
      <c r="T48" s="165"/>
      <c r="U48" s="165"/>
      <c r="V48" s="165"/>
      <c r="W48" s="165"/>
      <c r="X48" s="165"/>
      <c r="Y48" s="165"/>
      <c r="Z48" s="165"/>
    </row>
    <row r="49" spans="1:26" x14ac:dyDescent="0.25">
      <c r="A49" s="165" t="s">
        <v>247</v>
      </c>
      <c r="B49" s="165" t="s">
        <v>552</v>
      </c>
      <c r="C49" s="165" t="s">
        <v>206</v>
      </c>
      <c r="D49" s="165" t="s">
        <v>210</v>
      </c>
      <c r="E49" s="165" t="s">
        <v>220</v>
      </c>
      <c r="F49" s="165"/>
      <c r="G49" s="165" t="s">
        <v>273</v>
      </c>
      <c r="H49" s="165" t="s">
        <v>205</v>
      </c>
      <c r="I49" s="165" t="s">
        <v>206</v>
      </c>
      <c r="J49" s="165" t="s">
        <v>207</v>
      </c>
      <c r="K49" s="165">
        <v>40.51</v>
      </c>
      <c r="L49" s="165"/>
      <c r="M49" s="165"/>
      <c r="N49" s="165"/>
      <c r="O49" s="165"/>
      <c r="P49" s="165"/>
      <c r="Q49" s="165"/>
      <c r="R49" s="165"/>
      <c r="S49" s="165"/>
      <c r="T49" s="165"/>
      <c r="U49" s="165"/>
      <c r="V49" s="165"/>
      <c r="W49" s="165"/>
      <c r="X49" s="165"/>
      <c r="Y49" s="165"/>
      <c r="Z49" s="165"/>
    </row>
    <row r="50" spans="1:26" x14ac:dyDescent="0.25">
      <c r="A50" s="165" t="s">
        <v>248</v>
      </c>
      <c r="B50" s="165" t="s">
        <v>205</v>
      </c>
      <c r="C50" s="165" t="s">
        <v>206</v>
      </c>
      <c r="D50" s="165" t="s">
        <v>207</v>
      </c>
      <c r="E50" s="165">
        <v>27.4</v>
      </c>
      <c r="F50" s="165"/>
      <c r="G50" s="165" t="s">
        <v>274</v>
      </c>
      <c r="H50" s="165" t="s">
        <v>205</v>
      </c>
      <c r="I50" s="165" t="s">
        <v>206</v>
      </c>
      <c r="J50" s="165" t="s">
        <v>207</v>
      </c>
      <c r="K50" s="165">
        <v>27.18</v>
      </c>
      <c r="L50" s="165">
        <f>AVERAGE(K50:K51)</f>
        <v>27.115000000000002</v>
      </c>
      <c r="M50" s="165"/>
      <c r="N50" s="165"/>
      <c r="O50" s="165"/>
      <c r="P50" s="165"/>
      <c r="Q50" s="165"/>
      <c r="R50" s="165"/>
      <c r="S50" s="165"/>
      <c r="T50" s="165"/>
      <c r="U50" s="165"/>
      <c r="V50" s="165"/>
      <c r="W50" s="165"/>
      <c r="X50" s="165"/>
      <c r="Y50" s="165"/>
      <c r="Z50" s="165"/>
    </row>
    <row r="51" spans="1:26" x14ac:dyDescent="0.25">
      <c r="A51" s="165" t="s">
        <v>248</v>
      </c>
      <c r="B51" s="165" t="s">
        <v>552</v>
      </c>
      <c r="C51" s="165" t="s">
        <v>206</v>
      </c>
      <c r="D51" s="165" t="s">
        <v>210</v>
      </c>
      <c r="E51" s="165">
        <v>28.07</v>
      </c>
      <c r="F51" s="165"/>
      <c r="G51" s="165" t="s">
        <v>275</v>
      </c>
      <c r="H51" s="165" t="s">
        <v>205</v>
      </c>
      <c r="I51" s="165" t="s">
        <v>206</v>
      </c>
      <c r="J51" s="165" t="s">
        <v>207</v>
      </c>
      <c r="K51" s="165">
        <v>27.05</v>
      </c>
      <c r="L51" s="165"/>
      <c r="M51" s="165"/>
      <c r="N51" s="165"/>
      <c r="O51" s="165"/>
      <c r="P51" s="165"/>
      <c r="Q51" s="165"/>
      <c r="R51" s="165"/>
      <c r="S51" s="165"/>
      <c r="T51" s="165"/>
      <c r="U51" s="165"/>
      <c r="V51" s="165"/>
      <c r="W51" s="165"/>
      <c r="X51" s="165"/>
      <c r="Y51" s="165"/>
      <c r="Z51" s="165"/>
    </row>
    <row r="52" spans="1:26" x14ac:dyDescent="0.25">
      <c r="A52" s="165" t="s">
        <v>249</v>
      </c>
      <c r="B52" s="165" t="s">
        <v>205</v>
      </c>
      <c r="C52" s="165" t="s">
        <v>206</v>
      </c>
      <c r="D52" s="165" t="s">
        <v>207</v>
      </c>
      <c r="E52" s="165">
        <v>27.05</v>
      </c>
      <c r="F52" s="165"/>
      <c r="G52" s="165" t="s">
        <v>276</v>
      </c>
      <c r="H52" s="165" t="s">
        <v>205</v>
      </c>
      <c r="I52" s="165" t="s">
        <v>206</v>
      </c>
      <c r="J52" s="165" t="s">
        <v>207</v>
      </c>
      <c r="K52" s="165">
        <v>29.54</v>
      </c>
      <c r="L52" s="165">
        <f>AVERAGE(K52:K53)</f>
        <v>29.405000000000001</v>
      </c>
      <c r="M52" s="165"/>
      <c r="N52" s="165"/>
      <c r="O52" s="165"/>
      <c r="P52" s="165"/>
      <c r="Q52" s="165"/>
      <c r="R52" s="165"/>
      <c r="S52" s="165"/>
      <c r="T52" s="165"/>
      <c r="U52" s="165"/>
      <c r="V52" s="165"/>
      <c r="W52" s="165"/>
      <c r="X52" s="165"/>
      <c r="Y52" s="165"/>
      <c r="Z52" s="165"/>
    </row>
    <row r="53" spans="1:26" x14ac:dyDescent="0.25">
      <c r="A53" s="165" t="s">
        <v>249</v>
      </c>
      <c r="B53" s="165" t="s">
        <v>552</v>
      </c>
      <c r="C53" s="165" t="s">
        <v>206</v>
      </c>
      <c r="D53" s="165" t="s">
        <v>210</v>
      </c>
      <c r="E53" s="165">
        <v>28.09</v>
      </c>
      <c r="F53" s="165"/>
      <c r="G53" s="165" t="s">
        <v>277</v>
      </c>
      <c r="H53" s="165" t="s">
        <v>205</v>
      </c>
      <c r="I53" s="165" t="s">
        <v>206</v>
      </c>
      <c r="J53" s="165" t="s">
        <v>207</v>
      </c>
      <c r="K53" s="165">
        <v>29.27</v>
      </c>
      <c r="L53" s="165"/>
      <c r="M53" s="165"/>
      <c r="N53" s="165"/>
      <c r="O53" s="165"/>
      <c r="P53" s="165"/>
      <c r="Q53" s="165"/>
      <c r="R53" s="165"/>
      <c r="S53" s="165"/>
      <c r="T53" s="165"/>
      <c r="U53" s="165"/>
      <c r="V53" s="165"/>
      <c r="W53" s="165"/>
      <c r="X53" s="165"/>
      <c r="Y53" s="165"/>
      <c r="Z53" s="165"/>
    </row>
    <row r="54" spans="1:26" x14ac:dyDescent="0.25">
      <c r="A54" s="165" t="s">
        <v>250</v>
      </c>
      <c r="B54" s="165" t="s">
        <v>205</v>
      </c>
      <c r="C54" s="165" t="s">
        <v>206</v>
      </c>
      <c r="D54" s="165" t="s">
        <v>207</v>
      </c>
      <c r="E54" s="165">
        <v>29.58</v>
      </c>
      <c r="F54" s="165"/>
      <c r="G54" s="165" t="s">
        <v>278</v>
      </c>
      <c r="H54" s="165" t="s">
        <v>205</v>
      </c>
      <c r="I54" s="165" t="s">
        <v>206</v>
      </c>
      <c r="J54" s="165" t="s">
        <v>207</v>
      </c>
      <c r="K54" s="165">
        <v>33.82</v>
      </c>
      <c r="L54" s="165">
        <f>AVERAGE(K54:K55)</f>
        <v>33.524999999999999</v>
      </c>
      <c r="M54" s="165"/>
      <c r="N54" s="165"/>
      <c r="O54" s="165"/>
      <c r="P54" s="165"/>
      <c r="Q54" s="165"/>
      <c r="R54" s="165"/>
      <c r="S54" s="165"/>
      <c r="T54" s="165"/>
      <c r="U54" s="165"/>
      <c r="V54" s="165"/>
      <c r="W54" s="165"/>
      <c r="X54" s="165"/>
      <c r="Y54" s="165"/>
      <c r="Z54" s="165"/>
    </row>
    <row r="55" spans="1:26" x14ac:dyDescent="0.25">
      <c r="A55" s="165" t="s">
        <v>250</v>
      </c>
      <c r="B55" s="165" t="s">
        <v>552</v>
      </c>
      <c r="C55" s="165" t="s">
        <v>206</v>
      </c>
      <c r="D55" s="165" t="s">
        <v>210</v>
      </c>
      <c r="E55" s="165">
        <v>28.48</v>
      </c>
      <c r="F55" s="165"/>
      <c r="G55" s="165" t="s">
        <v>279</v>
      </c>
      <c r="H55" s="165" t="s">
        <v>205</v>
      </c>
      <c r="I55" s="165" t="s">
        <v>206</v>
      </c>
      <c r="J55" s="165" t="s">
        <v>207</v>
      </c>
      <c r="K55" s="165">
        <v>33.229999999999997</v>
      </c>
      <c r="L55" s="165"/>
      <c r="M55" s="165"/>
      <c r="N55" s="165"/>
      <c r="O55" s="165"/>
      <c r="P55" s="165"/>
      <c r="Q55" s="165"/>
      <c r="R55" s="165"/>
      <c r="S55" s="165"/>
      <c r="T55" s="165"/>
      <c r="U55" s="165"/>
      <c r="V55" s="165"/>
      <c r="W55" s="165"/>
      <c r="X55" s="165"/>
      <c r="Y55" s="165"/>
      <c r="Z55" s="165"/>
    </row>
    <row r="56" spans="1:26" x14ac:dyDescent="0.25">
      <c r="A56" s="165" t="s">
        <v>251</v>
      </c>
      <c r="B56" s="165" t="s">
        <v>205</v>
      </c>
      <c r="C56" s="165" t="s">
        <v>206</v>
      </c>
      <c r="D56" s="165" t="s">
        <v>207</v>
      </c>
      <c r="E56" s="165">
        <v>29.24</v>
      </c>
      <c r="F56" s="165"/>
      <c r="G56" s="165" t="s">
        <v>280</v>
      </c>
      <c r="H56" s="165" t="s">
        <v>205</v>
      </c>
      <c r="I56" s="165" t="s">
        <v>206</v>
      </c>
      <c r="J56" s="165" t="s">
        <v>207</v>
      </c>
      <c r="K56" s="165">
        <v>37.020000000000003</v>
      </c>
      <c r="L56" s="165">
        <f>AVERAGE(K56:K57)</f>
        <v>37.290000000000006</v>
      </c>
      <c r="M56" s="165"/>
      <c r="N56" s="165"/>
      <c r="O56" s="165"/>
      <c r="P56" s="165"/>
      <c r="Q56" s="165"/>
      <c r="R56" s="165"/>
      <c r="S56" s="165"/>
      <c r="T56" s="165"/>
      <c r="U56" s="165"/>
      <c r="V56" s="165"/>
      <c r="W56" s="165"/>
      <c r="X56" s="165"/>
      <c r="Y56" s="165"/>
      <c r="Z56" s="165"/>
    </row>
    <row r="57" spans="1:26" x14ac:dyDescent="0.25">
      <c r="A57" s="165" t="s">
        <v>251</v>
      </c>
      <c r="B57" s="165" t="s">
        <v>552</v>
      </c>
      <c r="C57" s="165" t="s">
        <v>206</v>
      </c>
      <c r="D57" s="165" t="s">
        <v>210</v>
      </c>
      <c r="E57" s="165">
        <v>28.69</v>
      </c>
      <c r="F57" s="165"/>
      <c r="G57" s="165" t="s">
        <v>281</v>
      </c>
      <c r="H57" s="165" t="s">
        <v>205</v>
      </c>
      <c r="I57" s="165" t="s">
        <v>206</v>
      </c>
      <c r="J57" s="165" t="s">
        <v>207</v>
      </c>
      <c r="K57" s="165">
        <v>37.56</v>
      </c>
      <c r="L57" s="165"/>
      <c r="M57" s="165"/>
      <c r="N57" s="165"/>
      <c r="O57" s="165"/>
      <c r="P57" s="165"/>
      <c r="Q57" s="165"/>
      <c r="R57" s="165"/>
      <c r="S57" s="165"/>
      <c r="T57" s="165"/>
      <c r="U57" s="165"/>
      <c r="V57" s="165"/>
      <c r="W57" s="165"/>
      <c r="X57" s="165"/>
      <c r="Y57" s="165"/>
      <c r="Z57" s="165"/>
    </row>
    <row r="58" spans="1:26" x14ac:dyDescent="0.25">
      <c r="A58" s="165" t="s">
        <v>252</v>
      </c>
      <c r="B58" s="165" t="s">
        <v>205</v>
      </c>
      <c r="C58" s="165" t="s">
        <v>206</v>
      </c>
      <c r="D58" s="165" t="s">
        <v>207</v>
      </c>
      <c r="E58" s="165">
        <v>34.17</v>
      </c>
      <c r="F58" s="165"/>
      <c r="G58" s="165" t="s">
        <v>282</v>
      </c>
      <c r="H58" s="165" t="s">
        <v>205</v>
      </c>
      <c r="I58" s="165" t="s">
        <v>206</v>
      </c>
      <c r="J58" s="165" t="s">
        <v>207</v>
      </c>
      <c r="K58" s="165">
        <v>40.880000000000003</v>
      </c>
      <c r="L58" s="165">
        <f>AVERAGE(K58:K59)</f>
        <v>40.58</v>
      </c>
      <c r="M58" s="165"/>
      <c r="N58" s="165"/>
      <c r="O58" s="165"/>
      <c r="P58" s="165"/>
      <c r="Q58" s="165"/>
      <c r="R58" s="165"/>
      <c r="S58" s="165"/>
      <c r="T58" s="165"/>
      <c r="U58" s="165"/>
      <c r="V58" s="165"/>
      <c r="W58" s="165"/>
      <c r="X58" s="165"/>
      <c r="Y58" s="165"/>
      <c r="Z58" s="165"/>
    </row>
    <row r="59" spans="1:26" x14ac:dyDescent="0.25">
      <c r="A59" s="165" t="s">
        <v>252</v>
      </c>
      <c r="B59" s="165" t="s">
        <v>552</v>
      </c>
      <c r="C59" s="165" t="s">
        <v>206</v>
      </c>
      <c r="D59" s="165" t="s">
        <v>210</v>
      </c>
      <c r="E59" s="165">
        <v>33.270000000000003</v>
      </c>
      <c r="F59" s="165"/>
      <c r="G59" s="165" t="s">
        <v>283</v>
      </c>
      <c r="H59" s="165" t="s">
        <v>205</v>
      </c>
      <c r="I59" s="165" t="s">
        <v>206</v>
      </c>
      <c r="J59" s="165" t="s">
        <v>207</v>
      </c>
      <c r="K59" s="165">
        <v>40.28</v>
      </c>
      <c r="L59" s="165"/>
      <c r="M59" s="165"/>
      <c r="N59" s="165"/>
      <c r="O59" s="165"/>
      <c r="P59" s="300" t="s">
        <v>553</v>
      </c>
      <c r="Q59" s="300"/>
      <c r="R59" s="300"/>
      <c r="S59" s="300"/>
      <c r="T59" s="300" t="s">
        <v>18</v>
      </c>
      <c r="U59" s="300"/>
      <c r="V59" s="300"/>
      <c r="W59" s="300"/>
      <c r="X59" s="165"/>
      <c r="Y59" s="165"/>
      <c r="Z59" s="165"/>
    </row>
    <row r="60" spans="1:26" ht="45" x14ac:dyDescent="0.25">
      <c r="A60" s="165" t="s">
        <v>253</v>
      </c>
      <c r="B60" s="165" t="s">
        <v>205</v>
      </c>
      <c r="C60" s="165" t="s">
        <v>206</v>
      </c>
      <c r="D60" s="165" t="s">
        <v>207</v>
      </c>
      <c r="E60" s="165">
        <v>34.06</v>
      </c>
      <c r="F60" s="165"/>
      <c r="G60" s="165" t="s">
        <v>284</v>
      </c>
      <c r="H60" s="165" t="s">
        <v>205</v>
      </c>
      <c r="I60" s="165" t="s">
        <v>206</v>
      </c>
      <c r="J60" s="165" t="s">
        <v>207</v>
      </c>
      <c r="K60" s="165">
        <v>40.729999999999997</v>
      </c>
      <c r="L60" s="165">
        <f>AVERAGE(K60:K61)</f>
        <v>40.599999999999994</v>
      </c>
      <c r="M60" s="165"/>
      <c r="N60" s="165" t="s">
        <v>554</v>
      </c>
      <c r="O60" s="90" t="s">
        <v>20</v>
      </c>
      <c r="P60" s="90" t="s">
        <v>21</v>
      </c>
      <c r="Q60" s="90" t="s">
        <v>22</v>
      </c>
      <c r="R60" s="90" t="s">
        <v>23</v>
      </c>
      <c r="S60" s="90" t="s">
        <v>25</v>
      </c>
      <c r="T60" s="90" t="s">
        <v>21</v>
      </c>
      <c r="U60" s="90" t="s">
        <v>22</v>
      </c>
      <c r="V60" s="90" t="s">
        <v>23</v>
      </c>
      <c r="W60" s="90" t="s">
        <v>25</v>
      </c>
      <c r="X60" s="90" t="s">
        <v>224</v>
      </c>
      <c r="Y60" s="90" t="s">
        <v>555</v>
      </c>
      <c r="Z60" s="90" t="s">
        <v>556</v>
      </c>
    </row>
    <row r="61" spans="1:26" x14ac:dyDescent="0.25">
      <c r="A61" s="165" t="s">
        <v>253</v>
      </c>
      <c r="B61" s="165" t="s">
        <v>552</v>
      </c>
      <c r="C61" s="165" t="s">
        <v>206</v>
      </c>
      <c r="D61" s="165" t="s">
        <v>210</v>
      </c>
      <c r="E61" s="165">
        <v>33.19</v>
      </c>
      <c r="F61" s="165"/>
      <c r="G61" s="165" t="s">
        <v>285</v>
      </c>
      <c r="H61" s="165" t="s">
        <v>205</v>
      </c>
      <c r="I61" s="165" t="s">
        <v>206</v>
      </c>
      <c r="J61" s="165" t="s">
        <v>207</v>
      </c>
      <c r="K61" s="165">
        <v>40.47</v>
      </c>
      <c r="L61" s="165"/>
      <c r="M61" s="165"/>
      <c r="N61" s="165"/>
      <c r="O61" s="89" t="s">
        <v>29</v>
      </c>
      <c r="P61" s="84">
        <v>10</v>
      </c>
      <c r="Q61" s="165">
        <f>P61*1000000</f>
        <v>10000000</v>
      </c>
      <c r="R61" s="89"/>
      <c r="S61" s="89"/>
      <c r="T61" s="84">
        <v>3.15</v>
      </c>
      <c r="U61" s="165">
        <f>T61*1000000</f>
        <v>3150000</v>
      </c>
      <c r="V61" s="89"/>
      <c r="W61" s="89"/>
      <c r="X61" s="165"/>
      <c r="Y61" s="165"/>
      <c r="Z61" s="165"/>
    </row>
    <row r="62" spans="1:26" x14ac:dyDescent="0.25">
      <c r="A62" s="165" t="s">
        <v>254</v>
      </c>
      <c r="B62" s="165" t="s">
        <v>205</v>
      </c>
      <c r="C62" s="165" t="s">
        <v>206</v>
      </c>
      <c r="D62" s="165" t="s">
        <v>207</v>
      </c>
      <c r="E62" s="165">
        <v>37.79</v>
      </c>
      <c r="F62" s="165"/>
      <c r="G62" s="165" t="s">
        <v>286</v>
      </c>
      <c r="H62" s="165" t="s">
        <v>205</v>
      </c>
      <c r="I62" s="165" t="s">
        <v>206</v>
      </c>
      <c r="J62" s="165" t="s">
        <v>207</v>
      </c>
      <c r="K62" s="165">
        <v>26.39</v>
      </c>
      <c r="L62" s="165">
        <f>AVERAGE(K62:K63)</f>
        <v>26.344999999999999</v>
      </c>
      <c r="M62" s="165"/>
      <c r="N62" s="165" t="s">
        <v>557</v>
      </c>
      <c r="O62" s="165" t="s">
        <v>30</v>
      </c>
      <c r="P62" s="165">
        <f>P61/100</f>
        <v>0.1</v>
      </c>
      <c r="Q62" s="165">
        <f t="shared" ref="Q62:Q63" si="2">P62*1000000</f>
        <v>100000</v>
      </c>
      <c r="R62" s="89">
        <f>P61*0.00001/1000000*6.022E+23</f>
        <v>60220000000000.008</v>
      </c>
      <c r="S62" s="89">
        <f>R62/1000*2</f>
        <v>120440000000.00002</v>
      </c>
      <c r="T62" s="165">
        <f>T61/100</f>
        <v>3.15E-2</v>
      </c>
      <c r="U62" s="165">
        <f t="shared" ref="U62:U68" si="3">T62*1000000</f>
        <v>31500</v>
      </c>
      <c r="V62" s="89">
        <f>T61*0.00001/1000000*6.022E+23</f>
        <v>18969300000000</v>
      </c>
      <c r="W62" s="89">
        <f t="shared" ref="W62:W68" si="4">V62/1000*2</f>
        <v>37938600000</v>
      </c>
      <c r="X62" s="165">
        <f>LOG(S62)</f>
        <v>11.080770746840722</v>
      </c>
      <c r="Y62" s="165">
        <v>33.226666666666667</v>
      </c>
      <c r="Z62" s="165">
        <v>0.29160475533388169</v>
      </c>
    </row>
    <row r="63" spans="1:26" x14ac:dyDescent="0.25">
      <c r="A63" s="165" t="s">
        <v>254</v>
      </c>
      <c r="B63" s="165" t="s">
        <v>552</v>
      </c>
      <c r="C63" s="165" t="s">
        <v>206</v>
      </c>
      <c r="D63" s="165" t="s">
        <v>210</v>
      </c>
      <c r="E63" s="165">
        <v>41.03</v>
      </c>
      <c r="F63" s="165"/>
      <c r="G63" s="165" t="s">
        <v>287</v>
      </c>
      <c r="H63" s="165" t="s">
        <v>205</v>
      </c>
      <c r="I63" s="165" t="s">
        <v>206</v>
      </c>
      <c r="J63" s="165" t="s">
        <v>207</v>
      </c>
      <c r="K63" s="165">
        <v>26.3</v>
      </c>
      <c r="L63" s="165"/>
      <c r="M63" s="165"/>
      <c r="N63" s="165" t="s">
        <v>558</v>
      </c>
      <c r="O63" s="165" t="s">
        <v>31</v>
      </c>
      <c r="P63" s="165">
        <f t="shared" ref="P63" si="5">P62/10</f>
        <v>0.01</v>
      </c>
      <c r="Q63" s="165">
        <f t="shared" si="2"/>
        <v>10000</v>
      </c>
      <c r="R63" s="89">
        <f>R62/10</f>
        <v>6022000000000.001</v>
      </c>
      <c r="S63" s="89">
        <f t="shared" ref="S63:S68" si="6">R63/1000*2</f>
        <v>12044000000.000002</v>
      </c>
      <c r="T63" s="165">
        <f t="shared" ref="T63" si="7">T62/10</f>
        <v>3.15E-3</v>
      </c>
      <c r="U63" s="165">
        <f t="shared" si="3"/>
        <v>3150</v>
      </c>
      <c r="V63" s="165">
        <f t="shared" ref="V63" si="8">V62/10</f>
        <v>1896930000000</v>
      </c>
      <c r="W63" s="89">
        <f t="shared" si="4"/>
        <v>3793860000</v>
      </c>
      <c r="X63" s="165">
        <f t="shared" ref="X63:X67" si="9">LOG(S63)</f>
        <v>10.080770746840722</v>
      </c>
      <c r="Y63" s="165">
        <v>38.25</v>
      </c>
      <c r="Z63" s="165">
        <v>0.12767145334803726</v>
      </c>
    </row>
    <row r="64" spans="1:26" x14ac:dyDescent="0.25">
      <c r="A64" s="165" t="s">
        <v>255</v>
      </c>
      <c r="B64" s="165" t="s">
        <v>205</v>
      </c>
      <c r="C64" s="165" t="s">
        <v>206</v>
      </c>
      <c r="D64" s="165" t="s">
        <v>207</v>
      </c>
      <c r="E64" s="165">
        <v>37.86</v>
      </c>
      <c r="F64" s="165"/>
      <c r="G64" s="165" t="s">
        <v>288</v>
      </c>
      <c r="H64" s="165" t="s">
        <v>205</v>
      </c>
      <c r="I64" s="165" t="s">
        <v>206</v>
      </c>
      <c r="J64" s="165" t="s">
        <v>207</v>
      </c>
      <c r="K64" s="165">
        <v>27.83</v>
      </c>
      <c r="L64" s="165">
        <f>AVERAGE(K64:K65)</f>
        <v>27.965</v>
      </c>
      <c r="M64" s="165"/>
      <c r="N64" s="165" t="s">
        <v>559</v>
      </c>
      <c r="O64" s="165" t="s">
        <v>560</v>
      </c>
      <c r="P64" s="165">
        <f>P63/2</f>
        <v>5.0000000000000001E-3</v>
      </c>
      <c r="Q64" s="165">
        <f t="shared" ref="Q64:Q66" si="10">P64*1000000</f>
        <v>5000</v>
      </c>
      <c r="R64" s="89">
        <f>R63/2</f>
        <v>3011000000000.0005</v>
      </c>
      <c r="S64" s="89">
        <f t="shared" si="6"/>
        <v>6022000000.000001</v>
      </c>
      <c r="T64" s="165">
        <f>T63/2</f>
        <v>1.575E-3</v>
      </c>
      <c r="U64" s="165">
        <f t="shared" si="3"/>
        <v>1575</v>
      </c>
      <c r="V64" s="165">
        <f>V63/2</f>
        <v>948465000000</v>
      </c>
      <c r="W64" s="89">
        <f t="shared" si="4"/>
        <v>1896930000</v>
      </c>
      <c r="X64" s="165">
        <f t="shared" si="9"/>
        <v>9.7797407511767407</v>
      </c>
      <c r="Y64" s="165">
        <v>39.47</v>
      </c>
      <c r="Z64" s="165">
        <v>8.8881944173156979E-2</v>
      </c>
    </row>
    <row r="65" spans="1:26" x14ac:dyDescent="0.25">
      <c r="A65" s="165" t="s">
        <v>255</v>
      </c>
      <c r="B65" s="165" t="s">
        <v>552</v>
      </c>
      <c r="C65" s="165" t="s">
        <v>206</v>
      </c>
      <c r="D65" s="165" t="s">
        <v>210</v>
      </c>
      <c r="E65" s="165">
        <v>41.85</v>
      </c>
      <c r="F65" s="165"/>
      <c r="G65" s="165" t="s">
        <v>289</v>
      </c>
      <c r="H65" s="165" t="s">
        <v>205</v>
      </c>
      <c r="I65" s="165" t="s">
        <v>206</v>
      </c>
      <c r="J65" s="165" t="s">
        <v>207</v>
      </c>
      <c r="K65" s="165">
        <v>28.1</v>
      </c>
      <c r="L65" s="165"/>
      <c r="M65" s="165"/>
      <c r="N65" s="165" t="s">
        <v>561</v>
      </c>
      <c r="O65" s="165" t="s">
        <v>562</v>
      </c>
      <c r="P65" s="165">
        <f>P64/2</f>
        <v>2.5000000000000001E-3</v>
      </c>
      <c r="Q65" s="165">
        <f t="shared" si="10"/>
        <v>2500</v>
      </c>
      <c r="R65" s="89">
        <f>R64/2</f>
        <v>1505500000000.0002</v>
      </c>
      <c r="S65" s="89">
        <f t="shared" si="6"/>
        <v>3011000000.0000005</v>
      </c>
      <c r="T65" s="165">
        <f>T64/2</f>
        <v>7.8750000000000001E-4</v>
      </c>
      <c r="U65" s="165">
        <f t="shared" si="3"/>
        <v>787.5</v>
      </c>
      <c r="V65" s="165">
        <f>V64/2</f>
        <v>474232500000</v>
      </c>
      <c r="W65" s="89">
        <f t="shared" si="4"/>
        <v>948465000</v>
      </c>
      <c r="X65" s="165">
        <f t="shared" si="9"/>
        <v>9.4787107555127594</v>
      </c>
      <c r="Y65" s="165">
        <v>40.526666666666664</v>
      </c>
      <c r="Z65" s="165">
        <v>0.1747378989610808</v>
      </c>
    </row>
    <row r="66" spans="1:26" x14ac:dyDescent="0.25">
      <c r="A66" s="165" t="s">
        <v>256</v>
      </c>
      <c r="B66" s="165" t="s">
        <v>205</v>
      </c>
      <c r="C66" s="165" t="s">
        <v>206</v>
      </c>
      <c r="D66" s="165" t="s">
        <v>207</v>
      </c>
      <c r="E66" s="165">
        <v>41.64</v>
      </c>
      <c r="F66" s="165"/>
      <c r="G66" s="165" t="s">
        <v>290</v>
      </c>
      <c r="H66" s="165" t="s">
        <v>205</v>
      </c>
      <c r="I66" s="165" t="s">
        <v>206</v>
      </c>
      <c r="J66" s="165" t="s">
        <v>207</v>
      </c>
      <c r="K66" s="165">
        <v>34.44</v>
      </c>
      <c r="L66" s="165">
        <f>AVERAGE(K66:K67)</f>
        <v>33.92</v>
      </c>
      <c r="M66" s="165"/>
      <c r="N66" s="165" t="s">
        <v>563</v>
      </c>
      <c r="O66" s="165" t="s">
        <v>564</v>
      </c>
      <c r="P66" s="165">
        <f>P65/2</f>
        <v>1.25E-3</v>
      </c>
      <c r="Q66" s="165">
        <f t="shared" si="10"/>
        <v>1250</v>
      </c>
      <c r="R66" s="89">
        <f>R65/2</f>
        <v>752750000000.00012</v>
      </c>
      <c r="S66" s="89">
        <f t="shared" si="6"/>
        <v>1505500000.0000002</v>
      </c>
      <c r="T66" s="165">
        <f>T65/2</f>
        <v>3.9375E-4</v>
      </c>
      <c r="U66" s="165">
        <f t="shared" si="3"/>
        <v>393.75</v>
      </c>
      <c r="V66" s="165">
        <f>V65/2</f>
        <v>237116250000</v>
      </c>
      <c r="W66" s="89">
        <f t="shared" si="4"/>
        <v>474232500</v>
      </c>
      <c r="X66" s="165">
        <f t="shared" si="9"/>
        <v>9.1776807598487782</v>
      </c>
      <c r="Y66" s="165">
        <v>41.023333333333341</v>
      </c>
      <c r="Z66" s="165">
        <v>0.43592812863284336</v>
      </c>
    </row>
    <row r="67" spans="1:26" x14ac:dyDescent="0.25">
      <c r="A67" s="165" t="s">
        <v>256</v>
      </c>
      <c r="B67" s="165" t="s">
        <v>552</v>
      </c>
      <c r="C67" s="165" t="s">
        <v>206</v>
      </c>
      <c r="D67" s="165" t="s">
        <v>210</v>
      </c>
      <c r="E67" s="165" t="s">
        <v>220</v>
      </c>
      <c r="F67" s="165"/>
      <c r="G67" s="165" t="s">
        <v>291</v>
      </c>
      <c r="H67" s="165" t="s">
        <v>205</v>
      </c>
      <c r="I67" s="165" t="s">
        <v>206</v>
      </c>
      <c r="J67" s="165" t="s">
        <v>207</v>
      </c>
      <c r="K67" s="165">
        <v>33.4</v>
      </c>
      <c r="L67" s="165"/>
      <c r="M67" s="165"/>
      <c r="N67" s="165" t="s">
        <v>565</v>
      </c>
      <c r="O67" s="165" t="s">
        <v>32</v>
      </c>
      <c r="P67" s="165">
        <f>P63/10</f>
        <v>1E-3</v>
      </c>
      <c r="Q67" s="165">
        <f>P67*1000000</f>
        <v>1000</v>
      </c>
      <c r="R67" s="89">
        <f>R63/10</f>
        <v>602200000000.00012</v>
      </c>
      <c r="S67" s="89">
        <f t="shared" si="6"/>
        <v>1204400000.0000002</v>
      </c>
      <c r="T67" s="165">
        <f>T63/10</f>
        <v>3.1500000000000001E-4</v>
      </c>
      <c r="U67" s="165">
        <f t="shared" si="3"/>
        <v>315</v>
      </c>
      <c r="V67" s="165">
        <f>V63/10</f>
        <v>189693000000</v>
      </c>
      <c r="W67" s="89">
        <f t="shared" si="4"/>
        <v>379386000</v>
      </c>
      <c r="X67" s="165">
        <f t="shared" si="9"/>
        <v>9.0807707468407219</v>
      </c>
      <c r="Y67" s="165">
        <v>43.52</v>
      </c>
      <c r="Z67" s="165">
        <v>0.21283796653792869</v>
      </c>
    </row>
    <row r="68" spans="1:26" x14ac:dyDescent="0.25">
      <c r="A68" s="165" t="s">
        <v>257</v>
      </c>
      <c r="B68" s="165" t="s">
        <v>205</v>
      </c>
      <c r="C68" s="165" t="s">
        <v>206</v>
      </c>
      <c r="D68" s="165" t="s">
        <v>207</v>
      </c>
      <c r="E68" s="165">
        <v>40.56</v>
      </c>
      <c r="F68" s="165"/>
      <c r="G68" s="165" t="s">
        <v>292</v>
      </c>
      <c r="H68" s="165" t="s">
        <v>205</v>
      </c>
      <c r="I68" s="165" t="s">
        <v>206</v>
      </c>
      <c r="J68" s="165" t="s">
        <v>207</v>
      </c>
      <c r="K68" s="165">
        <v>38.68</v>
      </c>
      <c r="L68" s="165">
        <f>AVERAGE(K68:K69)</f>
        <v>38.234999999999999</v>
      </c>
      <c r="M68" s="165"/>
      <c r="N68" s="165" t="s">
        <v>566</v>
      </c>
      <c r="O68" s="165" t="s">
        <v>567</v>
      </c>
      <c r="P68" s="165">
        <f>P67/2</f>
        <v>5.0000000000000001E-4</v>
      </c>
      <c r="Q68" s="165">
        <f>P68*1000000</f>
        <v>500</v>
      </c>
      <c r="R68" s="89">
        <f>R67/2</f>
        <v>301100000000.00006</v>
      </c>
      <c r="S68" s="89">
        <f t="shared" si="6"/>
        <v>602200000.00000012</v>
      </c>
      <c r="T68" s="165">
        <f>T67/2</f>
        <v>1.5750000000000001E-4</v>
      </c>
      <c r="U68" s="165">
        <f t="shared" si="3"/>
        <v>157.5</v>
      </c>
      <c r="V68" s="165">
        <f>V67/2</f>
        <v>94846500000</v>
      </c>
      <c r="W68" s="89">
        <f t="shared" si="4"/>
        <v>189693000</v>
      </c>
      <c r="X68" s="165"/>
      <c r="Y68" s="165"/>
      <c r="Z68" s="165"/>
    </row>
    <row r="69" spans="1:26" x14ac:dyDescent="0.25">
      <c r="A69" s="165" t="s">
        <v>257</v>
      </c>
      <c r="B69" s="165" t="s">
        <v>552</v>
      </c>
      <c r="C69" s="165" t="s">
        <v>206</v>
      </c>
      <c r="D69" s="165" t="s">
        <v>210</v>
      </c>
      <c r="E69" s="165" t="s">
        <v>220</v>
      </c>
      <c r="F69" s="165"/>
      <c r="G69" s="165" t="s">
        <v>293</v>
      </c>
      <c r="H69" s="165" t="s">
        <v>205</v>
      </c>
      <c r="I69" s="165" t="s">
        <v>206</v>
      </c>
      <c r="J69" s="165" t="s">
        <v>207</v>
      </c>
      <c r="K69" s="165">
        <v>37.79</v>
      </c>
      <c r="L69" s="165"/>
      <c r="M69" s="165"/>
      <c r="N69" s="165"/>
      <c r="O69" s="165"/>
      <c r="P69" s="165"/>
      <c r="Q69" s="165"/>
      <c r="R69" s="165"/>
      <c r="S69" s="165"/>
      <c r="T69" s="165"/>
      <c r="U69" s="165"/>
      <c r="V69" s="165"/>
      <c r="W69" s="165"/>
      <c r="X69" s="165"/>
      <c r="Y69" s="165"/>
      <c r="Z69" s="165"/>
    </row>
    <row r="70" spans="1:26" x14ac:dyDescent="0.25">
      <c r="A70" s="165" t="s">
        <v>258</v>
      </c>
      <c r="B70" s="165" t="s">
        <v>205</v>
      </c>
      <c r="C70" s="165" t="s">
        <v>206</v>
      </c>
      <c r="D70" s="165" t="s">
        <v>207</v>
      </c>
      <c r="E70" s="165">
        <v>41.25</v>
      </c>
      <c r="F70" s="165"/>
      <c r="G70" s="165" t="s">
        <v>294</v>
      </c>
      <c r="H70" s="165" t="s">
        <v>205</v>
      </c>
      <c r="I70" s="165" t="s">
        <v>206</v>
      </c>
      <c r="J70" s="165" t="s">
        <v>207</v>
      </c>
      <c r="K70" s="165">
        <v>40.94</v>
      </c>
      <c r="L70" s="165">
        <f>AVERAGE(K70:K71)</f>
        <v>40.614999999999995</v>
      </c>
      <c r="M70" s="165"/>
      <c r="N70" s="165"/>
      <c r="O70" s="165"/>
      <c r="P70" s="165"/>
      <c r="Q70" s="165"/>
      <c r="R70" s="165"/>
      <c r="S70" s="165"/>
      <c r="T70" s="165"/>
      <c r="U70" s="165"/>
      <c r="V70" s="165"/>
      <c r="W70" s="165"/>
      <c r="X70" s="165" t="s">
        <v>568</v>
      </c>
      <c r="Y70" s="165" t="s">
        <v>240</v>
      </c>
      <c r="Z70" s="165"/>
    </row>
    <row r="71" spans="1:26" x14ac:dyDescent="0.25">
      <c r="A71" s="165" t="s">
        <v>258</v>
      </c>
      <c r="B71" s="165" t="s">
        <v>552</v>
      </c>
      <c r="C71" s="165" t="s">
        <v>206</v>
      </c>
      <c r="D71" s="165" t="s">
        <v>210</v>
      </c>
      <c r="E71" s="165" t="s">
        <v>220</v>
      </c>
      <c r="F71" s="165"/>
      <c r="G71" s="165" t="s">
        <v>295</v>
      </c>
      <c r="H71" s="165" t="s">
        <v>205</v>
      </c>
      <c r="I71" s="165" t="s">
        <v>206</v>
      </c>
      <c r="J71" s="165" t="s">
        <v>207</v>
      </c>
      <c r="K71" s="165">
        <v>40.29</v>
      </c>
      <c r="L71" s="165"/>
      <c r="M71" s="165"/>
      <c r="N71" s="165"/>
      <c r="O71" s="165"/>
      <c r="P71" s="165"/>
      <c r="Q71" s="165"/>
      <c r="R71" s="165"/>
      <c r="S71" s="165"/>
      <c r="T71" s="165"/>
      <c r="U71" s="165"/>
      <c r="V71" s="165"/>
      <c r="W71" s="165"/>
      <c r="X71" s="165">
        <f t="array" ref="X71:Y71">LINEST(Y62:Y67,X62:X67)</f>
        <v>-4.6144427921521309</v>
      </c>
      <c r="Y71" s="165">
        <v>84.464165329495103</v>
      </c>
      <c r="Z71" s="165"/>
    </row>
    <row r="72" spans="1:26" x14ac:dyDescent="0.25">
      <c r="A72" s="165" t="s">
        <v>259</v>
      </c>
      <c r="B72" s="165" t="s">
        <v>205</v>
      </c>
      <c r="C72" s="165" t="s">
        <v>206</v>
      </c>
      <c r="D72" s="165" t="s">
        <v>207</v>
      </c>
      <c r="E72" s="165">
        <v>40.83</v>
      </c>
      <c r="F72" s="165"/>
      <c r="G72" s="165" t="s">
        <v>296</v>
      </c>
      <c r="H72" s="165" t="s">
        <v>205</v>
      </c>
      <c r="I72" s="165" t="s">
        <v>206</v>
      </c>
      <c r="J72" s="165" t="s">
        <v>207</v>
      </c>
      <c r="K72" s="165">
        <v>40.42</v>
      </c>
      <c r="L72" s="165">
        <f>AVERAGE(K72:K73)</f>
        <v>40.380000000000003</v>
      </c>
      <c r="M72" s="165"/>
      <c r="N72" s="165"/>
      <c r="O72" s="165"/>
      <c r="P72" s="165"/>
      <c r="Q72" s="165"/>
      <c r="R72" s="165"/>
      <c r="S72" s="165"/>
      <c r="T72" s="165"/>
      <c r="U72" s="165"/>
      <c r="V72" s="165"/>
      <c r="W72" s="165"/>
      <c r="X72" s="165"/>
      <c r="Y72" s="165"/>
      <c r="Z72" s="165"/>
    </row>
    <row r="73" spans="1:26" x14ac:dyDescent="0.25">
      <c r="A73" s="165" t="s">
        <v>259</v>
      </c>
      <c r="B73" s="165" t="s">
        <v>552</v>
      </c>
      <c r="C73" s="165" t="s">
        <v>206</v>
      </c>
      <c r="D73" s="165" t="s">
        <v>210</v>
      </c>
      <c r="E73" s="165" t="s">
        <v>220</v>
      </c>
      <c r="F73" s="165"/>
      <c r="G73" s="165" t="s">
        <v>297</v>
      </c>
      <c r="H73" s="165" t="s">
        <v>205</v>
      </c>
      <c r="I73" s="165" t="s">
        <v>206</v>
      </c>
      <c r="J73" s="165" t="s">
        <v>207</v>
      </c>
      <c r="K73" s="165">
        <v>40.340000000000003</v>
      </c>
      <c r="L73" s="165"/>
      <c r="M73" s="165"/>
      <c r="N73" s="165"/>
      <c r="O73" s="165"/>
      <c r="P73" s="165"/>
      <c r="Q73" s="165"/>
      <c r="R73" s="165"/>
      <c r="S73" s="165"/>
      <c r="T73" s="165"/>
      <c r="U73" s="165"/>
      <c r="V73" s="165"/>
      <c r="W73" s="165"/>
      <c r="X73" s="119" t="s">
        <v>241</v>
      </c>
      <c r="Y73" s="120">
        <f>10^(-1/X71)-1</f>
        <v>0.64706557074961268</v>
      </c>
      <c r="Z73" s="165"/>
    </row>
    <row r="74" spans="1:26" x14ac:dyDescent="0.25">
      <c r="A74" s="165" t="s">
        <v>260</v>
      </c>
      <c r="B74" s="165" t="s">
        <v>205</v>
      </c>
      <c r="C74" s="165" t="s">
        <v>206</v>
      </c>
      <c r="D74" s="165" t="s">
        <v>207</v>
      </c>
      <c r="E74" s="165">
        <v>27.25</v>
      </c>
      <c r="F74" s="165"/>
      <c r="G74" s="165" t="s">
        <v>298</v>
      </c>
      <c r="H74" s="165" t="s">
        <v>205</v>
      </c>
      <c r="I74" s="165" t="s">
        <v>569</v>
      </c>
      <c r="J74" s="165" t="s">
        <v>207</v>
      </c>
      <c r="K74" s="165">
        <v>32.89</v>
      </c>
      <c r="L74" s="165">
        <f>AVERAGE(K74:K76)</f>
        <v>33.226666666666667</v>
      </c>
      <c r="M74" s="165">
        <f>STDEV(K74:K76)</f>
        <v>0.29160475533388169</v>
      </c>
      <c r="N74" s="165"/>
      <c r="O74" s="165"/>
      <c r="P74" s="165"/>
      <c r="Q74" s="165"/>
      <c r="R74" s="165"/>
      <c r="S74" s="165"/>
      <c r="T74" s="165"/>
      <c r="U74" s="165"/>
      <c r="V74" s="165"/>
      <c r="W74" s="165"/>
      <c r="X74" s="165"/>
      <c r="Y74" s="165"/>
      <c r="Z74" s="165"/>
    </row>
    <row r="75" spans="1:26" x14ac:dyDescent="0.25">
      <c r="A75" s="165" t="s">
        <v>260</v>
      </c>
      <c r="B75" s="165" t="s">
        <v>552</v>
      </c>
      <c r="C75" s="165" t="s">
        <v>206</v>
      </c>
      <c r="D75" s="165" t="s">
        <v>210</v>
      </c>
      <c r="E75" s="165">
        <v>28.02</v>
      </c>
      <c r="F75" s="165"/>
      <c r="G75" s="165" t="s">
        <v>299</v>
      </c>
      <c r="H75" s="165" t="s">
        <v>205</v>
      </c>
      <c r="I75" s="165" t="s">
        <v>569</v>
      </c>
      <c r="J75" s="165" t="s">
        <v>207</v>
      </c>
      <c r="K75" s="165">
        <v>33.39</v>
      </c>
      <c r="L75" s="165"/>
      <c r="M75" s="165"/>
      <c r="N75" s="165"/>
      <c r="O75" s="165"/>
      <c r="P75" s="165"/>
      <c r="Q75" s="165"/>
      <c r="R75" s="165"/>
      <c r="S75" s="165"/>
      <c r="T75" s="165"/>
      <c r="U75" s="165"/>
      <c r="V75" s="165"/>
      <c r="W75" s="165"/>
      <c r="X75" s="165"/>
      <c r="Y75" s="165"/>
      <c r="Z75" s="165"/>
    </row>
    <row r="76" spans="1:26" x14ac:dyDescent="0.25">
      <c r="A76" s="165" t="s">
        <v>261</v>
      </c>
      <c r="B76" s="165" t="s">
        <v>205</v>
      </c>
      <c r="C76" s="165" t="s">
        <v>206</v>
      </c>
      <c r="D76" s="165" t="s">
        <v>207</v>
      </c>
      <c r="E76" s="165">
        <v>27.13</v>
      </c>
      <c r="F76" s="165"/>
      <c r="G76" s="165" t="s">
        <v>300</v>
      </c>
      <c r="H76" s="165" t="s">
        <v>205</v>
      </c>
      <c r="I76" s="165" t="s">
        <v>569</v>
      </c>
      <c r="J76" s="165" t="s">
        <v>207</v>
      </c>
      <c r="K76" s="165">
        <v>33.4</v>
      </c>
      <c r="L76" s="165"/>
      <c r="M76" s="165"/>
      <c r="N76" s="165"/>
      <c r="O76" s="165"/>
      <c r="P76" s="165"/>
      <c r="Q76" s="165"/>
      <c r="R76" s="165"/>
      <c r="S76" s="165"/>
      <c r="T76" s="165"/>
      <c r="U76" s="165"/>
      <c r="V76" s="165"/>
      <c r="W76" s="165"/>
      <c r="X76" s="165"/>
      <c r="Y76" s="165"/>
      <c r="Z76" s="165"/>
    </row>
    <row r="77" spans="1:26" x14ac:dyDescent="0.25">
      <c r="A77" s="165" t="s">
        <v>261</v>
      </c>
      <c r="B77" s="165" t="s">
        <v>552</v>
      </c>
      <c r="C77" s="165" t="s">
        <v>206</v>
      </c>
      <c r="D77" s="165" t="s">
        <v>210</v>
      </c>
      <c r="E77" s="165">
        <v>27.93</v>
      </c>
      <c r="F77" s="165"/>
      <c r="G77" s="165" t="s">
        <v>301</v>
      </c>
      <c r="H77" s="165" t="s">
        <v>205</v>
      </c>
      <c r="I77" s="165" t="s">
        <v>569</v>
      </c>
      <c r="J77" s="165" t="s">
        <v>207</v>
      </c>
      <c r="K77" s="165">
        <v>38.14</v>
      </c>
      <c r="L77" s="165">
        <f>AVERAGE(K77:K79)</f>
        <v>38.25</v>
      </c>
      <c r="M77" s="165">
        <f>STDEV(K77:K79)</f>
        <v>0.12767145334803726</v>
      </c>
      <c r="N77" s="165"/>
      <c r="O77" s="165"/>
      <c r="P77" s="165"/>
      <c r="Q77" s="165"/>
      <c r="R77" s="165"/>
      <c r="S77" s="165"/>
      <c r="T77" s="165"/>
      <c r="U77" s="165"/>
      <c r="V77" s="165"/>
      <c r="W77" s="165"/>
      <c r="X77" s="165"/>
      <c r="Y77" s="165"/>
      <c r="Z77" s="165"/>
    </row>
    <row r="78" spans="1:26" x14ac:dyDescent="0.25">
      <c r="A78" s="165" t="s">
        <v>262</v>
      </c>
      <c r="B78" s="165" t="s">
        <v>205</v>
      </c>
      <c r="C78" s="165" t="s">
        <v>206</v>
      </c>
      <c r="D78" s="165" t="s">
        <v>207</v>
      </c>
      <c r="E78" s="165">
        <v>29.8</v>
      </c>
      <c r="F78" s="165"/>
      <c r="G78" s="165" t="s">
        <v>302</v>
      </c>
      <c r="H78" s="165" t="s">
        <v>205</v>
      </c>
      <c r="I78" s="165" t="s">
        <v>569</v>
      </c>
      <c r="J78" s="165" t="s">
        <v>207</v>
      </c>
      <c r="K78" s="165">
        <v>38.39</v>
      </c>
      <c r="L78" s="165"/>
      <c r="M78" s="165"/>
      <c r="N78" s="165"/>
      <c r="O78" s="165"/>
      <c r="P78" s="165"/>
      <c r="Q78" s="165"/>
      <c r="R78" s="165"/>
      <c r="S78" s="165"/>
      <c r="T78" s="165"/>
      <c r="U78" s="165"/>
      <c r="V78" s="165"/>
      <c r="W78" s="165"/>
      <c r="X78" s="165"/>
      <c r="Y78" s="165"/>
      <c r="Z78" s="165"/>
    </row>
    <row r="79" spans="1:26" x14ac:dyDescent="0.25">
      <c r="A79" s="165" t="s">
        <v>262</v>
      </c>
      <c r="B79" s="165" t="s">
        <v>552</v>
      </c>
      <c r="C79" s="165" t="s">
        <v>206</v>
      </c>
      <c r="D79" s="165" t="s">
        <v>210</v>
      </c>
      <c r="E79" s="165">
        <v>28.97</v>
      </c>
      <c r="F79" s="165"/>
      <c r="G79" s="165" t="s">
        <v>303</v>
      </c>
      <c r="H79" s="165" t="s">
        <v>205</v>
      </c>
      <c r="I79" s="165" t="s">
        <v>569</v>
      </c>
      <c r="J79" s="165" t="s">
        <v>207</v>
      </c>
      <c r="K79" s="165">
        <v>38.22</v>
      </c>
      <c r="L79" s="165"/>
      <c r="M79" s="165"/>
      <c r="N79" s="165"/>
      <c r="O79" s="165"/>
      <c r="P79" s="165"/>
      <c r="Q79" s="165"/>
      <c r="R79" s="165"/>
      <c r="S79" s="165"/>
      <c r="T79" s="165"/>
      <c r="U79" s="165"/>
      <c r="V79" s="165"/>
      <c r="W79" s="165"/>
      <c r="X79" s="165"/>
      <c r="Y79" s="165"/>
      <c r="Z79" s="165"/>
    </row>
    <row r="80" spans="1:26" x14ac:dyDescent="0.25">
      <c r="A80" s="165" t="s">
        <v>263</v>
      </c>
      <c r="B80" s="165" t="s">
        <v>205</v>
      </c>
      <c r="C80" s="165" t="s">
        <v>206</v>
      </c>
      <c r="D80" s="165" t="s">
        <v>207</v>
      </c>
      <c r="E80" s="165">
        <v>29.26</v>
      </c>
      <c r="F80" s="165"/>
      <c r="G80" s="165" t="s">
        <v>304</v>
      </c>
      <c r="H80" s="165" t="s">
        <v>205</v>
      </c>
      <c r="I80" s="165" t="s">
        <v>569</v>
      </c>
      <c r="J80" s="165" t="s">
        <v>207</v>
      </c>
      <c r="K80" s="165">
        <v>39.369999999999997</v>
      </c>
      <c r="L80" s="165">
        <f>AVERAGE(K80:K82)</f>
        <v>39.47</v>
      </c>
      <c r="M80" s="165">
        <f>STDEV(K80:K82)</f>
        <v>8.8881944173156979E-2</v>
      </c>
      <c r="N80" s="165"/>
      <c r="O80" s="165"/>
      <c r="P80" s="165"/>
      <c r="Q80" s="165"/>
      <c r="R80" s="165"/>
      <c r="S80" s="165"/>
      <c r="T80" s="165"/>
      <c r="U80" s="165"/>
      <c r="V80" s="165"/>
      <c r="W80" s="165"/>
      <c r="X80" s="165"/>
      <c r="Y80" s="165"/>
      <c r="Z80" s="165"/>
    </row>
    <row r="81" spans="1:13" x14ac:dyDescent="0.25">
      <c r="A81" s="165" t="s">
        <v>263</v>
      </c>
      <c r="B81" s="165" t="s">
        <v>552</v>
      </c>
      <c r="C81" s="165" t="s">
        <v>206</v>
      </c>
      <c r="D81" s="165" t="s">
        <v>210</v>
      </c>
      <c r="E81" s="165">
        <v>28.79</v>
      </c>
      <c r="F81" s="165"/>
      <c r="G81" s="165" t="s">
        <v>305</v>
      </c>
      <c r="H81" s="165" t="s">
        <v>205</v>
      </c>
      <c r="I81" s="165" t="s">
        <v>569</v>
      </c>
      <c r="J81" s="165" t="s">
        <v>207</v>
      </c>
      <c r="K81" s="165">
        <v>39.5</v>
      </c>
      <c r="L81" s="165"/>
      <c r="M81" s="165"/>
    </row>
    <row r="82" spans="1:13" x14ac:dyDescent="0.25">
      <c r="A82" s="165" t="s">
        <v>264</v>
      </c>
      <c r="B82" s="165" t="s">
        <v>205</v>
      </c>
      <c r="C82" s="165" t="s">
        <v>206</v>
      </c>
      <c r="D82" s="165" t="s">
        <v>207</v>
      </c>
      <c r="E82" s="165">
        <v>34.130000000000003</v>
      </c>
      <c r="F82" s="165"/>
      <c r="G82" s="165" t="s">
        <v>306</v>
      </c>
      <c r="H82" s="165" t="s">
        <v>205</v>
      </c>
      <c r="I82" s="165" t="s">
        <v>569</v>
      </c>
      <c r="J82" s="165" t="s">
        <v>207</v>
      </c>
      <c r="K82" s="165">
        <v>39.54</v>
      </c>
      <c r="L82" s="165"/>
      <c r="M82" s="165"/>
    </row>
    <row r="83" spans="1:13" x14ac:dyDescent="0.25">
      <c r="A83" s="165" t="s">
        <v>264</v>
      </c>
      <c r="B83" s="165" t="s">
        <v>552</v>
      </c>
      <c r="C83" s="165" t="s">
        <v>206</v>
      </c>
      <c r="D83" s="165" t="s">
        <v>210</v>
      </c>
      <c r="E83" s="165">
        <v>33.14</v>
      </c>
      <c r="F83" s="165"/>
      <c r="G83" s="165" t="s">
        <v>307</v>
      </c>
      <c r="H83" s="165" t="s">
        <v>205</v>
      </c>
      <c r="I83" s="165" t="s">
        <v>569</v>
      </c>
      <c r="J83" s="165" t="s">
        <v>207</v>
      </c>
      <c r="K83" s="165">
        <v>40.380000000000003</v>
      </c>
      <c r="L83" s="165">
        <f>AVERAGE(K83:K85)</f>
        <v>40.526666666666664</v>
      </c>
      <c r="M83" s="165">
        <f>STDEV(K83:K85)</f>
        <v>0.1747378989610808</v>
      </c>
    </row>
    <row r="84" spans="1:13" x14ac:dyDescent="0.25">
      <c r="A84" s="165" t="s">
        <v>265</v>
      </c>
      <c r="B84" s="165" t="s">
        <v>205</v>
      </c>
      <c r="C84" s="165" t="s">
        <v>206</v>
      </c>
      <c r="D84" s="165" t="s">
        <v>207</v>
      </c>
      <c r="E84" s="165">
        <v>33.36</v>
      </c>
      <c r="F84" s="165"/>
      <c r="G84" s="165" t="s">
        <v>308</v>
      </c>
      <c r="H84" s="165" t="s">
        <v>205</v>
      </c>
      <c r="I84" s="165" t="s">
        <v>569</v>
      </c>
      <c r="J84" s="165" t="s">
        <v>207</v>
      </c>
      <c r="K84" s="165">
        <v>40.72</v>
      </c>
      <c r="L84" s="165"/>
      <c r="M84" s="165"/>
    </row>
    <row r="85" spans="1:13" x14ac:dyDescent="0.25">
      <c r="A85" s="165" t="s">
        <v>265</v>
      </c>
      <c r="B85" s="165" t="s">
        <v>552</v>
      </c>
      <c r="C85" s="165" t="s">
        <v>206</v>
      </c>
      <c r="D85" s="165" t="s">
        <v>210</v>
      </c>
      <c r="E85" s="165">
        <v>32.72</v>
      </c>
      <c r="F85" s="165"/>
      <c r="G85" s="165" t="s">
        <v>309</v>
      </c>
      <c r="H85" s="165" t="s">
        <v>205</v>
      </c>
      <c r="I85" s="165" t="s">
        <v>569</v>
      </c>
      <c r="J85" s="165" t="s">
        <v>207</v>
      </c>
      <c r="K85" s="165">
        <v>40.479999999999997</v>
      </c>
      <c r="L85" s="165"/>
      <c r="M85" s="165"/>
    </row>
    <row r="86" spans="1:13" x14ac:dyDescent="0.25">
      <c r="A86" s="165" t="s">
        <v>266</v>
      </c>
      <c r="B86" s="165" t="s">
        <v>205</v>
      </c>
      <c r="C86" s="165" t="s">
        <v>206</v>
      </c>
      <c r="D86" s="165" t="s">
        <v>207</v>
      </c>
      <c r="E86" s="165">
        <v>37.07</v>
      </c>
      <c r="F86" s="165"/>
      <c r="G86" s="165" t="s">
        <v>310</v>
      </c>
      <c r="H86" s="165" t="s">
        <v>205</v>
      </c>
      <c r="I86" s="165" t="s">
        <v>569</v>
      </c>
      <c r="J86" s="165" t="s">
        <v>207</v>
      </c>
      <c r="K86" s="165">
        <v>41.28</v>
      </c>
      <c r="L86" s="165">
        <f>AVERAGE(K86:K88)</f>
        <v>41.023333333333341</v>
      </c>
      <c r="M86" s="165">
        <f>STDEV(K86:K88)</f>
        <v>0.43592812863284336</v>
      </c>
    </row>
    <row r="87" spans="1:13" x14ac:dyDescent="0.25">
      <c r="A87" s="165" t="s">
        <v>266</v>
      </c>
      <c r="B87" s="165" t="s">
        <v>552</v>
      </c>
      <c r="C87" s="165" t="s">
        <v>206</v>
      </c>
      <c r="D87" s="165" t="s">
        <v>210</v>
      </c>
      <c r="E87" s="165">
        <v>38.840000000000003</v>
      </c>
      <c r="F87" s="165"/>
      <c r="G87" s="165" t="s">
        <v>311</v>
      </c>
      <c r="H87" s="165" t="s">
        <v>205</v>
      </c>
      <c r="I87" s="165" t="s">
        <v>569</v>
      </c>
      <c r="J87" s="165" t="s">
        <v>207</v>
      </c>
      <c r="K87" s="165">
        <v>41.27</v>
      </c>
      <c r="L87" s="165"/>
      <c r="M87" s="165"/>
    </row>
    <row r="88" spans="1:13" x14ac:dyDescent="0.25">
      <c r="A88" s="165" t="s">
        <v>267</v>
      </c>
      <c r="B88" s="165" t="s">
        <v>205</v>
      </c>
      <c r="C88" s="165" t="s">
        <v>206</v>
      </c>
      <c r="D88" s="165" t="s">
        <v>207</v>
      </c>
      <c r="E88" s="165">
        <v>37.590000000000003</v>
      </c>
      <c r="F88" s="165"/>
      <c r="G88" s="165" t="s">
        <v>312</v>
      </c>
      <c r="H88" s="165" t="s">
        <v>205</v>
      </c>
      <c r="I88" s="165" t="s">
        <v>569</v>
      </c>
      <c r="J88" s="165" t="s">
        <v>207</v>
      </c>
      <c r="K88" s="165">
        <v>40.520000000000003</v>
      </c>
      <c r="L88" s="165"/>
      <c r="M88" s="165"/>
    </row>
    <row r="89" spans="1:13" x14ac:dyDescent="0.25">
      <c r="A89" s="165" t="s">
        <v>267</v>
      </c>
      <c r="B89" s="165" t="s">
        <v>552</v>
      </c>
      <c r="C89" s="165" t="s">
        <v>206</v>
      </c>
      <c r="D89" s="165" t="s">
        <v>210</v>
      </c>
      <c r="E89" s="165">
        <v>40.840000000000003</v>
      </c>
      <c r="F89" s="165"/>
      <c r="G89" s="165" t="s">
        <v>313</v>
      </c>
      <c r="H89" s="165" t="s">
        <v>205</v>
      </c>
      <c r="I89" s="165" t="s">
        <v>569</v>
      </c>
      <c r="J89" s="165" t="s">
        <v>207</v>
      </c>
      <c r="K89" s="165">
        <v>43.56</v>
      </c>
      <c r="L89" s="165">
        <f>AVERAGE(K89:K91)</f>
        <v>43.52</v>
      </c>
      <c r="M89" s="165">
        <f>STDEV(K89:K91)</f>
        <v>0.21283796653792869</v>
      </c>
    </row>
    <row r="90" spans="1:13" x14ac:dyDescent="0.25">
      <c r="A90" s="165" t="s">
        <v>268</v>
      </c>
      <c r="B90" s="165" t="s">
        <v>205</v>
      </c>
      <c r="C90" s="165" t="s">
        <v>206</v>
      </c>
      <c r="D90" s="165" t="s">
        <v>207</v>
      </c>
      <c r="E90" s="165">
        <v>40.97</v>
      </c>
      <c r="F90" s="165"/>
      <c r="G90" s="165" t="s">
        <v>314</v>
      </c>
      <c r="H90" s="165" t="s">
        <v>205</v>
      </c>
      <c r="I90" s="165" t="s">
        <v>569</v>
      </c>
      <c r="J90" s="165" t="s">
        <v>207</v>
      </c>
      <c r="K90" s="165">
        <v>43.29</v>
      </c>
      <c r="L90" s="165"/>
      <c r="M90" s="165"/>
    </row>
    <row r="91" spans="1:13" x14ac:dyDescent="0.25">
      <c r="A91" s="165" t="s">
        <v>268</v>
      </c>
      <c r="B91" s="165" t="s">
        <v>552</v>
      </c>
      <c r="C91" s="165" t="s">
        <v>206</v>
      </c>
      <c r="D91" s="165" t="s">
        <v>210</v>
      </c>
      <c r="E91" s="165" t="s">
        <v>220</v>
      </c>
      <c r="F91" s="165"/>
      <c r="G91" s="165" t="s">
        <v>315</v>
      </c>
      <c r="H91" s="165" t="s">
        <v>205</v>
      </c>
      <c r="I91" s="165" t="s">
        <v>569</v>
      </c>
      <c r="J91" s="165" t="s">
        <v>207</v>
      </c>
      <c r="K91" s="165">
        <v>43.71</v>
      </c>
      <c r="L91" s="165"/>
      <c r="M91" s="165"/>
    </row>
    <row r="92" spans="1:13" x14ac:dyDescent="0.25">
      <c r="A92" s="165" t="s">
        <v>270</v>
      </c>
      <c r="B92" s="165" t="s">
        <v>205</v>
      </c>
      <c r="C92" s="165" t="s">
        <v>206</v>
      </c>
      <c r="D92" s="165" t="s">
        <v>207</v>
      </c>
      <c r="E92" s="165">
        <v>40.53</v>
      </c>
      <c r="F92" s="165"/>
      <c r="G92" s="165" t="s">
        <v>316</v>
      </c>
      <c r="H92" s="165" t="s">
        <v>205</v>
      </c>
      <c r="I92" s="165" t="s">
        <v>569</v>
      </c>
      <c r="J92" s="165" t="s">
        <v>207</v>
      </c>
      <c r="K92" s="165" t="s">
        <v>220</v>
      </c>
      <c r="L92" s="165">
        <f>AVERAGE(K92:K94)</f>
        <v>43.52</v>
      </c>
      <c r="M92" s="165" t="e">
        <f>STDEV(K92:K94)</f>
        <v>#DIV/0!</v>
      </c>
    </row>
    <row r="93" spans="1:13" x14ac:dyDescent="0.25">
      <c r="A93" s="165" t="s">
        <v>270</v>
      </c>
      <c r="B93" s="165" t="s">
        <v>552</v>
      </c>
      <c r="C93" s="165" t="s">
        <v>206</v>
      </c>
      <c r="D93" s="165" t="s">
        <v>210</v>
      </c>
      <c r="E93" s="165" t="s">
        <v>220</v>
      </c>
      <c r="F93" s="165"/>
      <c r="G93" s="165" t="s">
        <v>317</v>
      </c>
      <c r="H93" s="165" t="s">
        <v>205</v>
      </c>
      <c r="I93" s="165" t="s">
        <v>569</v>
      </c>
      <c r="J93" s="165" t="s">
        <v>207</v>
      </c>
      <c r="K93" s="165">
        <v>43.52</v>
      </c>
      <c r="L93" s="165"/>
      <c r="M93" s="165"/>
    </row>
    <row r="94" spans="1:13" x14ac:dyDescent="0.25">
      <c r="A94" s="165" t="s">
        <v>272</v>
      </c>
      <c r="B94" s="165" t="s">
        <v>205</v>
      </c>
      <c r="C94" s="165" t="s">
        <v>206</v>
      </c>
      <c r="D94" s="165" t="s">
        <v>207</v>
      </c>
      <c r="E94" s="165">
        <v>41.13</v>
      </c>
      <c r="F94" s="165"/>
      <c r="G94" s="165" t="s">
        <v>318</v>
      </c>
      <c r="H94" s="165" t="s">
        <v>205</v>
      </c>
      <c r="I94" s="165" t="s">
        <v>569</v>
      </c>
      <c r="J94" s="165" t="s">
        <v>207</v>
      </c>
      <c r="K94" s="165" t="s">
        <v>220</v>
      </c>
      <c r="L94" s="165"/>
      <c r="M94" s="165"/>
    </row>
    <row r="95" spans="1:13" x14ac:dyDescent="0.25">
      <c r="A95" s="165" t="s">
        <v>272</v>
      </c>
      <c r="B95" s="165" t="s">
        <v>552</v>
      </c>
      <c r="C95" s="165" t="s">
        <v>206</v>
      </c>
      <c r="D95" s="165" t="s">
        <v>210</v>
      </c>
      <c r="E95" s="165" t="s">
        <v>220</v>
      </c>
      <c r="F95" s="165"/>
      <c r="G95" s="165" t="s">
        <v>319</v>
      </c>
      <c r="H95" s="165" t="s">
        <v>205</v>
      </c>
      <c r="I95" s="165" t="s">
        <v>320</v>
      </c>
      <c r="J95" s="165" t="s">
        <v>207</v>
      </c>
      <c r="K95" s="165" t="s">
        <v>220</v>
      </c>
      <c r="L95" s="165" t="e">
        <f>AVERAGE(K95:K97)</f>
        <v>#DIV/0!</v>
      </c>
      <c r="M95" s="165" t="e">
        <f>STDEV(K95:K97)</f>
        <v>#DIV/0!</v>
      </c>
    </row>
    <row r="96" spans="1:13" x14ac:dyDescent="0.25">
      <c r="A96" s="165" t="s">
        <v>273</v>
      </c>
      <c r="B96" s="165" t="s">
        <v>205</v>
      </c>
      <c r="C96" s="165" t="s">
        <v>206</v>
      </c>
      <c r="D96" s="165" t="s">
        <v>207</v>
      </c>
      <c r="E96" s="165">
        <v>40.51</v>
      </c>
      <c r="F96" s="165"/>
      <c r="G96" s="165" t="s">
        <v>321</v>
      </c>
      <c r="H96" s="165" t="s">
        <v>205</v>
      </c>
      <c r="I96" s="165" t="s">
        <v>320</v>
      </c>
      <c r="J96" s="165" t="s">
        <v>207</v>
      </c>
      <c r="K96" s="165" t="s">
        <v>220</v>
      </c>
      <c r="L96" s="165"/>
      <c r="M96" s="165"/>
    </row>
    <row r="97" spans="1:12" x14ac:dyDescent="0.25">
      <c r="A97" s="165" t="s">
        <v>273</v>
      </c>
      <c r="B97" s="165" t="s">
        <v>552</v>
      </c>
      <c r="C97" s="165" t="s">
        <v>206</v>
      </c>
      <c r="D97" s="165" t="s">
        <v>210</v>
      </c>
      <c r="E97" s="165" t="s">
        <v>220</v>
      </c>
      <c r="F97" s="165"/>
      <c r="G97" s="165" t="s">
        <v>322</v>
      </c>
      <c r="H97" s="165" t="s">
        <v>205</v>
      </c>
      <c r="I97" s="165" t="s">
        <v>320</v>
      </c>
      <c r="J97" s="165" t="s">
        <v>207</v>
      </c>
      <c r="K97" s="165" t="s">
        <v>220</v>
      </c>
      <c r="L97" s="165"/>
    </row>
    <row r="98" spans="1:12" x14ac:dyDescent="0.25">
      <c r="A98" s="165" t="s">
        <v>274</v>
      </c>
      <c r="B98" s="165" t="s">
        <v>205</v>
      </c>
      <c r="C98" s="165" t="s">
        <v>206</v>
      </c>
      <c r="D98" s="165" t="s">
        <v>207</v>
      </c>
      <c r="E98" s="165">
        <v>27.18</v>
      </c>
      <c r="F98" s="165"/>
      <c r="G98" s="165" t="s">
        <v>204</v>
      </c>
      <c r="H98" s="165" t="s">
        <v>552</v>
      </c>
      <c r="I98" s="165" t="s">
        <v>206</v>
      </c>
      <c r="J98" s="165" t="s">
        <v>210</v>
      </c>
      <c r="K98" s="165">
        <v>27.96</v>
      </c>
      <c r="L98" s="165">
        <f>AVERAGE(K98:K99)</f>
        <v>28.25</v>
      </c>
    </row>
    <row r="99" spans="1:12" x14ac:dyDescent="0.25">
      <c r="A99" s="165" t="s">
        <v>274</v>
      </c>
      <c r="B99" s="165" t="s">
        <v>552</v>
      </c>
      <c r="C99" s="165" t="s">
        <v>206</v>
      </c>
      <c r="D99" s="165" t="s">
        <v>210</v>
      </c>
      <c r="E99" s="165">
        <v>28.14</v>
      </c>
      <c r="F99" s="165"/>
      <c r="G99" s="165" t="s">
        <v>211</v>
      </c>
      <c r="H99" s="165" t="s">
        <v>552</v>
      </c>
      <c r="I99" s="165" t="s">
        <v>206</v>
      </c>
      <c r="J99" s="165" t="s">
        <v>210</v>
      </c>
      <c r="K99" s="165">
        <v>28.54</v>
      </c>
      <c r="L99" s="165"/>
    </row>
    <row r="100" spans="1:12" x14ac:dyDescent="0.25">
      <c r="A100" s="165" t="s">
        <v>275</v>
      </c>
      <c r="B100" s="165" t="s">
        <v>205</v>
      </c>
      <c r="C100" s="165" t="s">
        <v>206</v>
      </c>
      <c r="D100" s="165" t="s">
        <v>207</v>
      </c>
      <c r="E100" s="165">
        <v>27.05</v>
      </c>
      <c r="F100" s="165"/>
      <c r="G100" s="165" t="s">
        <v>212</v>
      </c>
      <c r="H100" s="165" t="s">
        <v>552</v>
      </c>
      <c r="I100" s="165" t="s">
        <v>206</v>
      </c>
      <c r="J100" s="165" t="s">
        <v>210</v>
      </c>
      <c r="K100" s="165">
        <v>29.13</v>
      </c>
      <c r="L100" s="165">
        <f>AVERAGE(K100:K101)</f>
        <v>29.285</v>
      </c>
    </row>
    <row r="101" spans="1:12" x14ac:dyDescent="0.25">
      <c r="A101" s="165" t="s">
        <v>275</v>
      </c>
      <c r="B101" s="165" t="s">
        <v>552</v>
      </c>
      <c r="C101" s="165" t="s">
        <v>206</v>
      </c>
      <c r="D101" s="165" t="s">
        <v>210</v>
      </c>
      <c r="E101" s="165">
        <v>28.1</v>
      </c>
      <c r="F101" s="165"/>
      <c r="G101" s="165" t="s">
        <v>213</v>
      </c>
      <c r="H101" s="165" t="s">
        <v>552</v>
      </c>
      <c r="I101" s="165" t="s">
        <v>206</v>
      </c>
      <c r="J101" s="165" t="s">
        <v>210</v>
      </c>
      <c r="K101" s="165">
        <v>29.44</v>
      </c>
      <c r="L101" s="165"/>
    </row>
    <row r="102" spans="1:12" x14ac:dyDescent="0.25">
      <c r="A102" s="165" t="s">
        <v>276</v>
      </c>
      <c r="B102" s="165" t="s">
        <v>205</v>
      </c>
      <c r="C102" s="165" t="s">
        <v>206</v>
      </c>
      <c r="D102" s="165" t="s">
        <v>207</v>
      </c>
      <c r="E102" s="165">
        <v>29.54</v>
      </c>
      <c r="F102" s="165"/>
      <c r="G102" s="165" t="s">
        <v>214</v>
      </c>
      <c r="H102" s="165" t="s">
        <v>552</v>
      </c>
      <c r="I102" s="165" t="s">
        <v>206</v>
      </c>
      <c r="J102" s="165" t="s">
        <v>210</v>
      </c>
      <c r="K102" s="165">
        <v>33.58</v>
      </c>
      <c r="L102" s="165">
        <f>AVERAGE(K102:K103)</f>
        <v>34.174999999999997</v>
      </c>
    </row>
    <row r="103" spans="1:12" x14ac:dyDescent="0.25">
      <c r="A103" s="165" t="s">
        <v>276</v>
      </c>
      <c r="B103" s="165" t="s">
        <v>552</v>
      </c>
      <c r="C103" s="165" t="s">
        <v>206</v>
      </c>
      <c r="D103" s="165" t="s">
        <v>210</v>
      </c>
      <c r="E103" s="165">
        <v>29.38</v>
      </c>
      <c r="F103" s="165"/>
      <c r="G103" s="165" t="s">
        <v>215</v>
      </c>
      <c r="H103" s="165" t="s">
        <v>552</v>
      </c>
      <c r="I103" s="165" t="s">
        <v>206</v>
      </c>
      <c r="J103" s="165" t="s">
        <v>210</v>
      </c>
      <c r="K103" s="165">
        <v>34.770000000000003</v>
      </c>
      <c r="L103" s="165"/>
    </row>
    <row r="104" spans="1:12" x14ac:dyDescent="0.25">
      <c r="A104" s="165" t="s">
        <v>277</v>
      </c>
      <c r="B104" s="165" t="s">
        <v>205</v>
      </c>
      <c r="C104" s="165" t="s">
        <v>206</v>
      </c>
      <c r="D104" s="165" t="s">
        <v>207</v>
      </c>
      <c r="E104" s="165">
        <v>29.27</v>
      </c>
      <c r="F104" s="165"/>
      <c r="G104" s="165" t="s">
        <v>216</v>
      </c>
      <c r="H104" s="165" t="s">
        <v>552</v>
      </c>
      <c r="I104" s="165" t="s">
        <v>206</v>
      </c>
      <c r="J104" s="165" t="s">
        <v>210</v>
      </c>
      <c r="K104" s="165">
        <v>43.71</v>
      </c>
      <c r="L104" s="165">
        <f>AVERAGE(K104:K105)</f>
        <v>43.71</v>
      </c>
    </row>
    <row r="105" spans="1:12" x14ac:dyDescent="0.25">
      <c r="A105" s="165" t="s">
        <v>277</v>
      </c>
      <c r="B105" s="165" t="s">
        <v>552</v>
      </c>
      <c r="C105" s="165" t="s">
        <v>206</v>
      </c>
      <c r="D105" s="165" t="s">
        <v>210</v>
      </c>
      <c r="E105" s="165">
        <v>28.82</v>
      </c>
      <c r="F105" s="165"/>
      <c r="G105" s="165" t="s">
        <v>217</v>
      </c>
      <c r="H105" s="165" t="s">
        <v>552</v>
      </c>
      <c r="I105" s="165" t="s">
        <v>206</v>
      </c>
      <c r="J105" s="165" t="s">
        <v>210</v>
      </c>
      <c r="K105" s="165" t="s">
        <v>220</v>
      </c>
      <c r="L105" s="165"/>
    </row>
    <row r="106" spans="1:12" x14ac:dyDescent="0.25">
      <c r="A106" s="165" t="s">
        <v>278</v>
      </c>
      <c r="B106" s="165" t="s">
        <v>205</v>
      </c>
      <c r="C106" s="165" t="s">
        <v>206</v>
      </c>
      <c r="D106" s="165" t="s">
        <v>207</v>
      </c>
      <c r="E106" s="165">
        <v>33.82</v>
      </c>
      <c r="F106" s="165"/>
      <c r="G106" s="165" t="s">
        <v>218</v>
      </c>
      <c r="H106" s="165" t="s">
        <v>552</v>
      </c>
      <c r="I106" s="165" t="s">
        <v>206</v>
      </c>
      <c r="J106" s="165" t="s">
        <v>210</v>
      </c>
      <c r="K106" s="165" t="s">
        <v>220</v>
      </c>
      <c r="L106" s="165" t="e">
        <f>AVERAGE(K106:K107)</f>
        <v>#DIV/0!</v>
      </c>
    </row>
    <row r="107" spans="1:12" x14ac:dyDescent="0.25">
      <c r="A107" s="165" t="s">
        <v>278</v>
      </c>
      <c r="B107" s="165" t="s">
        <v>552</v>
      </c>
      <c r="C107" s="165" t="s">
        <v>206</v>
      </c>
      <c r="D107" s="165" t="s">
        <v>210</v>
      </c>
      <c r="E107" s="165">
        <v>33.340000000000003</v>
      </c>
      <c r="F107" s="165"/>
      <c r="G107" s="165" t="s">
        <v>219</v>
      </c>
      <c r="H107" s="165" t="s">
        <v>552</v>
      </c>
      <c r="I107" s="165" t="s">
        <v>206</v>
      </c>
      <c r="J107" s="165" t="s">
        <v>210</v>
      </c>
      <c r="K107" s="165" t="s">
        <v>220</v>
      </c>
      <c r="L107" s="165"/>
    </row>
    <row r="108" spans="1:12" x14ac:dyDescent="0.25">
      <c r="A108" s="165" t="s">
        <v>279</v>
      </c>
      <c r="B108" s="165" t="s">
        <v>205</v>
      </c>
      <c r="C108" s="165" t="s">
        <v>206</v>
      </c>
      <c r="D108" s="165" t="s">
        <v>207</v>
      </c>
      <c r="E108" s="165">
        <v>33.229999999999997</v>
      </c>
      <c r="F108" s="165"/>
      <c r="G108" s="165" t="s">
        <v>221</v>
      </c>
      <c r="H108" s="165" t="s">
        <v>552</v>
      </c>
      <c r="I108" s="165" t="s">
        <v>206</v>
      </c>
      <c r="J108" s="165" t="s">
        <v>210</v>
      </c>
      <c r="K108" s="165" t="s">
        <v>220</v>
      </c>
      <c r="L108" s="165" t="e">
        <f>AVERAGE(K108:K109)</f>
        <v>#DIV/0!</v>
      </c>
    </row>
    <row r="109" spans="1:12" x14ac:dyDescent="0.25">
      <c r="A109" s="165" t="s">
        <v>279</v>
      </c>
      <c r="B109" s="165" t="s">
        <v>552</v>
      </c>
      <c r="C109" s="165" t="s">
        <v>206</v>
      </c>
      <c r="D109" s="165" t="s">
        <v>210</v>
      </c>
      <c r="E109" s="165">
        <v>32.619999999999997</v>
      </c>
      <c r="F109" s="165"/>
      <c r="G109" s="165" t="s">
        <v>222</v>
      </c>
      <c r="H109" s="165" t="s">
        <v>552</v>
      </c>
      <c r="I109" s="165" t="s">
        <v>206</v>
      </c>
      <c r="J109" s="165" t="s">
        <v>210</v>
      </c>
      <c r="K109" s="165" t="s">
        <v>220</v>
      </c>
      <c r="L109" s="165"/>
    </row>
    <row r="110" spans="1:12" x14ac:dyDescent="0.25">
      <c r="A110" s="165" t="s">
        <v>280</v>
      </c>
      <c r="B110" s="165" t="s">
        <v>205</v>
      </c>
      <c r="C110" s="165" t="s">
        <v>206</v>
      </c>
      <c r="D110" s="165" t="s">
        <v>207</v>
      </c>
      <c r="E110" s="165">
        <v>37.020000000000003</v>
      </c>
      <c r="F110" s="165"/>
      <c r="G110" s="165" t="s">
        <v>223</v>
      </c>
      <c r="H110" s="165" t="s">
        <v>552</v>
      </c>
      <c r="I110" s="165" t="s">
        <v>206</v>
      </c>
      <c r="J110" s="165" t="s">
        <v>210</v>
      </c>
      <c r="K110" s="165">
        <v>27.98</v>
      </c>
      <c r="L110" s="165">
        <f>AVERAGE(K110:K111)</f>
        <v>28</v>
      </c>
    </row>
    <row r="111" spans="1:12" x14ac:dyDescent="0.25">
      <c r="A111" s="165" t="s">
        <v>280</v>
      </c>
      <c r="B111" s="165" t="s">
        <v>552</v>
      </c>
      <c r="C111" s="165" t="s">
        <v>206</v>
      </c>
      <c r="D111" s="165" t="s">
        <v>210</v>
      </c>
      <c r="E111" s="165">
        <v>39.15</v>
      </c>
      <c r="F111" s="165"/>
      <c r="G111" s="165" t="s">
        <v>234</v>
      </c>
      <c r="H111" s="165" t="s">
        <v>552</v>
      </c>
      <c r="I111" s="165" t="s">
        <v>206</v>
      </c>
      <c r="J111" s="165" t="s">
        <v>210</v>
      </c>
      <c r="K111" s="165">
        <v>28.02</v>
      </c>
      <c r="L111" s="165"/>
    </row>
    <row r="112" spans="1:12" x14ac:dyDescent="0.25">
      <c r="A112" s="165" t="s">
        <v>281</v>
      </c>
      <c r="B112" s="165" t="s">
        <v>205</v>
      </c>
      <c r="C112" s="165" t="s">
        <v>206</v>
      </c>
      <c r="D112" s="165" t="s">
        <v>207</v>
      </c>
      <c r="E112" s="165">
        <v>37.56</v>
      </c>
      <c r="F112" s="165"/>
      <c r="G112" s="165" t="s">
        <v>235</v>
      </c>
      <c r="H112" s="165" t="s">
        <v>552</v>
      </c>
      <c r="I112" s="165" t="s">
        <v>206</v>
      </c>
      <c r="J112" s="165" t="s">
        <v>210</v>
      </c>
      <c r="K112" s="165">
        <v>28.31</v>
      </c>
      <c r="L112" s="165">
        <f>AVERAGE(K112:K113)</f>
        <v>28.47</v>
      </c>
    </row>
    <row r="113" spans="1:12" x14ac:dyDescent="0.25">
      <c r="A113" s="165" t="s">
        <v>281</v>
      </c>
      <c r="B113" s="165" t="s">
        <v>552</v>
      </c>
      <c r="C113" s="165" t="s">
        <v>206</v>
      </c>
      <c r="D113" s="165" t="s">
        <v>210</v>
      </c>
      <c r="E113" s="165">
        <v>39.94</v>
      </c>
      <c r="F113" s="165"/>
      <c r="G113" s="165" t="s">
        <v>236</v>
      </c>
      <c r="H113" s="165" t="s">
        <v>552</v>
      </c>
      <c r="I113" s="165" t="s">
        <v>206</v>
      </c>
      <c r="J113" s="165" t="s">
        <v>210</v>
      </c>
      <c r="K113" s="165">
        <v>28.63</v>
      </c>
      <c r="L113" s="165"/>
    </row>
    <row r="114" spans="1:12" x14ac:dyDescent="0.25">
      <c r="A114" s="165" t="s">
        <v>282</v>
      </c>
      <c r="B114" s="165" t="s">
        <v>205</v>
      </c>
      <c r="C114" s="165" t="s">
        <v>206</v>
      </c>
      <c r="D114" s="165" t="s">
        <v>207</v>
      </c>
      <c r="E114" s="165">
        <v>40.880000000000003</v>
      </c>
      <c r="F114" s="165"/>
      <c r="G114" s="165" t="s">
        <v>237</v>
      </c>
      <c r="H114" s="165" t="s">
        <v>552</v>
      </c>
      <c r="I114" s="165" t="s">
        <v>206</v>
      </c>
      <c r="J114" s="165" t="s">
        <v>210</v>
      </c>
      <c r="K114" s="165">
        <v>33.909999999999997</v>
      </c>
      <c r="L114" s="165">
        <f>AVERAGE(K114:K115)</f>
        <v>33.444999999999993</v>
      </c>
    </row>
    <row r="115" spans="1:12" x14ac:dyDescent="0.25">
      <c r="A115" s="165" t="s">
        <v>282</v>
      </c>
      <c r="B115" s="165" t="s">
        <v>552</v>
      </c>
      <c r="C115" s="165" t="s">
        <v>206</v>
      </c>
      <c r="D115" s="165" t="s">
        <v>210</v>
      </c>
      <c r="E115" s="165" t="s">
        <v>220</v>
      </c>
      <c r="F115" s="165"/>
      <c r="G115" s="165" t="s">
        <v>238</v>
      </c>
      <c r="H115" s="165" t="s">
        <v>552</v>
      </c>
      <c r="I115" s="165" t="s">
        <v>206</v>
      </c>
      <c r="J115" s="165" t="s">
        <v>210</v>
      </c>
      <c r="K115" s="165">
        <v>32.979999999999997</v>
      </c>
      <c r="L115" s="165"/>
    </row>
    <row r="116" spans="1:12" x14ac:dyDescent="0.25">
      <c r="A116" s="165" t="s">
        <v>283</v>
      </c>
      <c r="B116" s="165" t="s">
        <v>205</v>
      </c>
      <c r="C116" s="165" t="s">
        <v>206</v>
      </c>
      <c r="D116" s="165" t="s">
        <v>207</v>
      </c>
      <c r="E116" s="165">
        <v>40.28</v>
      </c>
      <c r="F116" s="165"/>
      <c r="G116" s="165" t="s">
        <v>239</v>
      </c>
      <c r="H116" s="165" t="s">
        <v>552</v>
      </c>
      <c r="I116" s="165" t="s">
        <v>206</v>
      </c>
      <c r="J116" s="165" t="s">
        <v>210</v>
      </c>
      <c r="K116" s="165">
        <v>43.68</v>
      </c>
      <c r="L116" s="165">
        <f>AVERAGE(K116:K117)</f>
        <v>43.06</v>
      </c>
    </row>
    <row r="117" spans="1:12" x14ac:dyDescent="0.25">
      <c r="A117" s="165" t="s">
        <v>283</v>
      </c>
      <c r="B117" s="165" t="s">
        <v>552</v>
      </c>
      <c r="C117" s="165" t="s">
        <v>206</v>
      </c>
      <c r="D117" s="165" t="s">
        <v>210</v>
      </c>
      <c r="E117" s="165" t="s">
        <v>220</v>
      </c>
      <c r="F117" s="165"/>
      <c r="G117" s="165" t="s">
        <v>242</v>
      </c>
      <c r="H117" s="165" t="s">
        <v>552</v>
      </c>
      <c r="I117" s="165" t="s">
        <v>206</v>
      </c>
      <c r="J117" s="165" t="s">
        <v>210</v>
      </c>
      <c r="K117" s="165">
        <v>42.44</v>
      </c>
      <c r="L117" s="165"/>
    </row>
    <row r="118" spans="1:12" x14ac:dyDescent="0.25">
      <c r="A118" s="165" t="s">
        <v>284</v>
      </c>
      <c r="B118" s="165" t="s">
        <v>205</v>
      </c>
      <c r="C118" s="165" t="s">
        <v>206</v>
      </c>
      <c r="D118" s="165" t="s">
        <v>207</v>
      </c>
      <c r="E118" s="165">
        <v>40.729999999999997</v>
      </c>
      <c r="F118" s="165"/>
      <c r="G118" s="165" t="s">
        <v>243</v>
      </c>
      <c r="H118" s="165" t="s">
        <v>552</v>
      </c>
      <c r="I118" s="165" t="s">
        <v>206</v>
      </c>
      <c r="J118" s="165" t="s">
        <v>210</v>
      </c>
      <c r="K118" s="165" t="s">
        <v>220</v>
      </c>
      <c r="L118" s="165" t="e">
        <f>AVERAGE(K118:K119)</f>
        <v>#DIV/0!</v>
      </c>
    </row>
    <row r="119" spans="1:12" x14ac:dyDescent="0.25">
      <c r="A119" s="165" t="s">
        <v>284</v>
      </c>
      <c r="B119" s="165" t="s">
        <v>552</v>
      </c>
      <c r="C119" s="165" t="s">
        <v>206</v>
      </c>
      <c r="D119" s="165" t="s">
        <v>210</v>
      </c>
      <c r="E119" s="165" t="s">
        <v>220</v>
      </c>
      <c r="F119" s="165"/>
      <c r="G119" s="165" t="s">
        <v>244</v>
      </c>
      <c r="H119" s="165" t="s">
        <v>552</v>
      </c>
      <c r="I119" s="165" t="s">
        <v>206</v>
      </c>
      <c r="J119" s="165" t="s">
        <v>210</v>
      </c>
      <c r="K119" s="165" t="s">
        <v>220</v>
      </c>
      <c r="L119" s="165"/>
    </row>
    <row r="120" spans="1:12" x14ac:dyDescent="0.25">
      <c r="A120" s="165" t="s">
        <v>285</v>
      </c>
      <c r="B120" s="165" t="s">
        <v>205</v>
      </c>
      <c r="C120" s="165" t="s">
        <v>206</v>
      </c>
      <c r="D120" s="165" t="s">
        <v>207</v>
      </c>
      <c r="E120" s="165">
        <v>40.47</v>
      </c>
      <c r="F120" s="165"/>
      <c r="G120" s="165" t="s">
        <v>245</v>
      </c>
      <c r="H120" s="165" t="s">
        <v>552</v>
      </c>
      <c r="I120" s="165" t="s">
        <v>206</v>
      </c>
      <c r="J120" s="165" t="s">
        <v>210</v>
      </c>
      <c r="K120" s="165" t="s">
        <v>220</v>
      </c>
      <c r="L120" s="165" t="e">
        <f>AVERAGE(K120:K121)</f>
        <v>#DIV/0!</v>
      </c>
    </row>
    <row r="121" spans="1:12" x14ac:dyDescent="0.25">
      <c r="A121" s="165" t="s">
        <v>285</v>
      </c>
      <c r="B121" s="165" t="s">
        <v>552</v>
      </c>
      <c r="C121" s="165" t="s">
        <v>206</v>
      </c>
      <c r="D121" s="165" t="s">
        <v>210</v>
      </c>
      <c r="E121" s="165" t="s">
        <v>220</v>
      </c>
      <c r="F121" s="165"/>
      <c r="G121" s="165" t="s">
        <v>247</v>
      </c>
      <c r="H121" s="165" t="s">
        <v>552</v>
      </c>
      <c r="I121" s="165" t="s">
        <v>206</v>
      </c>
      <c r="J121" s="165" t="s">
        <v>210</v>
      </c>
      <c r="K121" s="165" t="s">
        <v>220</v>
      </c>
      <c r="L121" s="165"/>
    </row>
    <row r="122" spans="1:12" x14ac:dyDescent="0.25">
      <c r="A122" s="165" t="s">
        <v>286</v>
      </c>
      <c r="B122" s="165" t="s">
        <v>205</v>
      </c>
      <c r="C122" s="165" t="s">
        <v>206</v>
      </c>
      <c r="D122" s="165" t="s">
        <v>207</v>
      </c>
      <c r="E122" s="165">
        <v>26.39</v>
      </c>
      <c r="F122" s="165"/>
      <c r="G122" s="165" t="s">
        <v>248</v>
      </c>
      <c r="H122" s="165" t="s">
        <v>552</v>
      </c>
      <c r="I122" s="165" t="s">
        <v>206</v>
      </c>
      <c r="J122" s="165" t="s">
        <v>210</v>
      </c>
      <c r="K122" s="165">
        <v>28.07</v>
      </c>
      <c r="L122" s="165">
        <f>AVERAGE(K122:K123)</f>
        <v>28.08</v>
      </c>
    </row>
    <row r="123" spans="1:12" x14ac:dyDescent="0.25">
      <c r="A123" s="165" t="s">
        <v>286</v>
      </c>
      <c r="B123" s="165" t="s">
        <v>552</v>
      </c>
      <c r="C123" s="165" t="s">
        <v>206</v>
      </c>
      <c r="D123" s="165" t="s">
        <v>210</v>
      </c>
      <c r="E123" s="165">
        <v>28.4</v>
      </c>
      <c r="F123" s="165"/>
      <c r="G123" s="165" t="s">
        <v>249</v>
      </c>
      <c r="H123" s="165" t="s">
        <v>552</v>
      </c>
      <c r="I123" s="165" t="s">
        <v>206</v>
      </c>
      <c r="J123" s="165" t="s">
        <v>210</v>
      </c>
      <c r="K123" s="165">
        <v>28.09</v>
      </c>
      <c r="L123" s="165"/>
    </row>
    <row r="124" spans="1:12" x14ac:dyDescent="0.25">
      <c r="A124" s="165" t="s">
        <v>287</v>
      </c>
      <c r="B124" s="165" t="s">
        <v>205</v>
      </c>
      <c r="C124" s="165" t="s">
        <v>206</v>
      </c>
      <c r="D124" s="165" t="s">
        <v>207</v>
      </c>
      <c r="E124" s="165">
        <v>26.3</v>
      </c>
      <c r="F124" s="165"/>
      <c r="G124" s="165" t="s">
        <v>250</v>
      </c>
      <c r="H124" s="165" t="s">
        <v>552</v>
      </c>
      <c r="I124" s="165" t="s">
        <v>206</v>
      </c>
      <c r="J124" s="165" t="s">
        <v>210</v>
      </c>
      <c r="K124" s="165">
        <v>28.48</v>
      </c>
      <c r="L124" s="165">
        <f>AVERAGE(K124:K125)</f>
        <v>28.585000000000001</v>
      </c>
    </row>
    <row r="125" spans="1:12" x14ac:dyDescent="0.25">
      <c r="A125" s="165" t="s">
        <v>287</v>
      </c>
      <c r="B125" s="165" t="s">
        <v>552</v>
      </c>
      <c r="C125" s="165" t="s">
        <v>206</v>
      </c>
      <c r="D125" s="165" t="s">
        <v>210</v>
      </c>
      <c r="E125" s="165">
        <v>28.47</v>
      </c>
      <c r="F125" s="165"/>
      <c r="G125" s="165" t="s">
        <v>251</v>
      </c>
      <c r="H125" s="165" t="s">
        <v>552</v>
      </c>
      <c r="I125" s="165" t="s">
        <v>206</v>
      </c>
      <c r="J125" s="165" t="s">
        <v>210</v>
      </c>
      <c r="K125" s="165">
        <v>28.69</v>
      </c>
      <c r="L125" s="165"/>
    </row>
    <row r="126" spans="1:12" x14ac:dyDescent="0.25">
      <c r="A126" s="165" t="s">
        <v>288</v>
      </c>
      <c r="B126" s="165" t="s">
        <v>205</v>
      </c>
      <c r="C126" s="165" t="s">
        <v>206</v>
      </c>
      <c r="D126" s="165" t="s">
        <v>207</v>
      </c>
      <c r="E126" s="165">
        <v>27.83</v>
      </c>
      <c r="F126" s="165"/>
      <c r="G126" s="165" t="s">
        <v>252</v>
      </c>
      <c r="H126" s="165" t="s">
        <v>552</v>
      </c>
      <c r="I126" s="165" t="s">
        <v>206</v>
      </c>
      <c r="J126" s="165" t="s">
        <v>210</v>
      </c>
      <c r="K126" s="165">
        <v>33.270000000000003</v>
      </c>
      <c r="L126" s="165">
        <f>AVERAGE(K126:K127)</f>
        <v>33.230000000000004</v>
      </c>
    </row>
    <row r="127" spans="1:12" x14ac:dyDescent="0.25">
      <c r="A127" s="165" t="s">
        <v>288</v>
      </c>
      <c r="B127" s="165" t="s">
        <v>552</v>
      </c>
      <c r="C127" s="165" t="s">
        <v>206</v>
      </c>
      <c r="D127" s="165" t="s">
        <v>210</v>
      </c>
      <c r="E127" s="165">
        <v>28.87</v>
      </c>
      <c r="F127" s="165"/>
      <c r="G127" s="165" t="s">
        <v>253</v>
      </c>
      <c r="H127" s="165" t="s">
        <v>552</v>
      </c>
      <c r="I127" s="165" t="s">
        <v>206</v>
      </c>
      <c r="J127" s="165" t="s">
        <v>210</v>
      </c>
      <c r="K127" s="165">
        <v>33.19</v>
      </c>
      <c r="L127" s="165"/>
    </row>
    <row r="128" spans="1:12" x14ac:dyDescent="0.25">
      <c r="A128" s="165" t="s">
        <v>289</v>
      </c>
      <c r="B128" s="165" t="s">
        <v>205</v>
      </c>
      <c r="C128" s="165" t="s">
        <v>206</v>
      </c>
      <c r="D128" s="165" t="s">
        <v>207</v>
      </c>
      <c r="E128" s="165">
        <v>28.1</v>
      </c>
      <c r="F128" s="165"/>
      <c r="G128" s="165" t="s">
        <v>254</v>
      </c>
      <c r="H128" s="165" t="s">
        <v>552</v>
      </c>
      <c r="I128" s="165" t="s">
        <v>206</v>
      </c>
      <c r="J128" s="165" t="s">
        <v>210</v>
      </c>
      <c r="K128" s="165">
        <v>41.03</v>
      </c>
      <c r="L128" s="165">
        <f>AVERAGE(K128:K129)</f>
        <v>41.44</v>
      </c>
    </row>
    <row r="129" spans="1:12" x14ac:dyDescent="0.25">
      <c r="A129" s="165" t="s">
        <v>289</v>
      </c>
      <c r="B129" s="165" t="s">
        <v>552</v>
      </c>
      <c r="C129" s="165" t="s">
        <v>206</v>
      </c>
      <c r="D129" s="165" t="s">
        <v>210</v>
      </c>
      <c r="E129" s="165">
        <v>29.31</v>
      </c>
      <c r="F129" s="165"/>
      <c r="G129" s="165" t="s">
        <v>255</v>
      </c>
      <c r="H129" s="165" t="s">
        <v>552</v>
      </c>
      <c r="I129" s="165" t="s">
        <v>206</v>
      </c>
      <c r="J129" s="165" t="s">
        <v>210</v>
      </c>
      <c r="K129" s="165">
        <v>41.85</v>
      </c>
      <c r="L129" s="165"/>
    </row>
    <row r="130" spans="1:12" x14ac:dyDescent="0.25">
      <c r="A130" s="165" t="s">
        <v>290</v>
      </c>
      <c r="B130" s="165" t="s">
        <v>205</v>
      </c>
      <c r="C130" s="165" t="s">
        <v>206</v>
      </c>
      <c r="D130" s="165" t="s">
        <v>207</v>
      </c>
      <c r="E130" s="165">
        <v>34.44</v>
      </c>
      <c r="F130" s="165"/>
      <c r="G130" s="165" t="s">
        <v>256</v>
      </c>
      <c r="H130" s="165" t="s">
        <v>552</v>
      </c>
      <c r="I130" s="165" t="s">
        <v>206</v>
      </c>
      <c r="J130" s="165" t="s">
        <v>210</v>
      </c>
      <c r="K130" s="165" t="s">
        <v>220</v>
      </c>
      <c r="L130" s="165" t="e">
        <f>AVERAGE(K130:K131)</f>
        <v>#DIV/0!</v>
      </c>
    </row>
    <row r="131" spans="1:12" x14ac:dyDescent="0.25">
      <c r="A131" s="165" t="s">
        <v>290</v>
      </c>
      <c r="B131" s="165" t="s">
        <v>552</v>
      </c>
      <c r="C131" s="165" t="s">
        <v>206</v>
      </c>
      <c r="D131" s="165" t="s">
        <v>210</v>
      </c>
      <c r="E131" s="165">
        <v>34.76</v>
      </c>
      <c r="F131" s="165"/>
      <c r="G131" s="165" t="s">
        <v>257</v>
      </c>
      <c r="H131" s="165" t="s">
        <v>552</v>
      </c>
      <c r="I131" s="165" t="s">
        <v>206</v>
      </c>
      <c r="J131" s="165" t="s">
        <v>210</v>
      </c>
      <c r="K131" s="165" t="s">
        <v>220</v>
      </c>
      <c r="L131" s="165"/>
    </row>
    <row r="132" spans="1:12" x14ac:dyDescent="0.25">
      <c r="A132" s="165" t="s">
        <v>291</v>
      </c>
      <c r="B132" s="165" t="s">
        <v>205</v>
      </c>
      <c r="C132" s="165" t="s">
        <v>206</v>
      </c>
      <c r="D132" s="165" t="s">
        <v>207</v>
      </c>
      <c r="E132" s="165">
        <v>33.4</v>
      </c>
      <c r="F132" s="165"/>
      <c r="G132" s="165" t="s">
        <v>258</v>
      </c>
      <c r="H132" s="165" t="s">
        <v>552</v>
      </c>
      <c r="I132" s="165" t="s">
        <v>206</v>
      </c>
      <c r="J132" s="165" t="s">
        <v>210</v>
      </c>
      <c r="K132" s="165" t="s">
        <v>220</v>
      </c>
      <c r="L132" s="165" t="e">
        <f>AVERAGE(K132:K133)</f>
        <v>#DIV/0!</v>
      </c>
    </row>
    <row r="133" spans="1:12" x14ac:dyDescent="0.25">
      <c r="A133" s="165" t="s">
        <v>291</v>
      </c>
      <c r="B133" s="165" t="s">
        <v>552</v>
      </c>
      <c r="C133" s="165" t="s">
        <v>206</v>
      </c>
      <c r="D133" s="165" t="s">
        <v>210</v>
      </c>
      <c r="E133" s="165">
        <v>33.36</v>
      </c>
      <c r="F133" s="165"/>
      <c r="G133" s="165" t="s">
        <v>259</v>
      </c>
      <c r="H133" s="165" t="s">
        <v>552</v>
      </c>
      <c r="I133" s="165" t="s">
        <v>206</v>
      </c>
      <c r="J133" s="165" t="s">
        <v>210</v>
      </c>
      <c r="K133" s="165" t="s">
        <v>220</v>
      </c>
      <c r="L133" s="165"/>
    </row>
    <row r="134" spans="1:12" x14ac:dyDescent="0.25">
      <c r="A134" s="165" t="s">
        <v>292</v>
      </c>
      <c r="B134" s="165" t="s">
        <v>205</v>
      </c>
      <c r="C134" s="165" t="s">
        <v>206</v>
      </c>
      <c r="D134" s="165" t="s">
        <v>207</v>
      </c>
      <c r="E134" s="165">
        <v>38.68</v>
      </c>
      <c r="F134" s="165"/>
      <c r="G134" s="165" t="s">
        <v>260</v>
      </c>
      <c r="H134" s="165" t="s">
        <v>552</v>
      </c>
      <c r="I134" s="165" t="s">
        <v>206</v>
      </c>
      <c r="J134" s="165" t="s">
        <v>210</v>
      </c>
      <c r="K134" s="165">
        <v>28.02</v>
      </c>
      <c r="L134" s="165">
        <f>AVERAGE(K134:K135)</f>
        <v>27.975000000000001</v>
      </c>
    </row>
    <row r="135" spans="1:12" x14ac:dyDescent="0.25">
      <c r="A135" s="165" t="s">
        <v>292</v>
      </c>
      <c r="B135" s="165" t="s">
        <v>552</v>
      </c>
      <c r="C135" s="165" t="s">
        <v>206</v>
      </c>
      <c r="D135" s="165" t="s">
        <v>210</v>
      </c>
      <c r="E135" s="165">
        <v>41.73</v>
      </c>
      <c r="F135" s="165"/>
      <c r="G135" s="165" t="s">
        <v>261</v>
      </c>
      <c r="H135" s="165" t="s">
        <v>552</v>
      </c>
      <c r="I135" s="165" t="s">
        <v>206</v>
      </c>
      <c r="J135" s="165" t="s">
        <v>210</v>
      </c>
      <c r="K135" s="165">
        <v>27.93</v>
      </c>
      <c r="L135" s="165"/>
    </row>
    <row r="136" spans="1:12" x14ac:dyDescent="0.25">
      <c r="A136" s="165" t="s">
        <v>293</v>
      </c>
      <c r="B136" s="165" t="s">
        <v>205</v>
      </c>
      <c r="C136" s="165" t="s">
        <v>206</v>
      </c>
      <c r="D136" s="165" t="s">
        <v>207</v>
      </c>
      <c r="E136" s="165">
        <v>37.79</v>
      </c>
      <c r="F136" s="165"/>
      <c r="G136" s="165" t="s">
        <v>262</v>
      </c>
      <c r="H136" s="165" t="s">
        <v>552</v>
      </c>
      <c r="I136" s="165" t="s">
        <v>206</v>
      </c>
      <c r="J136" s="165" t="s">
        <v>210</v>
      </c>
      <c r="K136" s="165">
        <v>28.97</v>
      </c>
      <c r="L136" s="165">
        <f>AVERAGE(K136:K137)</f>
        <v>28.88</v>
      </c>
    </row>
    <row r="137" spans="1:12" x14ac:dyDescent="0.25">
      <c r="A137" s="165" t="s">
        <v>293</v>
      </c>
      <c r="B137" s="165" t="s">
        <v>552</v>
      </c>
      <c r="C137" s="165" t="s">
        <v>206</v>
      </c>
      <c r="D137" s="165" t="s">
        <v>210</v>
      </c>
      <c r="E137" s="165">
        <v>42.11</v>
      </c>
      <c r="F137" s="165"/>
      <c r="G137" s="165" t="s">
        <v>263</v>
      </c>
      <c r="H137" s="165" t="s">
        <v>552</v>
      </c>
      <c r="I137" s="165" t="s">
        <v>206</v>
      </c>
      <c r="J137" s="165" t="s">
        <v>210</v>
      </c>
      <c r="K137" s="165">
        <v>28.79</v>
      </c>
      <c r="L137" s="165"/>
    </row>
    <row r="138" spans="1:12" x14ac:dyDescent="0.25">
      <c r="A138" s="165" t="s">
        <v>294</v>
      </c>
      <c r="B138" s="165" t="s">
        <v>205</v>
      </c>
      <c r="C138" s="165" t="s">
        <v>206</v>
      </c>
      <c r="D138" s="165" t="s">
        <v>207</v>
      </c>
      <c r="E138" s="165">
        <v>40.94</v>
      </c>
      <c r="F138" s="165"/>
      <c r="G138" s="165" t="s">
        <v>264</v>
      </c>
      <c r="H138" s="165" t="s">
        <v>552</v>
      </c>
      <c r="I138" s="165" t="s">
        <v>206</v>
      </c>
      <c r="J138" s="165" t="s">
        <v>210</v>
      </c>
      <c r="K138" s="165">
        <v>33.14</v>
      </c>
      <c r="L138" s="165">
        <f>AVERAGE(K138:K139)</f>
        <v>32.93</v>
      </c>
    </row>
    <row r="139" spans="1:12" x14ac:dyDescent="0.25">
      <c r="A139" s="165" t="s">
        <v>294</v>
      </c>
      <c r="B139" s="165" t="s">
        <v>552</v>
      </c>
      <c r="C139" s="165" t="s">
        <v>206</v>
      </c>
      <c r="D139" s="165" t="s">
        <v>210</v>
      </c>
      <c r="E139" s="165" t="s">
        <v>220</v>
      </c>
      <c r="F139" s="165"/>
      <c r="G139" s="165" t="s">
        <v>265</v>
      </c>
      <c r="H139" s="165" t="s">
        <v>552</v>
      </c>
      <c r="I139" s="165" t="s">
        <v>206</v>
      </c>
      <c r="J139" s="165" t="s">
        <v>210</v>
      </c>
      <c r="K139" s="165">
        <v>32.72</v>
      </c>
      <c r="L139" s="165"/>
    </row>
    <row r="140" spans="1:12" x14ac:dyDescent="0.25">
      <c r="A140" s="165" t="s">
        <v>295</v>
      </c>
      <c r="B140" s="165" t="s">
        <v>205</v>
      </c>
      <c r="C140" s="165" t="s">
        <v>206</v>
      </c>
      <c r="D140" s="165" t="s">
        <v>207</v>
      </c>
      <c r="E140" s="165">
        <v>40.29</v>
      </c>
      <c r="F140" s="165"/>
      <c r="G140" s="165" t="s">
        <v>266</v>
      </c>
      <c r="H140" s="165" t="s">
        <v>552</v>
      </c>
      <c r="I140" s="165" t="s">
        <v>206</v>
      </c>
      <c r="J140" s="165" t="s">
        <v>210</v>
      </c>
      <c r="K140" s="165">
        <v>38.840000000000003</v>
      </c>
      <c r="L140" s="165">
        <f>AVERAGE(K140:K141)</f>
        <v>39.840000000000003</v>
      </c>
    </row>
    <row r="141" spans="1:12" x14ac:dyDescent="0.25">
      <c r="A141" s="165" t="s">
        <v>295</v>
      </c>
      <c r="B141" s="165" t="s">
        <v>552</v>
      </c>
      <c r="C141" s="165" t="s">
        <v>206</v>
      </c>
      <c r="D141" s="165" t="s">
        <v>210</v>
      </c>
      <c r="E141" s="165" t="s">
        <v>220</v>
      </c>
      <c r="F141" s="165"/>
      <c r="G141" s="165" t="s">
        <v>267</v>
      </c>
      <c r="H141" s="165" t="s">
        <v>552</v>
      </c>
      <c r="I141" s="165" t="s">
        <v>206</v>
      </c>
      <c r="J141" s="165" t="s">
        <v>210</v>
      </c>
      <c r="K141" s="165">
        <v>40.840000000000003</v>
      </c>
      <c r="L141" s="165"/>
    </row>
    <row r="142" spans="1:12" x14ac:dyDescent="0.25">
      <c r="A142" s="165" t="s">
        <v>296</v>
      </c>
      <c r="B142" s="165" t="s">
        <v>205</v>
      </c>
      <c r="C142" s="165" t="s">
        <v>206</v>
      </c>
      <c r="D142" s="165" t="s">
        <v>207</v>
      </c>
      <c r="E142" s="165">
        <v>40.42</v>
      </c>
      <c r="F142" s="165"/>
      <c r="G142" s="165" t="s">
        <v>268</v>
      </c>
      <c r="H142" s="165" t="s">
        <v>552</v>
      </c>
      <c r="I142" s="165" t="s">
        <v>206</v>
      </c>
      <c r="J142" s="165" t="s">
        <v>210</v>
      </c>
      <c r="K142" s="165" t="s">
        <v>220</v>
      </c>
      <c r="L142" s="165" t="e">
        <f>AVERAGE(K142:K143)</f>
        <v>#DIV/0!</v>
      </c>
    </row>
    <row r="143" spans="1:12" x14ac:dyDescent="0.25">
      <c r="A143" s="165" t="s">
        <v>296</v>
      </c>
      <c r="B143" s="165" t="s">
        <v>552</v>
      </c>
      <c r="C143" s="165" t="s">
        <v>206</v>
      </c>
      <c r="D143" s="165" t="s">
        <v>210</v>
      </c>
      <c r="E143" s="165" t="s">
        <v>220</v>
      </c>
      <c r="F143" s="165"/>
      <c r="G143" s="165" t="s">
        <v>270</v>
      </c>
      <c r="H143" s="165" t="s">
        <v>552</v>
      </c>
      <c r="I143" s="165" t="s">
        <v>206</v>
      </c>
      <c r="J143" s="165" t="s">
        <v>210</v>
      </c>
      <c r="K143" s="165" t="s">
        <v>220</v>
      </c>
      <c r="L143" s="165"/>
    </row>
    <row r="144" spans="1:12" x14ac:dyDescent="0.25">
      <c r="A144" s="165" t="s">
        <v>297</v>
      </c>
      <c r="B144" s="165" t="s">
        <v>205</v>
      </c>
      <c r="C144" s="165" t="s">
        <v>206</v>
      </c>
      <c r="D144" s="165" t="s">
        <v>207</v>
      </c>
      <c r="E144" s="165">
        <v>40.340000000000003</v>
      </c>
      <c r="F144" s="165"/>
      <c r="G144" s="165" t="s">
        <v>272</v>
      </c>
      <c r="H144" s="165" t="s">
        <v>552</v>
      </c>
      <c r="I144" s="165" t="s">
        <v>206</v>
      </c>
      <c r="J144" s="165" t="s">
        <v>210</v>
      </c>
      <c r="K144" s="165" t="s">
        <v>220</v>
      </c>
      <c r="L144" s="165" t="e">
        <f>AVERAGE(K144:K145)</f>
        <v>#DIV/0!</v>
      </c>
    </row>
    <row r="145" spans="1:12" x14ac:dyDescent="0.25">
      <c r="A145" s="165" t="s">
        <v>297</v>
      </c>
      <c r="B145" s="165" t="s">
        <v>552</v>
      </c>
      <c r="C145" s="165" t="s">
        <v>206</v>
      </c>
      <c r="D145" s="165" t="s">
        <v>210</v>
      </c>
      <c r="E145" s="165" t="s">
        <v>220</v>
      </c>
      <c r="F145" s="165"/>
      <c r="G145" s="165" t="s">
        <v>273</v>
      </c>
      <c r="H145" s="165" t="s">
        <v>552</v>
      </c>
      <c r="I145" s="165" t="s">
        <v>206</v>
      </c>
      <c r="J145" s="165" t="s">
        <v>210</v>
      </c>
      <c r="K145" s="165" t="s">
        <v>220</v>
      </c>
      <c r="L145" s="165"/>
    </row>
    <row r="146" spans="1:12" x14ac:dyDescent="0.25">
      <c r="A146" s="165" t="s">
        <v>298</v>
      </c>
      <c r="B146" s="165" t="s">
        <v>205</v>
      </c>
      <c r="C146" s="165" t="s">
        <v>569</v>
      </c>
      <c r="D146" s="165" t="s">
        <v>207</v>
      </c>
      <c r="E146" s="165">
        <v>32.89</v>
      </c>
      <c r="F146" s="165"/>
      <c r="G146" s="165" t="s">
        <v>274</v>
      </c>
      <c r="H146" s="165" t="s">
        <v>552</v>
      </c>
      <c r="I146" s="165" t="s">
        <v>206</v>
      </c>
      <c r="J146" s="165" t="s">
        <v>210</v>
      </c>
      <c r="K146" s="165">
        <v>28.14</v>
      </c>
      <c r="L146" s="165">
        <f>AVERAGE(K146:K147)</f>
        <v>28.12</v>
      </c>
    </row>
    <row r="147" spans="1:12" x14ac:dyDescent="0.25">
      <c r="A147" s="165" t="s">
        <v>298</v>
      </c>
      <c r="B147" s="165" t="s">
        <v>552</v>
      </c>
      <c r="C147" s="165" t="s">
        <v>206</v>
      </c>
      <c r="D147" s="165" t="s">
        <v>210</v>
      </c>
      <c r="E147" s="165">
        <v>31.57</v>
      </c>
      <c r="F147" s="165"/>
      <c r="G147" s="165" t="s">
        <v>275</v>
      </c>
      <c r="H147" s="165" t="s">
        <v>552</v>
      </c>
      <c r="I147" s="165" t="s">
        <v>206</v>
      </c>
      <c r="J147" s="165" t="s">
        <v>210</v>
      </c>
      <c r="K147" s="165">
        <v>28.1</v>
      </c>
      <c r="L147" s="165"/>
    </row>
    <row r="148" spans="1:12" x14ac:dyDescent="0.25">
      <c r="A148" s="165" t="s">
        <v>299</v>
      </c>
      <c r="B148" s="165" t="s">
        <v>205</v>
      </c>
      <c r="C148" s="165" t="s">
        <v>569</v>
      </c>
      <c r="D148" s="165" t="s">
        <v>207</v>
      </c>
      <c r="E148" s="165">
        <v>33.39</v>
      </c>
      <c r="F148" s="165"/>
      <c r="G148" s="165" t="s">
        <v>276</v>
      </c>
      <c r="H148" s="165" t="s">
        <v>552</v>
      </c>
      <c r="I148" s="165" t="s">
        <v>206</v>
      </c>
      <c r="J148" s="165" t="s">
        <v>210</v>
      </c>
      <c r="K148" s="165">
        <v>29.38</v>
      </c>
      <c r="L148" s="165">
        <f>AVERAGE(K148:K149)</f>
        <v>29.1</v>
      </c>
    </row>
    <row r="149" spans="1:12" x14ac:dyDescent="0.25">
      <c r="A149" s="165" t="s">
        <v>299</v>
      </c>
      <c r="B149" s="165" t="s">
        <v>552</v>
      </c>
      <c r="C149" s="165" t="s">
        <v>206</v>
      </c>
      <c r="D149" s="165" t="s">
        <v>210</v>
      </c>
      <c r="E149" s="165">
        <v>33.020000000000003</v>
      </c>
      <c r="F149" s="165"/>
      <c r="G149" s="165" t="s">
        <v>277</v>
      </c>
      <c r="H149" s="165" t="s">
        <v>552</v>
      </c>
      <c r="I149" s="165" t="s">
        <v>206</v>
      </c>
      <c r="J149" s="165" t="s">
        <v>210</v>
      </c>
      <c r="K149" s="165">
        <v>28.82</v>
      </c>
      <c r="L149" s="165"/>
    </row>
    <row r="150" spans="1:12" x14ac:dyDescent="0.25">
      <c r="A150" s="165" t="s">
        <v>300</v>
      </c>
      <c r="B150" s="165" t="s">
        <v>205</v>
      </c>
      <c r="C150" s="165" t="s">
        <v>569</v>
      </c>
      <c r="D150" s="165" t="s">
        <v>207</v>
      </c>
      <c r="E150" s="165">
        <v>33.4</v>
      </c>
      <c r="F150" s="165"/>
      <c r="G150" s="165" t="s">
        <v>278</v>
      </c>
      <c r="H150" s="165" t="s">
        <v>552</v>
      </c>
      <c r="I150" s="165" t="s">
        <v>206</v>
      </c>
      <c r="J150" s="165" t="s">
        <v>210</v>
      </c>
      <c r="K150" s="165">
        <v>33.340000000000003</v>
      </c>
      <c r="L150" s="165">
        <f>AVERAGE(K150:K151)</f>
        <v>32.980000000000004</v>
      </c>
    </row>
    <row r="151" spans="1:12" x14ac:dyDescent="0.25">
      <c r="A151" s="165" t="s">
        <v>300</v>
      </c>
      <c r="B151" s="165" t="s">
        <v>552</v>
      </c>
      <c r="C151" s="165" t="s">
        <v>206</v>
      </c>
      <c r="D151" s="165" t="s">
        <v>210</v>
      </c>
      <c r="E151" s="165">
        <v>33.909999999999997</v>
      </c>
      <c r="F151" s="165"/>
      <c r="G151" s="165" t="s">
        <v>279</v>
      </c>
      <c r="H151" s="165" t="s">
        <v>552</v>
      </c>
      <c r="I151" s="165" t="s">
        <v>206</v>
      </c>
      <c r="J151" s="165" t="s">
        <v>210</v>
      </c>
      <c r="K151" s="165">
        <v>32.619999999999997</v>
      </c>
      <c r="L151" s="165"/>
    </row>
    <row r="152" spans="1:12" x14ac:dyDescent="0.25">
      <c r="A152" s="165" t="s">
        <v>301</v>
      </c>
      <c r="B152" s="165" t="s">
        <v>205</v>
      </c>
      <c r="C152" s="165" t="s">
        <v>569</v>
      </c>
      <c r="D152" s="165" t="s">
        <v>207</v>
      </c>
      <c r="E152" s="165">
        <v>38.14</v>
      </c>
      <c r="F152" s="165"/>
      <c r="G152" s="165" t="s">
        <v>280</v>
      </c>
      <c r="H152" s="165" t="s">
        <v>552</v>
      </c>
      <c r="I152" s="165" t="s">
        <v>206</v>
      </c>
      <c r="J152" s="165" t="s">
        <v>210</v>
      </c>
      <c r="K152" s="165">
        <v>39.15</v>
      </c>
      <c r="L152" s="165">
        <f>AVERAGE(K152:K153)</f>
        <v>39.545000000000002</v>
      </c>
    </row>
    <row r="153" spans="1:12" x14ac:dyDescent="0.25">
      <c r="A153" s="165" t="s">
        <v>301</v>
      </c>
      <c r="B153" s="165" t="s">
        <v>552</v>
      </c>
      <c r="C153" s="165" t="s">
        <v>206</v>
      </c>
      <c r="D153" s="165" t="s">
        <v>210</v>
      </c>
      <c r="E153" s="165">
        <v>34.61</v>
      </c>
      <c r="F153" s="165"/>
      <c r="G153" s="165" t="s">
        <v>281</v>
      </c>
      <c r="H153" s="165" t="s">
        <v>552</v>
      </c>
      <c r="I153" s="165" t="s">
        <v>206</v>
      </c>
      <c r="J153" s="165" t="s">
        <v>210</v>
      </c>
      <c r="K153" s="165">
        <v>39.94</v>
      </c>
      <c r="L153" s="165"/>
    </row>
    <row r="154" spans="1:12" x14ac:dyDescent="0.25">
      <c r="A154" s="165" t="s">
        <v>302</v>
      </c>
      <c r="B154" s="165" t="s">
        <v>205</v>
      </c>
      <c r="C154" s="165" t="s">
        <v>569</v>
      </c>
      <c r="D154" s="165" t="s">
        <v>207</v>
      </c>
      <c r="E154" s="165">
        <v>38.39</v>
      </c>
      <c r="F154" s="165"/>
      <c r="G154" s="165" t="s">
        <v>282</v>
      </c>
      <c r="H154" s="165" t="s">
        <v>552</v>
      </c>
      <c r="I154" s="165" t="s">
        <v>206</v>
      </c>
      <c r="J154" s="165" t="s">
        <v>210</v>
      </c>
      <c r="K154" s="165" t="s">
        <v>220</v>
      </c>
      <c r="L154" s="165" t="e">
        <f>AVERAGE(K154:K155)</f>
        <v>#DIV/0!</v>
      </c>
    </row>
    <row r="155" spans="1:12" x14ac:dyDescent="0.25">
      <c r="A155" s="165" t="s">
        <v>302</v>
      </c>
      <c r="B155" s="165" t="s">
        <v>552</v>
      </c>
      <c r="C155" s="165" t="s">
        <v>206</v>
      </c>
      <c r="D155" s="165" t="s">
        <v>210</v>
      </c>
      <c r="E155" s="165">
        <v>35.4</v>
      </c>
      <c r="F155" s="165"/>
      <c r="G155" s="165" t="s">
        <v>283</v>
      </c>
      <c r="H155" s="165" t="s">
        <v>552</v>
      </c>
      <c r="I155" s="165" t="s">
        <v>206</v>
      </c>
      <c r="J155" s="165" t="s">
        <v>210</v>
      </c>
      <c r="K155" s="165" t="s">
        <v>220</v>
      </c>
      <c r="L155" s="165"/>
    </row>
    <row r="156" spans="1:12" x14ac:dyDescent="0.25">
      <c r="A156" s="165" t="s">
        <v>303</v>
      </c>
      <c r="B156" s="165" t="s">
        <v>205</v>
      </c>
      <c r="C156" s="165" t="s">
        <v>569</v>
      </c>
      <c r="D156" s="165" t="s">
        <v>207</v>
      </c>
      <c r="E156" s="165">
        <v>38.22</v>
      </c>
      <c r="F156" s="165"/>
      <c r="G156" s="165" t="s">
        <v>284</v>
      </c>
      <c r="H156" s="165" t="s">
        <v>552</v>
      </c>
      <c r="I156" s="165" t="s">
        <v>206</v>
      </c>
      <c r="J156" s="165" t="s">
        <v>210</v>
      </c>
      <c r="K156" s="165" t="s">
        <v>220</v>
      </c>
      <c r="L156" s="165" t="e">
        <f>AVERAGE(K156:K157)</f>
        <v>#DIV/0!</v>
      </c>
    </row>
    <row r="157" spans="1:12" x14ac:dyDescent="0.25">
      <c r="A157" s="165" t="s">
        <v>303</v>
      </c>
      <c r="B157" s="165" t="s">
        <v>552</v>
      </c>
      <c r="C157" s="165" t="s">
        <v>206</v>
      </c>
      <c r="D157" s="165" t="s">
        <v>210</v>
      </c>
      <c r="E157" s="165">
        <v>35.4</v>
      </c>
      <c r="F157" s="165"/>
      <c r="G157" s="165" t="s">
        <v>285</v>
      </c>
      <c r="H157" s="165" t="s">
        <v>552</v>
      </c>
      <c r="I157" s="165" t="s">
        <v>206</v>
      </c>
      <c r="J157" s="165" t="s">
        <v>210</v>
      </c>
      <c r="K157" s="165" t="s">
        <v>220</v>
      </c>
      <c r="L157" s="165"/>
    </row>
    <row r="158" spans="1:12" x14ac:dyDescent="0.25">
      <c r="A158" s="165" t="s">
        <v>304</v>
      </c>
      <c r="B158" s="165" t="s">
        <v>205</v>
      </c>
      <c r="C158" s="165" t="s">
        <v>569</v>
      </c>
      <c r="D158" s="165" t="s">
        <v>207</v>
      </c>
      <c r="E158" s="165">
        <v>39.369999999999997</v>
      </c>
      <c r="F158" s="165"/>
      <c r="G158" s="165" t="s">
        <v>286</v>
      </c>
      <c r="H158" s="165" t="s">
        <v>552</v>
      </c>
      <c r="I158" s="165" t="s">
        <v>206</v>
      </c>
      <c r="J158" s="165" t="s">
        <v>210</v>
      </c>
      <c r="K158" s="165">
        <v>28.4</v>
      </c>
      <c r="L158" s="165">
        <f>AVERAGE(K158:K159)</f>
        <v>28.434999999999999</v>
      </c>
    </row>
    <row r="159" spans="1:12" x14ac:dyDescent="0.25">
      <c r="A159" s="165" t="s">
        <v>304</v>
      </c>
      <c r="B159" s="165" t="s">
        <v>552</v>
      </c>
      <c r="C159" s="165" t="s">
        <v>206</v>
      </c>
      <c r="D159" s="165" t="s">
        <v>210</v>
      </c>
      <c r="E159" s="165">
        <v>35.11</v>
      </c>
      <c r="F159" s="165"/>
      <c r="G159" s="165" t="s">
        <v>287</v>
      </c>
      <c r="H159" s="165" t="s">
        <v>552</v>
      </c>
      <c r="I159" s="165" t="s">
        <v>206</v>
      </c>
      <c r="J159" s="165" t="s">
        <v>210</v>
      </c>
      <c r="K159" s="165">
        <v>28.47</v>
      </c>
      <c r="L159" s="165"/>
    </row>
    <row r="160" spans="1:12" x14ac:dyDescent="0.25">
      <c r="A160" s="165" t="s">
        <v>305</v>
      </c>
      <c r="B160" s="165" t="s">
        <v>205</v>
      </c>
      <c r="C160" s="165" t="s">
        <v>569</v>
      </c>
      <c r="D160" s="165" t="s">
        <v>207</v>
      </c>
      <c r="E160" s="165">
        <v>39.5</v>
      </c>
      <c r="F160" s="165"/>
      <c r="G160" s="165" t="s">
        <v>288</v>
      </c>
      <c r="H160" s="165" t="s">
        <v>552</v>
      </c>
      <c r="I160" s="165" t="s">
        <v>206</v>
      </c>
      <c r="J160" s="165" t="s">
        <v>210</v>
      </c>
      <c r="K160" s="165">
        <v>28.87</v>
      </c>
      <c r="L160" s="165">
        <f>AVERAGE(K160:K161)</f>
        <v>29.09</v>
      </c>
    </row>
    <row r="161" spans="1:12" x14ac:dyDescent="0.25">
      <c r="A161" s="165" t="s">
        <v>305</v>
      </c>
      <c r="B161" s="165" t="s">
        <v>552</v>
      </c>
      <c r="C161" s="165" t="s">
        <v>206</v>
      </c>
      <c r="D161" s="165" t="s">
        <v>210</v>
      </c>
      <c r="E161" s="165">
        <v>35.450000000000003</v>
      </c>
      <c r="F161" s="165"/>
      <c r="G161" s="165" t="s">
        <v>289</v>
      </c>
      <c r="H161" s="165" t="s">
        <v>552</v>
      </c>
      <c r="I161" s="165" t="s">
        <v>206</v>
      </c>
      <c r="J161" s="165" t="s">
        <v>210</v>
      </c>
      <c r="K161" s="165">
        <v>29.31</v>
      </c>
      <c r="L161" s="165"/>
    </row>
    <row r="162" spans="1:12" x14ac:dyDescent="0.25">
      <c r="A162" s="165" t="s">
        <v>306</v>
      </c>
      <c r="B162" s="165" t="s">
        <v>205</v>
      </c>
      <c r="C162" s="165" t="s">
        <v>569</v>
      </c>
      <c r="D162" s="165" t="s">
        <v>207</v>
      </c>
      <c r="E162" s="165">
        <v>39.54</v>
      </c>
      <c r="F162" s="165"/>
      <c r="G162" s="165" t="s">
        <v>290</v>
      </c>
      <c r="H162" s="165" t="s">
        <v>552</v>
      </c>
      <c r="I162" s="165" t="s">
        <v>206</v>
      </c>
      <c r="J162" s="165" t="s">
        <v>210</v>
      </c>
      <c r="K162" s="165">
        <v>34.76</v>
      </c>
      <c r="L162" s="165">
        <f>AVERAGE(K162:K163)</f>
        <v>34.06</v>
      </c>
    </row>
    <row r="163" spans="1:12" x14ac:dyDescent="0.25">
      <c r="A163" s="165" t="s">
        <v>306</v>
      </c>
      <c r="B163" s="165" t="s">
        <v>552</v>
      </c>
      <c r="C163" s="165" t="s">
        <v>206</v>
      </c>
      <c r="D163" s="165" t="s">
        <v>210</v>
      </c>
      <c r="E163" s="165">
        <v>36.61</v>
      </c>
      <c r="F163" s="165"/>
      <c r="G163" s="165" t="s">
        <v>291</v>
      </c>
      <c r="H163" s="165" t="s">
        <v>552</v>
      </c>
      <c r="I163" s="165" t="s">
        <v>206</v>
      </c>
      <c r="J163" s="165" t="s">
        <v>210</v>
      </c>
      <c r="K163" s="165">
        <v>33.36</v>
      </c>
      <c r="L163" s="165"/>
    </row>
    <row r="164" spans="1:12" x14ac:dyDescent="0.25">
      <c r="A164" s="165" t="s">
        <v>307</v>
      </c>
      <c r="B164" s="165" t="s">
        <v>205</v>
      </c>
      <c r="C164" s="165" t="s">
        <v>569</v>
      </c>
      <c r="D164" s="165" t="s">
        <v>207</v>
      </c>
      <c r="E164" s="165">
        <v>40.380000000000003</v>
      </c>
      <c r="F164" s="165"/>
      <c r="G164" s="165" t="s">
        <v>292</v>
      </c>
      <c r="H164" s="165" t="s">
        <v>552</v>
      </c>
      <c r="I164" s="165" t="s">
        <v>206</v>
      </c>
      <c r="J164" s="165" t="s">
        <v>210</v>
      </c>
      <c r="K164" s="165">
        <v>41.73</v>
      </c>
      <c r="L164" s="165">
        <f>AVERAGE(K164:K165)</f>
        <v>41.92</v>
      </c>
    </row>
    <row r="165" spans="1:12" x14ac:dyDescent="0.25">
      <c r="A165" s="165" t="s">
        <v>307</v>
      </c>
      <c r="B165" s="165" t="s">
        <v>552</v>
      </c>
      <c r="C165" s="165" t="s">
        <v>206</v>
      </c>
      <c r="D165" s="165" t="s">
        <v>210</v>
      </c>
      <c r="E165" s="165">
        <v>35.22</v>
      </c>
      <c r="F165" s="165"/>
      <c r="G165" s="165" t="s">
        <v>293</v>
      </c>
      <c r="H165" s="165" t="s">
        <v>552</v>
      </c>
      <c r="I165" s="165" t="s">
        <v>206</v>
      </c>
      <c r="J165" s="165" t="s">
        <v>210</v>
      </c>
      <c r="K165" s="165">
        <v>42.11</v>
      </c>
      <c r="L165" s="165"/>
    </row>
    <row r="166" spans="1:12" x14ac:dyDescent="0.25">
      <c r="A166" s="165" t="s">
        <v>308</v>
      </c>
      <c r="B166" s="165" t="s">
        <v>205</v>
      </c>
      <c r="C166" s="165" t="s">
        <v>569</v>
      </c>
      <c r="D166" s="165" t="s">
        <v>207</v>
      </c>
      <c r="E166" s="165">
        <v>40.72</v>
      </c>
      <c r="F166" s="165"/>
      <c r="G166" s="165" t="s">
        <v>294</v>
      </c>
      <c r="H166" s="165" t="s">
        <v>552</v>
      </c>
      <c r="I166" s="165" t="s">
        <v>206</v>
      </c>
      <c r="J166" s="165" t="s">
        <v>210</v>
      </c>
      <c r="K166" s="165" t="s">
        <v>220</v>
      </c>
      <c r="L166" s="165" t="e">
        <f>AVERAGE(K166:K167)</f>
        <v>#DIV/0!</v>
      </c>
    </row>
    <row r="167" spans="1:12" x14ac:dyDescent="0.25">
      <c r="A167" s="165" t="s">
        <v>308</v>
      </c>
      <c r="B167" s="165" t="s">
        <v>552</v>
      </c>
      <c r="C167" s="165" t="s">
        <v>206</v>
      </c>
      <c r="D167" s="165" t="s">
        <v>210</v>
      </c>
      <c r="E167" s="165">
        <v>36.01</v>
      </c>
      <c r="F167" s="165"/>
      <c r="G167" s="165" t="s">
        <v>295</v>
      </c>
      <c r="H167" s="165" t="s">
        <v>552</v>
      </c>
      <c r="I167" s="165" t="s">
        <v>206</v>
      </c>
      <c r="J167" s="165" t="s">
        <v>210</v>
      </c>
      <c r="K167" s="165" t="s">
        <v>220</v>
      </c>
      <c r="L167" s="165"/>
    </row>
    <row r="168" spans="1:12" x14ac:dyDescent="0.25">
      <c r="A168" s="165" t="s">
        <v>309</v>
      </c>
      <c r="B168" s="165" t="s">
        <v>205</v>
      </c>
      <c r="C168" s="165" t="s">
        <v>569</v>
      </c>
      <c r="D168" s="165" t="s">
        <v>207</v>
      </c>
      <c r="E168" s="165">
        <v>40.479999999999997</v>
      </c>
      <c r="F168" s="165"/>
      <c r="G168" s="165" t="s">
        <v>296</v>
      </c>
      <c r="H168" s="165" t="s">
        <v>552</v>
      </c>
      <c r="I168" s="165" t="s">
        <v>206</v>
      </c>
      <c r="J168" s="165" t="s">
        <v>210</v>
      </c>
      <c r="K168" s="165" t="s">
        <v>220</v>
      </c>
      <c r="L168" s="165" t="e">
        <f>AVERAGE(K168:K169)</f>
        <v>#DIV/0!</v>
      </c>
    </row>
    <row r="169" spans="1:12" x14ac:dyDescent="0.25">
      <c r="A169" s="165" t="s">
        <v>309</v>
      </c>
      <c r="B169" s="165" t="s">
        <v>552</v>
      </c>
      <c r="C169" s="165" t="s">
        <v>206</v>
      </c>
      <c r="D169" s="165" t="s">
        <v>210</v>
      </c>
      <c r="E169" s="165">
        <v>36.18</v>
      </c>
      <c r="F169" s="165"/>
      <c r="G169" s="165" t="s">
        <v>297</v>
      </c>
      <c r="H169" s="165" t="s">
        <v>552</v>
      </c>
      <c r="I169" s="165" t="s">
        <v>206</v>
      </c>
      <c r="J169" s="165" t="s">
        <v>210</v>
      </c>
      <c r="K169" s="165" t="s">
        <v>220</v>
      </c>
      <c r="L169" s="165"/>
    </row>
    <row r="170" spans="1:12" x14ac:dyDescent="0.25">
      <c r="A170" s="165" t="s">
        <v>310</v>
      </c>
      <c r="B170" s="165" t="s">
        <v>205</v>
      </c>
      <c r="C170" s="165" t="s">
        <v>569</v>
      </c>
      <c r="D170" s="165" t="s">
        <v>207</v>
      </c>
      <c r="E170" s="165">
        <v>41.28</v>
      </c>
      <c r="F170" s="165"/>
      <c r="G170" s="165" t="s">
        <v>298</v>
      </c>
      <c r="H170" s="165" t="s">
        <v>552</v>
      </c>
      <c r="I170" s="165" t="s">
        <v>206</v>
      </c>
      <c r="J170" s="165" t="s">
        <v>210</v>
      </c>
      <c r="K170" s="165">
        <v>31.57</v>
      </c>
      <c r="L170" s="165">
        <f>AVERAGE(K170:K172)</f>
        <v>32.833333333333336</v>
      </c>
    </row>
    <row r="171" spans="1:12" x14ac:dyDescent="0.25">
      <c r="A171" s="165" t="s">
        <v>310</v>
      </c>
      <c r="B171" s="165" t="s">
        <v>552</v>
      </c>
      <c r="C171" s="165" t="s">
        <v>206</v>
      </c>
      <c r="D171" s="165" t="s">
        <v>210</v>
      </c>
      <c r="E171" s="165">
        <v>34.99</v>
      </c>
      <c r="F171" s="165"/>
      <c r="G171" s="165" t="s">
        <v>299</v>
      </c>
      <c r="H171" s="165" t="s">
        <v>552</v>
      </c>
      <c r="I171" s="165" t="s">
        <v>206</v>
      </c>
      <c r="J171" s="165" t="s">
        <v>210</v>
      </c>
      <c r="K171" s="165">
        <v>33.020000000000003</v>
      </c>
      <c r="L171" s="165"/>
    </row>
    <row r="172" spans="1:12" x14ac:dyDescent="0.25">
      <c r="A172" s="165" t="s">
        <v>311</v>
      </c>
      <c r="B172" s="165" t="s">
        <v>205</v>
      </c>
      <c r="C172" s="165" t="s">
        <v>569</v>
      </c>
      <c r="D172" s="165" t="s">
        <v>207</v>
      </c>
      <c r="E172" s="165">
        <v>41.27</v>
      </c>
      <c r="F172" s="165"/>
      <c r="G172" s="165" t="s">
        <v>300</v>
      </c>
      <c r="H172" s="165" t="s">
        <v>552</v>
      </c>
      <c r="I172" s="165" t="s">
        <v>206</v>
      </c>
      <c r="J172" s="165" t="s">
        <v>210</v>
      </c>
      <c r="K172" s="165">
        <v>33.909999999999997</v>
      </c>
      <c r="L172" s="165"/>
    </row>
    <row r="173" spans="1:12" x14ac:dyDescent="0.25">
      <c r="A173" s="165" t="s">
        <v>311</v>
      </c>
      <c r="B173" s="165" t="s">
        <v>552</v>
      </c>
      <c r="C173" s="165" t="s">
        <v>206</v>
      </c>
      <c r="D173" s="165" t="s">
        <v>210</v>
      </c>
      <c r="E173" s="165">
        <v>35.79</v>
      </c>
      <c r="F173" s="165"/>
      <c r="G173" s="165" t="s">
        <v>301</v>
      </c>
      <c r="H173" s="165" t="s">
        <v>552</v>
      </c>
      <c r="I173" s="165" t="s">
        <v>206</v>
      </c>
      <c r="J173" s="165" t="s">
        <v>210</v>
      </c>
      <c r="K173" s="165">
        <v>34.61</v>
      </c>
      <c r="L173" s="165">
        <f>AVERAGE(K173:K175)</f>
        <v>35.136666666666663</v>
      </c>
    </row>
    <row r="174" spans="1:12" x14ac:dyDescent="0.25">
      <c r="A174" s="165" t="s">
        <v>312</v>
      </c>
      <c r="B174" s="165" t="s">
        <v>205</v>
      </c>
      <c r="C174" s="165" t="s">
        <v>569</v>
      </c>
      <c r="D174" s="165" t="s">
        <v>207</v>
      </c>
      <c r="E174" s="165">
        <v>40.520000000000003</v>
      </c>
      <c r="F174" s="165"/>
      <c r="G174" s="165" t="s">
        <v>302</v>
      </c>
      <c r="H174" s="165" t="s">
        <v>552</v>
      </c>
      <c r="I174" s="165" t="s">
        <v>206</v>
      </c>
      <c r="J174" s="165" t="s">
        <v>210</v>
      </c>
      <c r="K174" s="165">
        <v>35.4</v>
      </c>
      <c r="L174" s="165"/>
    </row>
    <row r="175" spans="1:12" x14ac:dyDescent="0.25">
      <c r="A175" s="165" t="s">
        <v>312</v>
      </c>
      <c r="B175" s="165" t="s">
        <v>552</v>
      </c>
      <c r="C175" s="165" t="s">
        <v>206</v>
      </c>
      <c r="D175" s="165" t="s">
        <v>210</v>
      </c>
      <c r="E175" s="165">
        <v>33.83</v>
      </c>
      <c r="F175" s="165"/>
      <c r="G175" s="165" t="s">
        <v>303</v>
      </c>
      <c r="H175" s="165" t="s">
        <v>552</v>
      </c>
      <c r="I175" s="165" t="s">
        <v>206</v>
      </c>
      <c r="J175" s="165" t="s">
        <v>210</v>
      </c>
      <c r="K175" s="165">
        <v>35.4</v>
      </c>
      <c r="L175" s="165"/>
    </row>
    <row r="176" spans="1:12" x14ac:dyDescent="0.25">
      <c r="A176" s="165" t="s">
        <v>313</v>
      </c>
      <c r="B176" s="165" t="s">
        <v>205</v>
      </c>
      <c r="C176" s="165" t="s">
        <v>569</v>
      </c>
      <c r="D176" s="165" t="s">
        <v>207</v>
      </c>
      <c r="E176" s="165">
        <v>43.56</v>
      </c>
      <c r="F176" s="165"/>
      <c r="G176" s="165" t="s">
        <v>304</v>
      </c>
      <c r="H176" s="165" t="s">
        <v>552</v>
      </c>
      <c r="I176" s="165" t="s">
        <v>206</v>
      </c>
      <c r="J176" s="165" t="s">
        <v>210</v>
      </c>
      <c r="K176" s="165">
        <v>35.11</v>
      </c>
      <c r="L176" s="165">
        <f>AVERAGE(K176:K178)</f>
        <v>35.723333333333336</v>
      </c>
    </row>
    <row r="177" spans="1:12" x14ac:dyDescent="0.25">
      <c r="A177" s="165" t="s">
        <v>313</v>
      </c>
      <c r="B177" s="165" t="s">
        <v>552</v>
      </c>
      <c r="C177" s="165" t="s">
        <v>206</v>
      </c>
      <c r="D177" s="165" t="s">
        <v>210</v>
      </c>
      <c r="E177" s="165">
        <v>35.78</v>
      </c>
      <c r="F177" s="165"/>
      <c r="G177" s="165" t="s">
        <v>305</v>
      </c>
      <c r="H177" s="165" t="s">
        <v>552</v>
      </c>
      <c r="I177" s="165" t="s">
        <v>206</v>
      </c>
      <c r="J177" s="165" t="s">
        <v>210</v>
      </c>
      <c r="K177" s="165">
        <v>35.450000000000003</v>
      </c>
      <c r="L177" s="165"/>
    </row>
    <row r="178" spans="1:12" x14ac:dyDescent="0.25">
      <c r="A178" s="165" t="s">
        <v>314</v>
      </c>
      <c r="B178" s="165" t="s">
        <v>205</v>
      </c>
      <c r="C178" s="165" t="s">
        <v>569</v>
      </c>
      <c r="D178" s="165" t="s">
        <v>207</v>
      </c>
      <c r="E178" s="165">
        <v>43.29</v>
      </c>
      <c r="F178" s="165"/>
      <c r="G178" s="165" t="s">
        <v>306</v>
      </c>
      <c r="H178" s="165" t="s">
        <v>552</v>
      </c>
      <c r="I178" s="165" t="s">
        <v>206</v>
      </c>
      <c r="J178" s="165" t="s">
        <v>210</v>
      </c>
      <c r="K178" s="165">
        <v>36.61</v>
      </c>
      <c r="L178" s="165"/>
    </row>
    <row r="179" spans="1:12" x14ac:dyDescent="0.25">
      <c r="A179" s="165" t="s">
        <v>314</v>
      </c>
      <c r="B179" s="165" t="s">
        <v>552</v>
      </c>
      <c r="C179" s="165" t="s">
        <v>206</v>
      </c>
      <c r="D179" s="165" t="s">
        <v>210</v>
      </c>
      <c r="E179" s="165">
        <v>36.090000000000003</v>
      </c>
      <c r="F179" s="165"/>
      <c r="G179" s="165" t="s">
        <v>307</v>
      </c>
      <c r="H179" s="165" t="s">
        <v>552</v>
      </c>
      <c r="I179" s="165" t="s">
        <v>206</v>
      </c>
      <c r="J179" s="165" t="s">
        <v>210</v>
      </c>
      <c r="K179" s="165">
        <v>35.22</v>
      </c>
      <c r="L179" s="165">
        <f>AVERAGE(K179:K181)</f>
        <v>35.803333333333335</v>
      </c>
    </row>
    <row r="180" spans="1:12" x14ac:dyDescent="0.25">
      <c r="A180" s="165" t="s">
        <v>315</v>
      </c>
      <c r="B180" s="165" t="s">
        <v>205</v>
      </c>
      <c r="C180" s="165" t="s">
        <v>569</v>
      </c>
      <c r="D180" s="165" t="s">
        <v>207</v>
      </c>
      <c r="E180" s="165">
        <v>43.71</v>
      </c>
      <c r="F180" s="165"/>
      <c r="G180" s="165" t="s">
        <v>308</v>
      </c>
      <c r="H180" s="165" t="s">
        <v>552</v>
      </c>
      <c r="I180" s="165" t="s">
        <v>206</v>
      </c>
      <c r="J180" s="165" t="s">
        <v>210</v>
      </c>
      <c r="K180" s="165">
        <v>36.01</v>
      </c>
      <c r="L180" s="165"/>
    </row>
    <row r="181" spans="1:12" x14ac:dyDescent="0.25">
      <c r="A181" s="165" t="s">
        <v>315</v>
      </c>
      <c r="B181" s="165" t="s">
        <v>552</v>
      </c>
      <c r="C181" s="165" t="s">
        <v>206</v>
      </c>
      <c r="D181" s="165" t="s">
        <v>210</v>
      </c>
      <c r="E181" s="165">
        <v>36.11</v>
      </c>
      <c r="F181" s="165"/>
      <c r="G181" s="165" t="s">
        <v>309</v>
      </c>
      <c r="H181" s="165" t="s">
        <v>552</v>
      </c>
      <c r="I181" s="165" t="s">
        <v>206</v>
      </c>
      <c r="J181" s="165" t="s">
        <v>210</v>
      </c>
      <c r="K181" s="165">
        <v>36.18</v>
      </c>
      <c r="L181" s="165"/>
    </row>
    <row r="182" spans="1:12" x14ac:dyDescent="0.25">
      <c r="A182" s="165" t="s">
        <v>316</v>
      </c>
      <c r="B182" s="165" t="s">
        <v>205</v>
      </c>
      <c r="C182" s="165" t="s">
        <v>569</v>
      </c>
      <c r="D182" s="165" t="s">
        <v>207</v>
      </c>
      <c r="E182" s="165" t="s">
        <v>220</v>
      </c>
      <c r="F182" s="165"/>
      <c r="G182" s="165" t="s">
        <v>310</v>
      </c>
      <c r="H182" s="165" t="s">
        <v>552</v>
      </c>
      <c r="I182" s="165" t="s">
        <v>206</v>
      </c>
      <c r="J182" s="165" t="s">
        <v>210</v>
      </c>
      <c r="K182" s="165">
        <v>34.99</v>
      </c>
      <c r="L182" s="165">
        <f>AVERAGE(K182:K184)</f>
        <v>34.869999999999997</v>
      </c>
    </row>
    <row r="183" spans="1:12" x14ac:dyDescent="0.25">
      <c r="A183" s="165" t="s">
        <v>316</v>
      </c>
      <c r="B183" s="165" t="s">
        <v>552</v>
      </c>
      <c r="C183" s="165" t="s">
        <v>206</v>
      </c>
      <c r="D183" s="165" t="s">
        <v>210</v>
      </c>
      <c r="E183" s="165">
        <v>35.19</v>
      </c>
      <c r="F183" s="165"/>
      <c r="G183" s="165" t="s">
        <v>311</v>
      </c>
      <c r="H183" s="165" t="s">
        <v>552</v>
      </c>
      <c r="I183" s="165" t="s">
        <v>206</v>
      </c>
      <c r="J183" s="165" t="s">
        <v>210</v>
      </c>
      <c r="K183" s="165">
        <v>35.79</v>
      </c>
      <c r="L183" s="165"/>
    </row>
    <row r="184" spans="1:12" x14ac:dyDescent="0.25">
      <c r="A184" s="165" t="s">
        <v>317</v>
      </c>
      <c r="B184" s="165" t="s">
        <v>205</v>
      </c>
      <c r="C184" s="165" t="s">
        <v>569</v>
      </c>
      <c r="D184" s="165" t="s">
        <v>207</v>
      </c>
      <c r="E184" s="165">
        <v>43.52</v>
      </c>
      <c r="F184" s="165"/>
      <c r="G184" s="165" t="s">
        <v>312</v>
      </c>
      <c r="H184" s="165" t="s">
        <v>552</v>
      </c>
      <c r="I184" s="165" t="s">
        <v>206</v>
      </c>
      <c r="J184" s="165" t="s">
        <v>210</v>
      </c>
      <c r="K184" s="165">
        <v>33.83</v>
      </c>
      <c r="L184" s="165"/>
    </row>
    <row r="185" spans="1:12" x14ac:dyDescent="0.25">
      <c r="A185" s="165" t="s">
        <v>317</v>
      </c>
      <c r="B185" s="165" t="s">
        <v>552</v>
      </c>
      <c r="C185" s="165" t="s">
        <v>206</v>
      </c>
      <c r="D185" s="165" t="s">
        <v>210</v>
      </c>
      <c r="E185" s="165">
        <v>35.869999999999997</v>
      </c>
      <c r="F185" s="165"/>
      <c r="G185" s="165" t="s">
        <v>313</v>
      </c>
      <c r="H185" s="165" t="s">
        <v>552</v>
      </c>
      <c r="I185" s="165" t="s">
        <v>206</v>
      </c>
      <c r="J185" s="165" t="s">
        <v>210</v>
      </c>
      <c r="K185" s="165">
        <v>35.78</v>
      </c>
      <c r="L185" s="165">
        <f>AVERAGE(K185:K187)</f>
        <v>35.993333333333332</v>
      </c>
    </row>
    <row r="186" spans="1:12" x14ac:dyDescent="0.25">
      <c r="A186" s="165" t="s">
        <v>318</v>
      </c>
      <c r="B186" s="165" t="s">
        <v>205</v>
      </c>
      <c r="C186" s="165" t="s">
        <v>569</v>
      </c>
      <c r="D186" s="165" t="s">
        <v>207</v>
      </c>
      <c r="E186" s="165" t="s">
        <v>220</v>
      </c>
      <c r="F186" s="165"/>
      <c r="G186" s="165" t="s">
        <v>314</v>
      </c>
      <c r="H186" s="165" t="s">
        <v>552</v>
      </c>
      <c r="I186" s="165" t="s">
        <v>206</v>
      </c>
      <c r="J186" s="165" t="s">
        <v>210</v>
      </c>
      <c r="K186" s="165">
        <v>36.090000000000003</v>
      </c>
      <c r="L186" s="165"/>
    </row>
    <row r="187" spans="1:12" x14ac:dyDescent="0.25">
      <c r="A187" s="165" t="s">
        <v>318</v>
      </c>
      <c r="B187" s="165" t="s">
        <v>552</v>
      </c>
      <c r="C187" s="165" t="s">
        <v>206</v>
      </c>
      <c r="D187" s="165" t="s">
        <v>210</v>
      </c>
      <c r="E187" s="165">
        <v>37.270000000000003</v>
      </c>
      <c r="F187" s="165"/>
      <c r="G187" s="165" t="s">
        <v>315</v>
      </c>
      <c r="H187" s="165" t="s">
        <v>552</v>
      </c>
      <c r="I187" s="165" t="s">
        <v>206</v>
      </c>
      <c r="J187" s="165" t="s">
        <v>210</v>
      </c>
      <c r="K187" s="165">
        <v>36.11</v>
      </c>
      <c r="L187" s="165"/>
    </row>
    <row r="188" spans="1:12" x14ac:dyDescent="0.25">
      <c r="A188" s="165" t="s">
        <v>319</v>
      </c>
      <c r="B188" s="165" t="s">
        <v>205</v>
      </c>
      <c r="C188" s="165" t="s">
        <v>320</v>
      </c>
      <c r="D188" s="165" t="s">
        <v>207</v>
      </c>
      <c r="E188" s="165" t="s">
        <v>220</v>
      </c>
      <c r="F188" s="165"/>
      <c r="G188" s="165" t="s">
        <v>316</v>
      </c>
      <c r="H188" s="165" t="s">
        <v>552</v>
      </c>
      <c r="I188" s="165" t="s">
        <v>206</v>
      </c>
      <c r="J188" s="165" t="s">
        <v>210</v>
      </c>
      <c r="K188" s="165">
        <v>35.19</v>
      </c>
      <c r="L188" s="165">
        <f>AVERAGE(K188:K190)</f>
        <v>36.110000000000007</v>
      </c>
    </row>
    <row r="189" spans="1:12" x14ac:dyDescent="0.25">
      <c r="A189" s="165" t="s">
        <v>319</v>
      </c>
      <c r="B189" s="165" t="s">
        <v>552</v>
      </c>
      <c r="C189" s="165" t="s">
        <v>206</v>
      </c>
      <c r="D189" s="165" t="s">
        <v>210</v>
      </c>
      <c r="E189" s="165">
        <v>37.96</v>
      </c>
      <c r="F189" s="165"/>
      <c r="G189" s="165" t="s">
        <v>317</v>
      </c>
      <c r="H189" s="165" t="s">
        <v>552</v>
      </c>
      <c r="I189" s="165" t="s">
        <v>206</v>
      </c>
      <c r="J189" s="165" t="s">
        <v>210</v>
      </c>
      <c r="K189" s="165">
        <v>35.869999999999997</v>
      </c>
      <c r="L189" s="165"/>
    </row>
    <row r="190" spans="1:12" x14ac:dyDescent="0.25">
      <c r="A190" s="165" t="s">
        <v>321</v>
      </c>
      <c r="B190" s="165" t="s">
        <v>205</v>
      </c>
      <c r="C190" s="165" t="s">
        <v>320</v>
      </c>
      <c r="D190" s="165" t="s">
        <v>207</v>
      </c>
      <c r="E190" s="165" t="s">
        <v>220</v>
      </c>
      <c r="F190" s="165"/>
      <c r="G190" s="165" t="s">
        <v>318</v>
      </c>
      <c r="H190" s="165" t="s">
        <v>552</v>
      </c>
      <c r="I190" s="165" t="s">
        <v>206</v>
      </c>
      <c r="J190" s="165" t="s">
        <v>210</v>
      </c>
      <c r="K190" s="165">
        <v>37.270000000000003</v>
      </c>
      <c r="L190" s="165"/>
    </row>
    <row r="191" spans="1:12" x14ac:dyDescent="0.25">
      <c r="A191" s="165" t="s">
        <v>321</v>
      </c>
      <c r="B191" s="165" t="s">
        <v>552</v>
      </c>
      <c r="C191" s="165" t="s">
        <v>206</v>
      </c>
      <c r="D191" s="165" t="s">
        <v>210</v>
      </c>
      <c r="E191" s="165">
        <v>38.14</v>
      </c>
      <c r="F191" s="165"/>
      <c r="G191" s="165" t="s">
        <v>319</v>
      </c>
      <c r="H191" s="165" t="s">
        <v>552</v>
      </c>
      <c r="I191" s="165" t="s">
        <v>206</v>
      </c>
      <c r="J191" s="165" t="s">
        <v>210</v>
      </c>
      <c r="K191" s="165">
        <v>37.96</v>
      </c>
      <c r="L191" s="165">
        <f>AVERAGE(K191:K193)</f>
        <v>38.136666666666663</v>
      </c>
    </row>
    <row r="192" spans="1:12" x14ac:dyDescent="0.25">
      <c r="A192" s="165" t="s">
        <v>322</v>
      </c>
      <c r="B192" s="165" t="s">
        <v>205</v>
      </c>
      <c r="C192" s="165" t="s">
        <v>320</v>
      </c>
      <c r="D192" s="165" t="s">
        <v>207</v>
      </c>
      <c r="E192" s="165" t="s">
        <v>220</v>
      </c>
      <c r="F192" s="165"/>
      <c r="G192" s="165" t="s">
        <v>321</v>
      </c>
      <c r="H192" s="165" t="s">
        <v>552</v>
      </c>
      <c r="I192" s="165" t="s">
        <v>206</v>
      </c>
      <c r="J192" s="165" t="s">
        <v>210</v>
      </c>
      <c r="K192" s="165">
        <v>38.14</v>
      </c>
      <c r="L192" s="165"/>
    </row>
    <row r="193" spans="1:11" x14ac:dyDescent="0.25">
      <c r="A193" s="165" t="s">
        <v>322</v>
      </c>
      <c r="B193" s="165" t="s">
        <v>552</v>
      </c>
      <c r="C193" s="165" t="s">
        <v>206</v>
      </c>
      <c r="D193" s="165" t="s">
        <v>210</v>
      </c>
      <c r="E193" s="165">
        <v>38.31</v>
      </c>
      <c r="F193" s="165"/>
      <c r="G193" s="165" t="s">
        <v>322</v>
      </c>
      <c r="H193" s="165" t="s">
        <v>552</v>
      </c>
      <c r="I193" s="165" t="s">
        <v>206</v>
      </c>
      <c r="J193" s="165" t="s">
        <v>210</v>
      </c>
      <c r="K193" s="165">
        <v>38.31</v>
      </c>
    </row>
  </sheetData>
  <sortState xmlns:xlrd2="http://schemas.microsoft.com/office/spreadsheetml/2017/richdata2" ref="U2:Z37">
    <sortCondition ref="U2:U37"/>
  </sortState>
  <mergeCells count="2">
    <mergeCell ref="P59:S59"/>
    <mergeCell ref="T59:W59"/>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88523-2326-4E96-A8A4-FEBB9C07CCA3}">
  <sheetPr codeName="Sheet9"/>
  <dimension ref="A1:R269"/>
  <sheetViews>
    <sheetView zoomScale="85" zoomScaleNormal="85" workbookViewId="0">
      <selection activeCell="G57" sqref="G57"/>
    </sheetView>
  </sheetViews>
  <sheetFormatPr defaultRowHeight="15" x14ac:dyDescent="0.25"/>
  <cols>
    <col min="2" max="2" width="23.5703125" customWidth="1"/>
    <col min="3" max="3" width="12.85546875" customWidth="1"/>
    <col min="4" max="4" width="6" customWidth="1"/>
    <col min="8" max="8" width="18.140625" customWidth="1"/>
    <col min="14" max="14" width="18" customWidth="1"/>
  </cols>
  <sheetData>
    <row r="1" spans="2:4" x14ac:dyDescent="0.25">
      <c r="B1" s="165" t="s">
        <v>570</v>
      </c>
      <c r="C1" s="165"/>
      <c r="D1" s="165"/>
    </row>
    <row r="2" spans="2:4" x14ac:dyDescent="0.25">
      <c r="B2" s="165" t="s">
        <v>571</v>
      </c>
      <c r="C2" s="165"/>
      <c r="D2" s="165"/>
    </row>
    <row r="3" spans="2:4" x14ac:dyDescent="0.25">
      <c r="B3" s="165"/>
      <c r="C3" s="165" t="s">
        <v>572</v>
      </c>
      <c r="D3" s="165"/>
    </row>
    <row r="4" spans="2:4" x14ac:dyDescent="0.25">
      <c r="B4" s="165"/>
      <c r="C4" s="165" t="s">
        <v>573</v>
      </c>
      <c r="D4" s="165"/>
    </row>
    <row r="5" spans="2:4" x14ac:dyDescent="0.25">
      <c r="B5" s="165"/>
      <c r="C5" s="165" t="s">
        <v>574</v>
      </c>
      <c r="D5" s="165"/>
    </row>
    <row r="6" spans="2:4" x14ac:dyDescent="0.25">
      <c r="B6" s="165" t="s">
        <v>571</v>
      </c>
      <c r="C6" s="165"/>
      <c r="D6" s="165"/>
    </row>
    <row r="7" spans="2:4" x14ac:dyDescent="0.25">
      <c r="B7" s="165"/>
      <c r="C7" s="165" t="s">
        <v>575</v>
      </c>
      <c r="D7" s="165"/>
    </row>
    <row r="8" spans="2:4" x14ac:dyDescent="0.25">
      <c r="B8" s="165"/>
      <c r="C8" s="165" t="s">
        <v>576</v>
      </c>
      <c r="D8" s="165"/>
    </row>
    <row r="9" spans="2:4" x14ac:dyDescent="0.25">
      <c r="B9" s="165"/>
      <c r="C9" s="165" t="s">
        <v>577</v>
      </c>
      <c r="D9" s="165"/>
    </row>
    <row r="10" spans="2:4" x14ac:dyDescent="0.25">
      <c r="B10" s="165"/>
      <c r="C10" s="165" t="s">
        <v>578</v>
      </c>
      <c r="D10" s="165"/>
    </row>
    <row r="11" spans="2:4" x14ac:dyDescent="0.25">
      <c r="B11" s="165"/>
      <c r="C11" s="165"/>
      <c r="D11" s="165" t="s">
        <v>579</v>
      </c>
    </row>
    <row r="12" spans="2:4" x14ac:dyDescent="0.25">
      <c r="B12" s="165"/>
      <c r="C12" s="165"/>
      <c r="D12" s="165" t="s">
        <v>580</v>
      </c>
    </row>
    <row r="13" spans="2:4" x14ac:dyDescent="0.25">
      <c r="B13" s="165"/>
      <c r="C13" s="165"/>
      <c r="D13" s="165" t="s">
        <v>581</v>
      </c>
    </row>
    <row r="14" spans="2:4" x14ac:dyDescent="0.25">
      <c r="B14" s="165"/>
      <c r="C14" s="165"/>
      <c r="D14" s="165" t="s">
        <v>582</v>
      </c>
    </row>
    <row r="15" spans="2:4" x14ac:dyDescent="0.25">
      <c r="B15" s="165"/>
      <c r="C15" s="165" t="s">
        <v>583</v>
      </c>
      <c r="D15" s="165"/>
    </row>
    <row r="16" spans="2:4" x14ac:dyDescent="0.25">
      <c r="B16" s="165"/>
      <c r="C16" s="165" t="s">
        <v>584</v>
      </c>
      <c r="D16" s="165"/>
    </row>
    <row r="17" spans="1:6" x14ac:dyDescent="0.25">
      <c r="A17" s="165"/>
      <c r="B17" s="165"/>
      <c r="C17" s="165"/>
      <c r="D17" s="165" t="s">
        <v>585</v>
      </c>
      <c r="E17" s="165"/>
      <c r="F17" s="165"/>
    </row>
    <row r="19" spans="1:6" x14ac:dyDescent="0.25">
      <c r="A19" s="165" t="s">
        <v>586</v>
      </c>
      <c r="B19" s="165"/>
      <c r="C19" s="165"/>
      <c r="D19" s="165"/>
      <c r="E19" s="165"/>
      <c r="F19" s="165"/>
    </row>
    <row r="23" spans="1:6" x14ac:dyDescent="0.25">
      <c r="A23" s="165"/>
      <c r="B23" s="6" t="s">
        <v>50</v>
      </c>
      <c r="C23" s="6" t="s">
        <v>74</v>
      </c>
      <c r="D23" s="6"/>
      <c r="E23" s="6" t="s">
        <v>150</v>
      </c>
      <c r="F23" s="6"/>
    </row>
    <row r="24" spans="1:6" x14ac:dyDescent="0.25">
      <c r="A24" s="165"/>
      <c r="B24" s="8" t="s">
        <v>153</v>
      </c>
      <c r="C24" s="8">
        <v>0.4</v>
      </c>
      <c r="D24" s="8" t="s">
        <v>27</v>
      </c>
      <c r="E24" s="77">
        <v>0.08</v>
      </c>
      <c r="F24" s="77" t="s">
        <v>56</v>
      </c>
    </row>
    <row r="25" spans="1:6" x14ac:dyDescent="0.25">
      <c r="A25" s="165"/>
      <c r="B25" s="8" t="s">
        <v>155</v>
      </c>
      <c r="C25" s="8">
        <v>0.4</v>
      </c>
      <c r="D25" s="8" t="s">
        <v>27</v>
      </c>
      <c r="E25" s="77">
        <v>0.08</v>
      </c>
      <c r="F25" s="77" t="s">
        <v>56</v>
      </c>
    </row>
    <row r="26" spans="1:6" x14ac:dyDescent="0.25">
      <c r="A26" s="165"/>
      <c r="B26" s="8" t="s">
        <v>157</v>
      </c>
      <c r="C26" s="8">
        <v>0.5</v>
      </c>
      <c r="D26" s="8" t="s">
        <v>27</v>
      </c>
      <c r="E26" s="77">
        <v>0.1</v>
      </c>
      <c r="F26" s="77" t="s">
        <v>56</v>
      </c>
    </row>
    <row r="27" spans="1:6" x14ac:dyDescent="0.25">
      <c r="A27" s="165"/>
      <c r="B27" s="8" t="s">
        <v>132</v>
      </c>
      <c r="C27" s="8">
        <v>0.25</v>
      </c>
      <c r="D27" s="8" t="s">
        <v>27</v>
      </c>
      <c r="E27" s="20">
        <v>0</v>
      </c>
      <c r="F27" s="77" t="s">
        <v>56</v>
      </c>
    </row>
    <row r="28" spans="1:6" x14ac:dyDescent="0.25">
      <c r="A28" s="165"/>
      <c r="B28" s="8" t="s">
        <v>133</v>
      </c>
      <c r="C28" s="8">
        <v>0.25</v>
      </c>
      <c r="D28" s="8" t="s">
        <v>27</v>
      </c>
      <c r="E28" s="20">
        <v>0</v>
      </c>
      <c r="F28" s="77" t="s">
        <v>56</v>
      </c>
    </row>
    <row r="29" spans="1:6" x14ac:dyDescent="0.25">
      <c r="A29" s="165"/>
      <c r="B29" s="8" t="s">
        <v>134</v>
      </c>
      <c r="C29" s="8">
        <v>0.5</v>
      </c>
      <c r="D29" s="8" t="s">
        <v>27</v>
      </c>
      <c r="E29" s="20">
        <v>0</v>
      </c>
      <c r="F29" s="77" t="s">
        <v>56</v>
      </c>
    </row>
    <row r="30" spans="1:6" x14ac:dyDescent="0.25">
      <c r="A30" s="165"/>
      <c r="B30" s="165" t="s">
        <v>135</v>
      </c>
      <c r="C30" s="77">
        <v>100</v>
      </c>
      <c r="D30" s="77"/>
      <c r="E30" s="20">
        <v>0</v>
      </c>
      <c r="F30" s="77" t="s">
        <v>56</v>
      </c>
    </row>
    <row r="31" spans="1:6" x14ac:dyDescent="0.25">
      <c r="A31" s="165"/>
      <c r="B31" s="77" t="s">
        <v>136</v>
      </c>
      <c r="C31" s="77">
        <v>0.25</v>
      </c>
      <c r="D31" s="77" t="s">
        <v>137</v>
      </c>
      <c r="E31" s="77">
        <v>0.32</v>
      </c>
      <c r="F31" s="77" t="s">
        <v>56</v>
      </c>
    </row>
    <row r="32" spans="1:6" x14ac:dyDescent="0.25">
      <c r="A32" s="165"/>
      <c r="B32" s="77" t="s">
        <v>139</v>
      </c>
      <c r="C32" s="77">
        <v>2.5</v>
      </c>
      <c r="D32" s="77" t="s">
        <v>52</v>
      </c>
      <c r="E32" s="77">
        <v>0.05</v>
      </c>
      <c r="F32" s="77" t="s">
        <v>56</v>
      </c>
    </row>
    <row r="33" spans="2:6" x14ac:dyDescent="0.25">
      <c r="B33" s="77" t="s">
        <v>141</v>
      </c>
      <c r="C33" s="77">
        <v>1</v>
      </c>
      <c r="D33" s="77" t="s">
        <v>52</v>
      </c>
      <c r="E33" s="77">
        <v>3.3333333333333333E-2</v>
      </c>
      <c r="F33" s="77" t="s">
        <v>56</v>
      </c>
    </row>
    <row r="34" spans="2:6" x14ac:dyDescent="0.25">
      <c r="B34" s="77" t="s">
        <v>138</v>
      </c>
      <c r="C34" s="77">
        <v>3.5</v>
      </c>
      <c r="D34" s="77" t="s">
        <v>137</v>
      </c>
      <c r="E34" s="77">
        <v>7.0000000000000007E-2</v>
      </c>
      <c r="F34" s="77" t="s">
        <v>56</v>
      </c>
    </row>
    <row r="35" spans="2:6" x14ac:dyDescent="0.25">
      <c r="B35" s="77" t="s">
        <v>142</v>
      </c>
      <c r="C35" s="77">
        <v>10</v>
      </c>
      <c r="D35" s="77" t="s">
        <v>143</v>
      </c>
      <c r="E35" s="77">
        <v>4</v>
      </c>
      <c r="F35" s="77" t="s">
        <v>56</v>
      </c>
    </row>
    <row r="36" spans="2:6" x14ac:dyDescent="0.25">
      <c r="B36" s="77" t="s">
        <v>144</v>
      </c>
      <c r="C36" s="77">
        <v>0.5</v>
      </c>
      <c r="D36" s="77" t="s">
        <v>145</v>
      </c>
      <c r="E36" s="77">
        <v>0.2</v>
      </c>
      <c r="F36" s="77" t="s">
        <v>56</v>
      </c>
    </row>
    <row r="37" spans="2:6" x14ac:dyDescent="0.25">
      <c r="B37" s="77" t="s">
        <v>159</v>
      </c>
      <c r="C37" s="77">
        <v>1</v>
      </c>
      <c r="D37" s="77" t="s">
        <v>147</v>
      </c>
      <c r="E37" s="77">
        <v>2</v>
      </c>
      <c r="F37" s="77" t="s">
        <v>56</v>
      </c>
    </row>
    <row r="38" spans="2:6" ht="30" x14ac:dyDescent="0.25">
      <c r="B38" s="5" t="s">
        <v>148</v>
      </c>
      <c r="C38" s="77">
        <v>5</v>
      </c>
      <c r="D38" s="77" t="s">
        <v>143</v>
      </c>
      <c r="E38" s="77">
        <v>2.2222222222222223</v>
      </c>
      <c r="F38" s="77" t="s">
        <v>56</v>
      </c>
    </row>
    <row r="39" spans="2:6" x14ac:dyDescent="0.25">
      <c r="B39" s="10" t="s">
        <v>149</v>
      </c>
      <c r="C39" s="11">
        <v>0</v>
      </c>
      <c r="D39" s="11" t="s">
        <v>143</v>
      </c>
      <c r="E39" s="24">
        <v>0</v>
      </c>
      <c r="F39" s="11" t="s">
        <v>56</v>
      </c>
    </row>
    <row r="40" spans="2:6" x14ac:dyDescent="0.25">
      <c r="B40" s="77" t="s">
        <v>161</v>
      </c>
      <c r="C40" s="77"/>
      <c r="D40" s="77"/>
      <c r="E40" s="25">
        <v>0</v>
      </c>
      <c r="F40" s="77" t="s">
        <v>56</v>
      </c>
    </row>
    <row r="41" spans="2:6" x14ac:dyDescent="0.25">
      <c r="B41" s="77"/>
      <c r="C41" s="77"/>
      <c r="D41" s="77"/>
      <c r="E41" s="77"/>
      <c r="F41" s="77"/>
    </row>
    <row r="42" spans="2:6" x14ac:dyDescent="0.25">
      <c r="B42" s="77"/>
      <c r="C42" s="77"/>
      <c r="D42" s="77" t="s">
        <v>162</v>
      </c>
      <c r="E42" s="13">
        <v>9.155555555555555</v>
      </c>
      <c r="F42" s="77" t="s">
        <v>56</v>
      </c>
    </row>
    <row r="44" spans="2:6" ht="15.75" thickBot="1" x14ac:dyDescent="0.3">
      <c r="B44" s="165" t="s">
        <v>587</v>
      </c>
      <c r="C44" s="165" t="s">
        <v>527</v>
      </c>
      <c r="D44" s="165"/>
      <c r="E44" s="165"/>
      <c r="F44" s="165"/>
    </row>
    <row r="45" spans="2:6" x14ac:dyDescent="0.25">
      <c r="B45" s="91" t="s">
        <v>50</v>
      </c>
      <c r="C45" s="92" t="s">
        <v>74</v>
      </c>
      <c r="D45" s="92" t="s">
        <v>52</v>
      </c>
      <c r="E45" s="92" t="s">
        <v>75</v>
      </c>
      <c r="F45" s="93">
        <f>C133*(1+C126)</f>
        <v>115.19999999999999</v>
      </c>
    </row>
    <row r="46" spans="2:6" x14ac:dyDescent="0.25">
      <c r="B46" s="94" t="s">
        <v>76</v>
      </c>
      <c r="C46" s="95"/>
      <c r="D46" s="95"/>
      <c r="E46" s="96">
        <f>E42</f>
        <v>9.155555555555555</v>
      </c>
      <c r="F46" s="96">
        <f>E46*$F$45</f>
        <v>1054.7199999999998</v>
      </c>
    </row>
    <row r="47" spans="2:6" x14ac:dyDescent="0.25">
      <c r="B47" s="111" t="s">
        <v>588</v>
      </c>
      <c r="C47" s="95" t="s">
        <v>589</v>
      </c>
      <c r="D47" s="95"/>
      <c r="E47" s="96"/>
      <c r="F47" s="96">
        <f t="shared" ref="F47:F52" si="0">E47*$F$45</f>
        <v>0</v>
      </c>
    </row>
    <row r="48" spans="2:6" x14ac:dyDescent="0.25">
      <c r="B48" s="111" t="s">
        <v>590</v>
      </c>
      <c r="C48" s="95" t="s">
        <v>589</v>
      </c>
      <c r="D48" s="95"/>
      <c r="E48" s="96"/>
      <c r="F48" s="96">
        <f t="shared" si="0"/>
        <v>0</v>
      </c>
    </row>
    <row r="49" spans="2:14" x14ac:dyDescent="0.25">
      <c r="B49" s="111" t="s">
        <v>591</v>
      </c>
      <c r="C49" s="110" t="s">
        <v>530</v>
      </c>
      <c r="D49" s="165"/>
      <c r="E49" s="96"/>
      <c r="F49" s="96">
        <f t="shared" si="0"/>
        <v>0</v>
      </c>
      <c r="G49" s="165"/>
      <c r="H49" s="165"/>
      <c r="I49" s="165"/>
      <c r="J49" s="165"/>
      <c r="K49" s="165"/>
      <c r="L49" s="165"/>
      <c r="M49" s="165"/>
      <c r="N49" s="165"/>
    </row>
    <row r="50" spans="2:14" x14ac:dyDescent="0.25">
      <c r="B50" s="112" t="s">
        <v>592</v>
      </c>
      <c r="C50" s="110"/>
      <c r="D50" s="165"/>
      <c r="E50" s="96">
        <v>2</v>
      </c>
      <c r="F50" s="96">
        <f t="shared" si="0"/>
        <v>230.39999999999998</v>
      </c>
      <c r="G50" s="165"/>
      <c r="H50" s="165"/>
      <c r="I50" s="165"/>
      <c r="J50" s="165"/>
      <c r="K50" s="165"/>
      <c r="L50" s="165"/>
      <c r="M50" s="165"/>
      <c r="N50" s="165"/>
    </row>
    <row r="51" spans="2:14" x14ac:dyDescent="0.25">
      <c r="B51" s="104" t="s">
        <v>79</v>
      </c>
      <c r="C51" s="95"/>
      <c r="D51" s="95"/>
      <c r="E51" s="96">
        <f>14.8-SUM(E46:E50)</f>
        <v>3.6444444444444457</v>
      </c>
      <c r="F51" s="96">
        <f t="shared" si="0"/>
        <v>419.84000000000009</v>
      </c>
      <c r="G51" s="165"/>
      <c r="H51" s="165"/>
      <c r="I51" s="165"/>
      <c r="J51" s="165"/>
      <c r="K51" s="165"/>
      <c r="L51" s="165"/>
      <c r="M51" s="165"/>
      <c r="N51" s="165"/>
    </row>
    <row r="52" spans="2:14" ht="15.75" thickBot="1" x14ac:dyDescent="0.3">
      <c r="B52" s="97" t="s">
        <v>80</v>
      </c>
      <c r="C52" s="98"/>
      <c r="D52" s="98"/>
      <c r="E52" s="99">
        <f>SUM(E46:E51)</f>
        <v>14.8</v>
      </c>
      <c r="F52" s="100">
        <f t="shared" si="0"/>
        <v>1704.9599999999998</v>
      </c>
      <c r="G52" s="165"/>
      <c r="H52" s="165"/>
      <c r="I52" s="165"/>
      <c r="J52" s="165"/>
      <c r="K52" s="165"/>
      <c r="L52" s="165"/>
      <c r="M52" s="165"/>
      <c r="N52" s="165"/>
    </row>
    <row r="54" spans="2:14" ht="15.75" thickBot="1" x14ac:dyDescent="0.3">
      <c r="B54" s="165" t="s">
        <v>533</v>
      </c>
      <c r="C54" s="165" t="s">
        <v>527</v>
      </c>
      <c r="D54" s="165"/>
      <c r="E54" s="165"/>
      <c r="F54" s="165"/>
      <c r="G54" s="165"/>
      <c r="H54" s="165"/>
      <c r="I54" s="165"/>
      <c r="J54" s="165"/>
      <c r="K54" s="165"/>
      <c r="L54" s="165"/>
      <c r="M54" s="165"/>
      <c r="N54" s="165"/>
    </row>
    <row r="55" spans="2:14" x14ac:dyDescent="0.25">
      <c r="B55" s="91" t="s">
        <v>50</v>
      </c>
      <c r="C55" s="92" t="s">
        <v>74</v>
      </c>
      <c r="D55" s="92" t="s">
        <v>52</v>
      </c>
      <c r="E55" s="92" t="s">
        <v>75</v>
      </c>
      <c r="F55" s="93">
        <f>C134*(1+C126-C127)</f>
        <v>27.599999999999998</v>
      </c>
      <c r="G55" s="165"/>
      <c r="H55" s="165"/>
      <c r="I55" s="165"/>
      <c r="J55" s="165"/>
      <c r="K55" s="165"/>
      <c r="L55" s="165"/>
      <c r="M55" s="165"/>
      <c r="N55" s="165"/>
    </row>
    <row r="56" spans="2:14" x14ac:dyDescent="0.25">
      <c r="B56" s="94" t="s">
        <v>76</v>
      </c>
      <c r="C56" s="95"/>
      <c r="D56" s="95"/>
      <c r="E56" s="96">
        <f>E52</f>
        <v>14.8</v>
      </c>
      <c r="F56" s="96">
        <f>E56*$F$55</f>
        <v>408.47999999999996</v>
      </c>
      <c r="G56" s="165"/>
      <c r="H56" s="165"/>
      <c r="I56" s="165"/>
      <c r="J56" s="165"/>
      <c r="K56" s="165"/>
      <c r="L56" s="165"/>
      <c r="M56" s="165"/>
      <c r="N56" s="165"/>
    </row>
    <row r="57" spans="2:14" x14ac:dyDescent="0.25">
      <c r="B57" s="111" t="s">
        <v>588</v>
      </c>
      <c r="C57" s="95" t="s">
        <v>589</v>
      </c>
      <c r="D57" s="95"/>
      <c r="E57" s="96">
        <f>0.05*20/10</f>
        <v>0.1</v>
      </c>
      <c r="F57" s="96">
        <f t="shared" ref="F57:F59" si="1">E57*$F$55</f>
        <v>2.76</v>
      </c>
      <c r="G57" s="165"/>
      <c r="H57" s="165"/>
      <c r="I57" s="165"/>
      <c r="J57" s="165"/>
      <c r="K57" s="165"/>
      <c r="L57" s="165"/>
      <c r="M57" s="165"/>
      <c r="N57" s="165"/>
    </row>
    <row r="58" spans="2:14" x14ac:dyDescent="0.25">
      <c r="B58" s="111" t="s">
        <v>590</v>
      </c>
      <c r="C58" s="95" t="s">
        <v>589</v>
      </c>
      <c r="D58" s="95"/>
      <c r="E58" s="96">
        <f>0.05*20/10</f>
        <v>0.1</v>
      </c>
      <c r="F58" s="96">
        <f t="shared" si="1"/>
        <v>2.76</v>
      </c>
      <c r="G58" s="165"/>
      <c r="H58" s="165"/>
      <c r="I58" s="165"/>
      <c r="J58" s="165"/>
      <c r="K58" s="165"/>
      <c r="L58" s="165"/>
      <c r="M58" s="165"/>
      <c r="N58" s="165"/>
    </row>
    <row r="59" spans="2:14" x14ac:dyDescent="0.25">
      <c r="B59" s="111" t="s">
        <v>591</v>
      </c>
      <c r="C59" s="110" t="s">
        <v>530</v>
      </c>
      <c r="D59" s="165"/>
      <c r="E59" s="96">
        <f>0.5*20/10</f>
        <v>1</v>
      </c>
      <c r="F59" s="96">
        <f t="shared" si="1"/>
        <v>27.599999999999998</v>
      </c>
      <c r="G59" s="165"/>
      <c r="H59" s="165"/>
      <c r="I59" s="165"/>
      <c r="J59" s="165"/>
      <c r="K59" s="165"/>
      <c r="L59" s="165"/>
      <c r="M59" s="165"/>
      <c r="N59" s="165"/>
    </row>
    <row r="60" spans="2:14" x14ac:dyDescent="0.25">
      <c r="B60" s="112"/>
      <c r="C60" s="110"/>
      <c r="D60" s="165"/>
      <c r="E60" s="96"/>
      <c r="F60" s="96">
        <f t="shared" ref="F60" si="2">E60*$F$55</f>
        <v>0</v>
      </c>
      <c r="G60" s="165"/>
      <c r="H60" s="165"/>
      <c r="I60" s="165"/>
      <c r="J60" s="165"/>
      <c r="K60" s="165"/>
      <c r="L60" s="165"/>
      <c r="M60" s="165"/>
      <c r="N60" s="165"/>
    </row>
    <row r="61" spans="2:14" x14ac:dyDescent="0.25">
      <c r="B61" s="104" t="s">
        <v>79</v>
      </c>
      <c r="C61" s="95"/>
      <c r="D61" s="95"/>
      <c r="E61" s="96">
        <f>18-SUM(E56:E60)</f>
        <v>2</v>
      </c>
      <c r="F61" s="96">
        <f>E61*$F$55</f>
        <v>55.199999999999996</v>
      </c>
      <c r="G61" s="165"/>
      <c r="H61" s="165"/>
      <c r="I61" s="165"/>
      <c r="J61" s="165"/>
      <c r="K61" s="165"/>
      <c r="L61" s="165"/>
      <c r="M61" s="165"/>
      <c r="N61" s="165"/>
    </row>
    <row r="62" spans="2:14" ht="15.75" thickBot="1" x14ac:dyDescent="0.3">
      <c r="B62" s="97" t="s">
        <v>80</v>
      </c>
      <c r="C62" s="98"/>
      <c r="D62" s="98"/>
      <c r="E62" s="99">
        <f>SUM(E56:E61)</f>
        <v>18</v>
      </c>
      <c r="F62" s="100">
        <f>E62*$F$55</f>
        <v>496.79999999999995</v>
      </c>
      <c r="G62" s="165"/>
      <c r="H62" s="165"/>
      <c r="I62" s="165"/>
      <c r="J62" s="165"/>
      <c r="K62" s="165"/>
      <c r="L62" s="165"/>
      <c r="M62" s="165"/>
      <c r="N62" s="165"/>
    </row>
    <row r="64" spans="2:14" ht="15.75" thickBot="1" x14ac:dyDescent="0.3">
      <c r="B64" s="165" t="s">
        <v>593</v>
      </c>
      <c r="C64" s="165"/>
      <c r="D64" s="165"/>
      <c r="E64" s="165"/>
      <c r="F64" s="165"/>
      <c r="G64" s="165"/>
      <c r="H64" s="165" t="s">
        <v>594</v>
      </c>
      <c r="I64" s="165"/>
      <c r="J64" s="165"/>
      <c r="K64" s="165"/>
      <c r="L64" s="165"/>
      <c r="M64" s="165"/>
      <c r="N64" s="165" t="s">
        <v>595</v>
      </c>
    </row>
    <row r="65" spans="2:18" x14ac:dyDescent="0.25">
      <c r="B65" s="91" t="s">
        <v>50</v>
      </c>
      <c r="C65" s="92" t="s">
        <v>74</v>
      </c>
      <c r="D65" s="92" t="s">
        <v>52</v>
      </c>
      <c r="E65" s="92" t="s">
        <v>75</v>
      </c>
      <c r="F65" s="113">
        <f>C108*(1+C126-C128)</f>
        <v>27.599999999999998</v>
      </c>
      <c r="G65" s="165"/>
      <c r="H65" s="91" t="s">
        <v>50</v>
      </c>
      <c r="I65" s="92" t="s">
        <v>74</v>
      </c>
      <c r="J65" s="92" t="s">
        <v>52</v>
      </c>
      <c r="K65" s="92" t="s">
        <v>75</v>
      </c>
      <c r="L65" s="113">
        <f>C108*(1+C126-C128)</f>
        <v>27.599999999999998</v>
      </c>
      <c r="M65" s="165"/>
      <c r="N65" s="91" t="s">
        <v>50</v>
      </c>
      <c r="O65" s="92" t="s">
        <v>74</v>
      </c>
      <c r="P65" s="92" t="s">
        <v>52</v>
      </c>
      <c r="Q65" s="92" t="s">
        <v>75</v>
      </c>
      <c r="R65" s="113">
        <f>C108*(1+C126-C128)</f>
        <v>27.599999999999998</v>
      </c>
    </row>
    <row r="66" spans="2:18" x14ac:dyDescent="0.25">
      <c r="B66" s="94" t="s">
        <v>76</v>
      </c>
      <c r="C66" s="95"/>
      <c r="D66" s="95"/>
      <c r="E66" s="96">
        <f>E52</f>
        <v>14.8</v>
      </c>
      <c r="F66" s="114">
        <f>E66*$F$65</f>
        <v>408.47999999999996</v>
      </c>
      <c r="G66" s="165"/>
      <c r="H66" s="94" t="s">
        <v>76</v>
      </c>
      <c r="I66" s="95"/>
      <c r="J66" s="95"/>
      <c r="K66" s="96">
        <f>E52</f>
        <v>14.8</v>
      </c>
      <c r="L66" s="114">
        <f>K66*$F$65</f>
        <v>408.47999999999996</v>
      </c>
      <c r="M66" s="165"/>
      <c r="N66" s="94" t="s">
        <v>76</v>
      </c>
      <c r="O66" s="95"/>
      <c r="P66" s="95"/>
      <c r="Q66" s="96">
        <f>E52</f>
        <v>14.8</v>
      </c>
      <c r="R66" s="114">
        <f>Q66*$F$65</f>
        <v>408.47999999999996</v>
      </c>
    </row>
    <row r="67" spans="2:18" x14ac:dyDescent="0.25">
      <c r="B67" s="104" t="s">
        <v>534</v>
      </c>
      <c r="C67" s="95" t="s">
        <v>589</v>
      </c>
      <c r="D67" s="95"/>
      <c r="E67" s="96">
        <f>0.05*20/10</f>
        <v>0.1</v>
      </c>
      <c r="F67" s="114">
        <f t="shared" ref="F67:F73" si="3">E67*$F$65</f>
        <v>2.76</v>
      </c>
      <c r="G67" s="165"/>
      <c r="H67" s="104" t="s">
        <v>534</v>
      </c>
      <c r="I67" s="95" t="s">
        <v>596</v>
      </c>
      <c r="J67" s="95"/>
      <c r="K67" s="96">
        <f>0.1*20/10</f>
        <v>0.2</v>
      </c>
      <c r="L67" s="114">
        <f t="shared" ref="L67:L73" si="4">K67*$F$65</f>
        <v>5.52</v>
      </c>
      <c r="M67" s="165"/>
      <c r="N67" s="104" t="s">
        <v>534</v>
      </c>
      <c r="O67" s="95" t="s">
        <v>597</v>
      </c>
      <c r="P67" s="95"/>
      <c r="Q67" s="96">
        <f>0.2*20/10</f>
        <v>0.4</v>
      </c>
      <c r="R67" s="114">
        <f t="shared" ref="R67:R73" si="5">Q67*$F$65</f>
        <v>11.04</v>
      </c>
    </row>
    <row r="68" spans="2:18" x14ac:dyDescent="0.25">
      <c r="B68" s="104" t="s">
        <v>535</v>
      </c>
      <c r="C68" s="95" t="s">
        <v>589</v>
      </c>
      <c r="D68" s="95"/>
      <c r="E68" s="96">
        <f>0.05*20/10</f>
        <v>0.1</v>
      </c>
      <c r="F68" s="114">
        <f t="shared" si="3"/>
        <v>2.76</v>
      </c>
      <c r="G68" s="165"/>
      <c r="H68" s="104" t="s">
        <v>535</v>
      </c>
      <c r="I68" s="95" t="s">
        <v>596</v>
      </c>
      <c r="J68" s="95"/>
      <c r="K68" s="96">
        <f>0.1*20/10</f>
        <v>0.2</v>
      </c>
      <c r="L68" s="114">
        <f t="shared" si="4"/>
        <v>5.52</v>
      </c>
      <c r="M68" s="165"/>
      <c r="N68" s="104" t="s">
        <v>535</v>
      </c>
      <c r="O68" s="95" t="s">
        <v>597</v>
      </c>
      <c r="P68" s="95"/>
      <c r="Q68" s="96">
        <f>0.2*20/10</f>
        <v>0.4</v>
      </c>
      <c r="R68" s="114">
        <f t="shared" si="5"/>
        <v>11.04</v>
      </c>
    </row>
    <row r="69" spans="2:18" x14ac:dyDescent="0.25">
      <c r="B69" s="105" t="s">
        <v>591</v>
      </c>
      <c r="C69" s="110"/>
      <c r="D69" s="115"/>
      <c r="E69" s="96"/>
      <c r="F69" s="114">
        <f t="shared" si="3"/>
        <v>0</v>
      </c>
      <c r="G69" s="165"/>
      <c r="H69" s="105" t="s">
        <v>591</v>
      </c>
      <c r="I69" s="110"/>
      <c r="J69" s="115"/>
      <c r="K69" s="96"/>
      <c r="L69" s="114">
        <f t="shared" si="4"/>
        <v>0</v>
      </c>
      <c r="M69" s="165"/>
      <c r="N69" s="105" t="s">
        <v>591</v>
      </c>
      <c r="O69" s="110"/>
      <c r="P69" s="115"/>
      <c r="Q69" s="96"/>
      <c r="R69" s="114">
        <f t="shared" si="5"/>
        <v>0</v>
      </c>
    </row>
    <row r="70" spans="2:18" x14ac:dyDescent="0.25">
      <c r="B70" s="112"/>
      <c r="C70" s="115"/>
      <c r="D70" s="115"/>
      <c r="E70" s="116"/>
      <c r="F70" s="114">
        <f t="shared" si="3"/>
        <v>0</v>
      </c>
      <c r="G70" s="165"/>
      <c r="H70" s="112"/>
      <c r="I70" s="115"/>
      <c r="J70" s="115"/>
      <c r="K70" s="116"/>
      <c r="L70" s="114">
        <f t="shared" si="4"/>
        <v>0</v>
      </c>
      <c r="M70" s="165"/>
      <c r="N70" s="112"/>
      <c r="O70" s="115"/>
      <c r="P70" s="115"/>
      <c r="Q70" s="116"/>
      <c r="R70" s="114">
        <f t="shared" si="5"/>
        <v>0</v>
      </c>
    </row>
    <row r="71" spans="2:18" x14ac:dyDescent="0.25">
      <c r="B71" s="105" t="s">
        <v>598</v>
      </c>
      <c r="C71" s="115"/>
      <c r="D71" s="115"/>
      <c r="E71" s="96">
        <v>2</v>
      </c>
      <c r="F71" s="114">
        <f t="shared" si="3"/>
        <v>55.199999999999996</v>
      </c>
      <c r="G71" s="165"/>
      <c r="H71" s="105" t="s">
        <v>598</v>
      </c>
      <c r="I71" s="115"/>
      <c r="J71" s="115"/>
      <c r="K71" s="96">
        <v>2</v>
      </c>
      <c r="L71" s="114">
        <f t="shared" si="4"/>
        <v>55.199999999999996</v>
      </c>
      <c r="M71" s="165"/>
      <c r="N71" s="105" t="s">
        <v>598</v>
      </c>
      <c r="O71" s="115"/>
      <c r="P71" s="115"/>
      <c r="Q71" s="96">
        <v>2</v>
      </c>
      <c r="R71" s="114">
        <f t="shared" si="5"/>
        <v>55.199999999999996</v>
      </c>
    </row>
    <row r="72" spans="2:18" x14ac:dyDescent="0.25">
      <c r="B72" s="104" t="s">
        <v>79</v>
      </c>
      <c r="C72" s="95"/>
      <c r="D72" s="95"/>
      <c r="E72" s="96">
        <f>18.4-SUM(E66:E71)</f>
        <v>1.3999999999999986</v>
      </c>
      <c r="F72" s="114">
        <f t="shared" si="3"/>
        <v>38.639999999999958</v>
      </c>
      <c r="G72" s="165"/>
      <c r="H72" s="104" t="s">
        <v>79</v>
      </c>
      <c r="I72" s="95"/>
      <c r="J72" s="95"/>
      <c r="K72" s="96">
        <f>18.4-SUM(K66:K71)</f>
        <v>1.1999999999999993</v>
      </c>
      <c r="L72" s="114">
        <f t="shared" si="4"/>
        <v>33.119999999999976</v>
      </c>
      <c r="M72" s="165"/>
      <c r="N72" s="104" t="s">
        <v>79</v>
      </c>
      <c r="O72" s="95"/>
      <c r="P72" s="95"/>
      <c r="Q72" s="96">
        <f>18.4-SUM(Q66:Q71)</f>
        <v>0.79999999999999716</v>
      </c>
      <c r="R72" s="114">
        <f t="shared" si="5"/>
        <v>22.07999999999992</v>
      </c>
    </row>
    <row r="73" spans="2:18" ht="15.75" thickBot="1" x14ac:dyDescent="0.3">
      <c r="B73" s="97" t="s">
        <v>80</v>
      </c>
      <c r="C73" s="98"/>
      <c r="D73" s="98"/>
      <c r="E73" s="99">
        <f>SUM(E66:E72)</f>
        <v>18.399999999999999</v>
      </c>
      <c r="F73" s="117">
        <f t="shared" si="3"/>
        <v>507.83999999999992</v>
      </c>
      <c r="G73" s="165"/>
      <c r="H73" s="97" t="s">
        <v>80</v>
      </c>
      <c r="I73" s="98"/>
      <c r="J73" s="98"/>
      <c r="K73" s="99">
        <f>SUM(K66:K72)</f>
        <v>18.399999999999999</v>
      </c>
      <c r="L73" s="117">
        <f t="shared" si="4"/>
        <v>507.83999999999992</v>
      </c>
      <c r="M73" s="165"/>
      <c r="N73" s="97" t="s">
        <v>80</v>
      </c>
      <c r="O73" s="98"/>
      <c r="P73" s="98"/>
      <c r="Q73" s="99">
        <f>SUM(Q66:Q72)</f>
        <v>18.399999999999999</v>
      </c>
      <c r="R73" s="117">
        <f t="shared" si="5"/>
        <v>507.83999999999992</v>
      </c>
    </row>
    <row r="75" spans="2:18" x14ac:dyDescent="0.25">
      <c r="B75" s="165" t="s">
        <v>599</v>
      </c>
      <c r="C75" s="165"/>
      <c r="D75" s="165"/>
      <c r="E75" s="165"/>
      <c r="F75" s="165"/>
      <c r="G75" s="165"/>
      <c r="H75" s="165"/>
      <c r="I75" s="165"/>
      <c r="J75" s="165"/>
      <c r="K75" s="165"/>
      <c r="L75" s="165"/>
      <c r="M75" s="165"/>
      <c r="N75" s="165"/>
      <c r="O75" s="165"/>
      <c r="P75" s="165"/>
      <c r="Q75" s="165"/>
      <c r="R75" s="165"/>
    </row>
    <row r="76" spans="2:18" x14ac:dyDescent="0.25">
      <c r="B76" s="175" t="s">
        <v>27</v>
      </c>
      <c r="C76" s="175" t="s">
        <v>520</v>
      </c>
      <c r="D76" s="175" t="s">
        <v>521</v>
      </c>
      <c r="E76" s="175" t="s">
        <v>520</v>
      </c>
      <c r="F76" s="165"/>
      <c r="G76" s="165"/>
      <c r="H76" s="165"/>
      <c r="I76" s="165"/>
      <c r="J76" s="165"/>
      <c r="K76" s="165"/>
      <c r="L76" s="165"/>
      <c r="M76" s="165"/>
      <c r="N76" s="165"/>
      <c r="O76" s="165"/>
      <c r="P76" s="165"/>
      <c r="Q76" s="165"/>
      <c r="R76" s="165"/>
    </row>
    <row r="77" spans="2:18" ht="14.45" customHeight="1" x14ac:dyDescent="0.25">
      <c r="B77" s="175" t="s">
        <v>522</v>
      </c>
      <c r="C77" s="175" t="s">
        <v>523</v>
      </c>
      <c r="D77" s="175" t="s">
        <v>524</v>
      </c>
      <c r="E77" s="175" t="s">
        <v>525</v>
      </c>
      <c r="F77" s="165"/>
      <c r="G77" s="165"/>
      <c r="H77" s="165"/>
      <c r="I77" s="165"/>
      <c r="J77" s="312" t="s">
        <v>600</v>
      </c>
      <c r="K77" s="165">
        <f>6*C173</f>
        <v>494.59199999999993</v>
      </c>
      <c r="L77" s="165"/>
      <c r="M77" s="165"/>
      <c r="N77" s="165"/>
      <c r="O77" s="165"/>
      <c r="P77" s="165"/>
      <c r="Q77" s="165"/>
      <c r="R77" s="165"/>
    </row>
    <row r="78" spans="2:18" x14ac:dyDescent="0.25">
      <c r="B78" s="175">
        <f>D78/1000*E78/C78</f>
        <v>0.625</v>
      </c>
      <c r="C78" s="175">
        <v>1.6</v>
      </c>
      <c r="D78" s="175">
        <v>50</v>
      </c>
      <c r="E78" s="175">
        <v>20</v>
      </c>
      <c r="F78" s="165"/>
      <c r="G78" s="165"/>
      <c r="H78" s="165"/>
      <c r="I78" s="165"/>
      <c r="J78" s="312"/>
      <c r="K78" s="165"/>
      <c r="L78" s="165"/>
      <c r="M78" s="165"/>
      <c r="N78" s="165"/>
      <c r="O78" s="165"/>
      <c r="P78" s="165"/>
      <c r="Q78" s="165"/>
      <c r="R78" s="165"/>
    </row>
    <row r="79" spans="2:18" x14ac:dyDescent="0.25">
      <c r="B79" s="175">
        <f t="shared" ref="B79:B83" si="6">D79/1000*E79/C79</f>
        <v>1.25</v>
      </c>
      <c r="C79" s="175">
        <v>1.6</v>
      </c>
      <c r="D79" s="175">
        <v>100</v>
      </c>
      <c r="E79" s="175">
        <v>20</v>
      </c>
      <c r="F79" s="165"/>
      <c r="G79" s="165"/>
      <c r="H79" s="165"/>
      <c r="I79" s="165"/>
      <c r="J79" s="312"/>
      <c r="K79" s="165"/>
      <c r="L79" s="165"/>
      <c r="M79" s="165"/>
      <c r="N79" s="165"/>
      <c r="O79" s="165"/>
      <c r="P79" s="165"/>
      <c r="Q79" s="165"/>
      <c r="R79" s="165"/>
    </row>
    <row r="80" spans="2:18" x14ac:dyDescent="0.25">
      <c r="B80" s="175">
        <f t="shared" si="6"/>
        <v>2.5</v>
      </c>
      <c r="C80" s="175">
        <v>1.6</v>
      </c>
      <c r="D80" s="175">
        <v>200</v>
      </c>
      <c r="E80" s="175">
        <v>20</v>
      </c>
      <c r="F80" s="165"/>
      <c r="G80" s="165"/>
      <c r="H80" s="165"/>
      <c r="I80" s="165"/>
      <c r="J80" s="312"/>
      <c r="K80" s="165"/>
      <c r="L80" s="165"/>
      <c r="M80" s="165"/>
      <c r="N80" s="165"/>
      <c r="O80" s="165"/>
      <c r="P80" s="165"/>
      <c r="Q80" s="165"/>
      <c r="R80" s="165"/>
    </row>
    <row r="81" spans="1:10" x14ac:dyDescent="0.25">
      <c r="A81" s="165"/>
      <c r="B81" s="175">
        <f t="shared" si="6"/>
        <v>5</v>
      </c>
      <c r="C81" s="175">
        <v>1.6</v>
      </c>
      <c r="D81" s="175">
        <v>400</v>
      </c>
      <c r="E81" s="175">
        <v>20</v>
      </c>
      <c r="F81" s="165"/>
      <c r="G81" s="165"/>
      <c r="H81" s="165"/>
      <c r="I81" s="165"/>
      <c r="J81" s="312"/>
    </row>
    <row r="82" spans="1:10" x14ac:dyDescent="0.25">
      <c r="A82" s="165"/>
      <c r="B82" s="175">
        <f t="shared" si="6"/>
        <v>7.5</v>
      </c>
      <c r="C82" s="175">
        <v>1.6</v>
      </c>
      <c r="D82" s="175">
        <v>600</v>
      </c>
      <c r="E82" s="175">
        <v>20</v>
      </c>
      <c r="F82" s="165"/>
      <c r="G82" s="165"/>
      <c r="H82" s="165"/>
      <c r="I82" s="165"/>
      <c r="J82" s="312"/>
    </row>
    <row r="83" spans="1:10" x14ac:dyDescent="0.25">
      <c r="A83" s="165"/>
      <c r="B83" s="175">
        <f t="shared" si="6"/>
        <v>10</v>
      </c>
      <c r="C83" s="175">
        <v>1.6</v>
      </c>
      <c r="D83" s="175">
        <v>800</v>
      </c>
      <c r="E83" s="175">
        <v>20</v>
      </c>
      <c r="F83" s="165"/>
      <c r="G83" s="165"/>
      <c r="H83" s="165"/>
      <c r="I83" s="165"/>
      <c r="J83" s="165"/>
    </row>
    <row r="85" spans="1:10" x14ac:dyDescent="0.25">
      <c r="A85" s="165"/>
      <c r="B85" s="165" t="s">
        <v>601</v>
      </c>
      <c r="C85" s="165"/>
      <c r="D85" s="165"/>
      <c r="E85" s="165"/>
      <c r="F85" s="165"/>
      <c r="G85" s="165"/>
      <c r="H85" s="165"/>
      <c r="I85" s="165"/>
      <c r="J85" s="165"/>
    </row>
    <row r="86" spans="1:10" x14ac:dyDescent="0.25">
      <c r="A86" s="165"/>
      <c r="B86" s="175" t="s">
        <v>27</v>
      </c>
      <c r="C86" s="175" t="s">
        <v>520</v>
      </c>
      <c r="D86" s="175" t="s">
        <v>27</v>
      </c>
      <c r="E86" s="175" t="s">
        <v>520</v>
      </c>
      <c r="F86" s="165"/>
      <c r="G86" s="165"/>
      <c r="H86" s="165"/>
      <c r="I86" s="165"/>
      <c r="J86" s="165"/>
    </row>
    <row r="87" spans="1:10" x14ac:dyDescent="0.25">
      <c r="A87" s="165"/>
      <c r="B87" s="175" t="s">
        <v>522</v>
      </c>
      <c r="C87" s="175" t="s">
        <v>523</v>
      </c>
      <c r="D87" s="175" t="s">
        <v>524</v>
      </c>
      <c r="E87" s="175" t="s">
        <v>525</v>
      </c>
      <c r="F87" s="165"/>
      <c r="G87" s="165"/>
      <c r="H87" s="165" t="s">
        <v>531</v>
      </c>
      <c r="I87" s="165" t="s">
        <v>161</v>
      </c>
      <c r="J87" s="165"/>
    </row>
    <row r="88" spans="1:10" x14ac:dyDescent="0.25">
      <c r="A88" s="165"/>
      <c r="B88" s="175">
        <v>10</v>
      </c>
      <c r="C88" s="106">
        <f>D88*E88/B88</f>
        <v>3.125</v>
      </c>
      <c r="D88" s="106">
        <f>B78</f>
        <v>0.625</v>
      </c>
      <c r="E88" s="175">
        <v>50</v>
      </c>
      <c r="F88" s="165"/>
      <c r="G88" s="165"/>
      <c r="H88" s="84">
        <f>C88</f>
        <v>3.125</v>
      </c>
      <c r="I88" s="84">
        <f>E88-H88</f>
        <v>46.875</v>
      </c>
      <c r="J88" s="165"/>
    </row>
    <row r="89" spans="1:10" x14ac:dyDescent="0.25">
      <c r="A89" s="165"/>
      <c r="B89" s="175">
        <v>10</v>
      </c>
      <c r="C89" s="106">
        <f t="shared" ref="C89:C93" si="7">D89*E89/B89</f>
        <v>6.25</v>
      </c>
      <c r="D89" s="106">
        <f t="shared" ref="D89:D93" si="8">B79</f>
        <v>1.25</v>
      </c>
      <c r="E89" s="175">
        <v>50</v>
      </c>
      <c r="F89" s="165"/>
      <c r="G89" s="165"/>
      <c r="H89" s="84">
        <f t="shared" ref="H89:H93" si="9">C89</f>
        <v>6.25</v>
      </c>
      <c r="I89" s="84">
        <f t="shared" ref="I89:I93" si="10">E89-H89</f>
        <v>43.75</v>
      </c>
      <c r="J89" s="165"/>
    </row>
    <row r="90" spans="1:10" x14ac:dyDescent="0.25">
      <c r="A90" s="165"/>
      <c r="B90" s="175">
        <v>10</v>
      </c>
      <c r="C90" s="106">
        <f t="shared" si="7"/>
        <v>12.5</v>
      </c>
      <c r="D90" s="106">
        <f t="shared" si="8"/>
        <v>2.5</v>
      </c>
      <c r="E90" s="175">
        <v>50</v>
      </c>
      <c r="F90" s="165"/>
      <c r="G90" s="165"/>
      <c r="H90" s="84">
        <f t="shared" si="9"/>
        <v>12.5</v>
      </c>
      <c r="I90" s="84">
        <f t="shared" si="10"/>
        <v>37.5</v>
      </c>
      <c r="J90" s="165"/>
    </row>
    <row r="91" spans="1:10" x14ac:dyDescent="0.25">
      <c r="A91" s="165"/>
      <c r="B91" s="175">
        <v>10</v>
      </c>
      <c r="C91" s="106">
        <f t="shared" si="7"/>
        <v>25</v>
      </c>
      <c r="D91" s="106">
        <f t="shared" si="8"/>
        <v>5</v>
      </c>
      <c r="E91" s="175">
        <v>50</v>
      </c>
      <c r="F91" s="165"/>
      <c r="G91" s="165"/>
      <c r="H91" s="84">
        <f t="shared" si="9"/>
        <v>25</v>
      </c>
      <c r="I91" s="84">
        <f t="shared" si="10"/>
        <v>25</v>
      </c>
      <c r="J91" s="165"/>
    </row>
    <row r="92" spans="1:10" x14ac:dyDescent="0.25">
      <c r="A92" s="165"/>
      <c r="B92" s="175">
        <v>10</v>
      </c>
      <c r="C92" s="106">
        <f t="shared" si="7"/>
        <v>37.5</v>
      </c>
      <c r="D92" s="106">
        <f t="shared" si="8"/>
        <v>7.5</v>
      </c>
      <c r="E92" s="175">
        <v>50</v>
      </c>
      <c r="F92" s="165"/>
      <c r="G92" s="165"/>
      <c r="H92" s="84">
        <f t="shared" si="9"/>
        <v>37.5</v>
      </c>
      <c r="I92" s="84">
        <f t="shared" si="10"/>
        <v>12.5</v>
      </c>
      <c r="J92" s="165"/>
    </row>
    <row r="93" spans="1:10" x14ac:dyDescent="0.25">
      <c r="A93" s="165"/>
      <c r="B93" s="175">
        <v>10</v>
      </c>
      <c r="C93" s="106">
        <f t="shared" si="7"/>
        <v>50</v>
      </c>
      <c r="D93" s="106">
        <f t="shared" si="8"/>
        <v>10</v>
      </c>
      <c r="E93" s="175">
        <v>50</v>
      </c>
      <c r="F93" s="165"/>
      <c r="G93" s="165"/>
      <c r="H93" s="84">
        <f t="shared" si="9"/>
        <v>50</v>
      </c>
      <c r="I93" s="84">
        <f t="shared" si="10"/>
        <v>0</v>
      </c>
      <c r="J93" s="165"/>
    </row>
    <row r="96" spans="1:10" x14ac:dyDescent="0.25">
      <c r="A96" s="165" t="s">
        <v>329</v>
      </c>
      <c r="B96" s="165"/>
      <c r="C96" s="165"/>
      <c r="D96" s="165"/>
      <c r="E96" s="165"/>
      <c r="F96" s="165"/>
      <c r="G96" s="165"/>
      <c r="H96" s="165"/>
      <c r="I96" s="165"/>
      <c r="J96" s="165"/>
    </row>
    <row r="97" spans="2:11" x14ac:dyDescent="0.25">
      <c r="B97" s="165" t="s">
        <v>330</v>
      </c>
      <c r="C97" s="88" t="s">
        <v>331</v>
      </c>
      <c r="D97" s="301" t="s">
        <v>332</v>
      </c>
      <c r="E97" s="301"/>
      <c r="F97" s="301"/>
      <c r="G97" s="301"/>
      <c r="H97" s="301"/>
      <c r="I97" s="301"/>
      <c r="J97" s="301"/>
      <c r="K97" s="165"/>
    </row>
    <row r="98" spans="2:11" x14ac:dyDescent="0.25">
      <c r="B98" s="165" t="s">
        <v>333</v>
      </c>
      <c r="C98" s="88">
        <v>10</v>
      </c>
      <c r="D98" s="301" t="s">
        <v>334</v>
      </c>
      <c r="E98" s="301"/>
      <c r="F98" s="301"/>
      <c r="G98" s="301"/>
      <c r="H98" s="301"/>
      <c r="I98" s="301"/>
      <c r="J98" s="301"/>
      <c r="K98" s="165" t="str">
        <f>B98&amp;" = "&amp;" "&amp;"# "&amp;D98</f>
        <v>orig_F_conc =  # What is the starting F primer concentration? (in uM)</v>
      </c>
    </row>
    <row r="99" spans="2:11" x14ac:dyDescent="0.25">
      <c r="B99" s="165" t="s">
        <v>335</v>
      </c>
      <c r="C99" s="88">
        <v>10</v>
      </c>
      <c r="D99" s="301" t="s">
        <v>336</v>
      </c>
      <c r="E99" s="301"/>
      <c r="F99" s="301"/>
      <c r="G99" s="301"/>
      <c r="H99" s="301"/>
      <c r="I99" s="301"/>
      <c r="J99" s="301"/>
      <c r="K99" s="165" t="str">
        <f t="shared" ref="K99:K164" si="11">B99&amp;" = "&amp;" "&amp;"# "&amp;D99</f>
        <v>orig_R_conc =  # What is the starting R primer concentration? (in uM)</v>
      </c>
    </row>
    <row r="100" spans="2:11" x14ac:dyDescent="0.25">
      <c r="B100" s="165" t="s">
        <v>337</v>
      </c>
      <c r="C100" s="88">
        <v>10</v>
      </c>
      <c r="D100" s="301" t="s">
        <v>338</v>
      </c>
      <c r="E100" s="301"/>
      <c r="F100" s="301"/>
      <c r="G100" s="301"/>
      <c r="H100" s="301"/>
      <c r="I100" s="301"/>
      <c r="J100" s="301"/>
      <c r="K100" s="165" t="str">
        <f t="shared" si="11"/>
        <v>orig_P_conc =  # What is probe starting concentration? (in uM)</v>
      </c>
    </row>
    <row r="101" spans="2:11" x14ac:dyDescent="0.25">
      <c r="B101" s="165" t="s">
        <v>343</v>
      </c>
      <c r="C101" s="88">
        <v>500</v>
      </c>
      <c r="D101" s="301" t="s">
        <v>602</v>
      </c>
      <c r="E101" s="301"/>
      <c r="F101" s="301"/>
      <c r="G101" s="301"/>
      <c r="H101" s="301"/>
      <c r="I101" s="301"/>
      <c r="J101" s="301"/>
      <c r="K101" s="165" t="str">
        <f t="shared" si="11"/>
        <v>P_conc =  # What is the probe concentration for the stds?</v>
      </c>
    </row>
    <row r="102" spans="2:11" x14ac:dyDescent="0.25">
      <c r="B102" s="165" t="s">
        <v>603</v>
      </c>
      <c r="C102" s="88">
        <v>50</v>
      </c>
      <c r="D102" s="301" t="s">
        <v>604</v>
      </c>
      <c r="E102" s="301"/>
      <c r="F102" s="301"/>
      <c r="G102" s="301"/>
      <c r="H102" s="301"/>
      <c r="I102" s="301"/>
      <c r="J102" s="301"/>
      <c r="K102" s="165" t="str">
        <f t="shared" si="11"/>
        <v>P_50 =  # Probe at lowest conc.</v>
      </c>
    </row>
    <row r="103" spans="2:11" x14ac:dyDescent="0.25">
      <c r="B103" s="165" t="s">
        <v>605</v>
      </c>
      <c r="C103" s="88">
        <v>100</v>
      </c>
      <c r="D103" s="301" t="s">
        <v>606</v>
      </c>
      <c r="E103" s="301"/>
      <c r="F103" s="301"/>
      <c r="G103" s="301"/>
      <c r="H103" s="301"/>
      <c r="I103" s="301"/>
      <c r="J103" s="301"/>
      <c r="K103" s="165" t="str">
        <f t="shared" si="11"/>
        <v>P_100 =  # Probe at conc</v>
      </c>
    </row>
    <row r="104" spans="2:11" x14ac:dyDescent="0.25">
      <c r="B104" s="165" t="s">
        <v>607</v>
      </c>
      <c r="C104" s="88">
        <v>200</v>
      </c>
      <c r="D104" s="301" t="s">
        <v>606</v>
      </c>
      <c r="E104" s="301"/>
      <c r="F104" s="301"/>
      <c r="G104" s="301"/>
      <c r="H104" s="301"/>
      <c r="I104" s="301"/>
      <c r="J104" s="301"/>
      <c r="K104" s="165" t="str">
        <f t="shared" si="11"/>
        <v>P_200 =  # Probe at conc</v>
      </c>
    </row>
    <row r="105" spans="2:11" x14ac:dyDescent="0.25">
      <c r="B105" s="165" t="s">
        <v>608</v>
      </c>
      <c r="C105" s="88">
        <v>400</v>
      </c>
      <c r="D105" s="301" t="s">
        <v>606</v>
      </c>
      <c r="E105" s="301"/>
      <c r="F105" s="301"/>
      <c r="G105" s="301"/>
      <c r="H105" s="301"/>
      <c r="I105" s="301"/>
      <c r="J105" s="301"/>
      <c r="K105" s="165" t="str">
        <f t="shared" si="11"/>
        <v>P_400 =  # Probe at conc</v>
      </c>
    </row>
    <row r="106" spans="2:11" x14ac:dyDescent="0.25">
      <c r="B106" s="165" t="s">
        <v>609</v>
      </c>
      <c r="C106" s="88">
        <v>600</v>
      </c>
      <c r="D106" s="301" t="s">
        <v>606</v>
      </c>
      <c r="E106" s="301"/>
      <c r="F106" s="301"/>
      <c r="G106" s="301"/>
      <c r="H106" s="301"/>
      <c r="I106" s="301"/>
      <c r="J106" s="301"/>
      <c r="K106" s="165" t="str">
        <f t="shared" si="11"/>
        <v>P_600 =  # Probe at conc</v>
      </c>
    </row>
    <row r="107" spans="2:11" x14ac:dyDescent="0.25">
      <c r="B107" s="165" t="s">
        <v>610</v>
      </c>
      <c r="C107" s="88">
        <v>800</v>
      </c>
      <c r="D107" s="301" t="s">
        <v>611</v>
      </c>
      <c r="E107" s="301"/>
      <c r="F107" s="301"/>
      <c r="G107" s="301"/>
      <c r="H107" s="301"/>
      <c r="I107" s="301"/>
      <c r="J107" s="301"/>
      <c r="K107" s="165" t="str">
        <f t="shared" si="11"/>
        <v>P_800 =  # Probe at highest conc.</v>
      </c>
    </row>
    <row r="108" spans="2:11" x14ac:dyDescent="0.25">
      <c r="B108" s="165" t="s">
        <v>612</v>
      </c>
      <c r="C108" s="88">
        <v>24</v>
      </c>
      <c r="D108" s="301" t="s">
        <v>613</v>
      </c>
      <c r="E108" s="301"/>
      <c r="F108" s="301"/>
      <c r="G108" s="301"/>
      <c r="H108" s="301"/>
      <c r="I108" s="301"/>
      <c r="J108" s="301"/>
      <c r="K108" s="165" t="str">
        <f t="shared" si="11"/>
        <v>sample_reps =  # How many samples at each F, R conc will be run?</v>
      </c>
    </row>
    <row r="109" spans="2:11" x14ac:dyDescent="0.25">
      <c r="B109" s="165" t="s">
        <v>345</v>
      </c>
      <c r="C109" s="88">
        <v>21</v>
      </c>
      <c r="D109" s="301" t="s">
        <v>346</v>
      </c>
      <c r="E109" s="301"/>
      <c r="F109" s="301"/>
      <c r="G109" s="301"/>
      <c r="H109" s="301"/>
      <c r="I109" s="301"/>
      <c r="J109" s="301"/>
      <c r="K109" s="165" t="str">
        <f t="shared" si="11"/>
        <v>tot_stds =  # How many wells of standards will be run? (in # wells)</v>
      </c>
    </row>
    <row r="110" spans="2:11" x14ac:dyDescent="0.25">
      <c r="B110" s="165" t="s">
        <v>347</v>
      </c>
      <c r="C110" s="88">
        <v>3</v>
      </c>
      <c r="D110" s="301" t="s">
        <v>348</v>
      </c>
      <c r="E110" s="301"/>
      <c r="F110" s="301"/>
      <c r="G110" s="301"/>
      <c r="H110" s="301"/>
      <c r="I110" s="301"/>
      <c r="J110" s="301"/>
      <c r="K110" s="165" t="str">
        <f t="shared" si="11"/>
        <v>tot_NTCs =  # How many wells of NTCs will be run? (in # wells)</v>
      </c>
    </row>
    <row r="111" spans="2:11" x14ac:dyDescent="0.25">
      <c r="B111" s="165" t="s">
        <v>349</v>
      </c>
      <c r="C111" s="88">
        <v>72</v>
      </c>
      <c r="D111" s="301" t="s">
        <v>350</v>
      </c>
      <c r="E111" s="301"/>
      <c r="F111" s="301"/>
      <c r="G111" s="301"/>
      <c r="H111" s="301"/>
      <c r="I111" s="301"/>
      <c r="J111" s="301"/>
      <c r="K111" s="165" t="str">
        <f t="shared" si="11"/>
        <v>tot_samp =  # How many samples with varying conditions will be run? (in # wells)</v>
      </c>
    </row>
    <row r="112" spans="2:11" x14ac:dyDescent="0.25">
      <c r="B112" s="165" t="s">
        <v>351</v>
      </c>
      <c r="C112" s="88">
        <v>9.16</v>
      </c>
      <c r="D112" s="301" t="s">
        <v>352</v>
      </c>
      <c r="E112" s="301"/>
      <c r="F112" s="301"/>
      <c r="G112" s="301"/>
      <c r="H112" s="301"/>
      <c r="I112" s="301"/>
      <c r="J112" s="301"/>
      <c r="K112" s="165" t="str">
        <f t="shared" si="11"/>
        <v>rxn_base =  # Everything in PCR buffer (Mg2+, dNTPs, polymerase, enhancers, stabilizers, sugars, etc.). (in uL)</v>
      </c>
    </row>
    <row r="113" spans="2:11" x14ac:dyDescent="0.25">
      <c r="B113" s="165" t="s">
        <v>614</v>
      </c>
      <c r="C113" s="88">
        <v>14.8</v>
      </c>
      <c r="D113" s="301" t="s">
        <v>615</v>
      </c>
      <c r="E113" s="301"/>
      <c r="F113" s="301"/>
      <c r="G113" s="301"/>
      <c r="H113" s="301"/>
      <c r="I113" s="301"/>
      <c r="J113" s="301"/>
      <c r="K113" s="165" t="str">
        <f t="shared" si="11"/>
        <v xml:space="preserve">rxn_base_plus_water =  # This value set from other experiments. </v>
      </c>
    </row>
    <row r="114" spans="2:11" x14ac:dyDescent="0.25">
      <c r="B114" s="165" t="s">
        <v>353</v>
      </c>
      <c r="C114" s="88">
        <v>20</v>
      </c>
      <c r="D114" s="301" t="s">
        <v>354</v>
      </c>
      <c r="E114" s="301"/>
      <c r="F114" s="301"/>
      <c r="G114" s="301"/>
      <c r="H114" s="301"/>
      <c r="I114" s="301"/>
      <c r="J114" s="301"/>
      <c r="K114" s="165" t="str">
        <f t="shared" si="11"/>
        <v>tot_rxn_vol =  # What is total volume of PCR reaction in plate/tube? (in ul)</v>
      </c>
    </row>
    <row r="115" spans="2:11" x14ac:dyDescent="0.25">
      <c r="B115" s="165" t="s">
        <v>616</v>
      </c>
      <c r="C115" s="88">
        <v>200</v>
      </c>
      <c r="D115" s="301" t="s">
        <v>361</v>
      </c>
      <c r="E115" s="301"/>
      <c r="F115" s="301"/>
      <c r="G115" s="301"/>
      <c r="H115" s="301"/>
      <c r="I115" s="301"/>
      <c r="J115" s="301"/>
      <c r="K115" s="165" t="str">
        <f t="shared" si="11"/>
        <v>F_upp =  # F primer at lowest concentration. (in nM)</v>
      </c>
    </row>
    <row r="116" spans="2:11" x14ac:dyDescent="0.25">
      <c r="B116" s="165" t="s">
        <v>617</v>
      </c>
      <c r="C116" s="88">
        <v>100</v>
      </c>
      <c r="D116" s="301" t="s">
        <v>618</v>
      </c>
      <c r="E116" s="301"/>
      <c r="F116" s="301"/>
      <c r="G116" s="301"/>
      <c r="H116" s="301"/>
      <c r="I116" s="301"/>
      <c r="J116" s="301"/>
      <c r="K116" s="165" t="str">
        <f t="shared" si="11"/>
        <v>F_mid =  # What is the constant F primer concentration for standards? This should be guess or from literature or empirically determined. (in nM)</v>
      </c>
    </row>
    <row r="117" spans="2:11" x14ac:dyDescent="0.25">
      <c r="B117" s="165" t="s">
        <v>619</v>
      </c>
      <c r="C117" s="88">
        <v>50</v>
      </c>
      <c r="D117" s="301" t="s">
        <v>363</v>
      </c>
      <c r="E117" s="301"/>
      <c r="F117" s="301"/>
      <c r="G117" s="301"/>
      <c r="H117" s="301"/>
      <c r="I117" s="301"/>
      <c r="J117" s="301"/>
      <c r="K117" s="165" t="str">
        <f t="shared" si="11"/>
        <v>F_low =  # F primer at concentration. (in nM)</v>
      </c>
    </row>
    <row r="118" spans="2:11" x14ac:dyDescent="0.25">
      <c r="B118" s="165" t="s">
        <v>620</v>
      </c>
      <c r="C118" s="88">
        <v>200</v>
      </c>
      <c r="D118" s="301" t="s">
        <v>370</v>
      </c>
      <c r="E118" s="301"/>
      <c r="F118" s="301"/>
      <c r="G118" s="301"/>
      <c r="H118" s="301"/>
      <c r="I118" s="301"/>
      <c r="J118" s="301"/>
      <c r="K118" s="165" t="str">
        <f t="shared" si="11"/>
        <v>R_upp =  # R primer at lowest concentration. (in nM)</v>
      </c>
    </row>
    <row r="119" spans="2:11" x14ac:dyDescent="0.25">
      <c r="B119" s="165" t="s">
        <v>621</v>
      </c>
      <c r="C119" s="88">
        <v>100</v>
      </c>
      <c r="D119" s="301" t="s">
        <v>622</v>
      </c>
      <c r="E119" s="301"/>
      <c r="F119" s="301"/>
      <c r="G119" s="301"/>
      <c r="H119" s="301"/>
      <c r="I119" s="301"/>
      <c r="J119" s="301"/>
      <c r="K119" s="165" t="str">
        <f t="shared" si="11"/>
        <v>R_mid =  # What is the constant R primer concentration for standards? This should be guess or from literature or empirically determined. (in nM)</v>
      </c>
    </row>
    <row r="120" spans="2:11" x14ac:dyDescent="0.25">
      <c r="B120" s="165" t="s">
        <v>623</v>
      </c>
      <c r="C120" s="88">
        <v>50</v>
      </c>
      <c r="D120" s="301" t="s">
        <v>372</v>
      </c>
      <c r="E120" s="301"/>
      <c r="F120" s="301"/>
      <c r="G120" s="301"/>
      <c r="H120" s="301"/>
      <c r="I120" s="301"/>
      <c r="J120" s="301"/>
      <c r="K120" s="165" t="str">
        <f t="shared" si="11"/>
        <v>R_low =  # R primer at concentration. (in nM)</v>
      </c>
    </row>
    <row r="121" spans="2:11" x14ac:dyDescent="0.25">
      <c r="B121" s="165" t="s">
        <v>378</v>
      </c>
      <c r="C121" s="88">
        <v>2</v>
      </c>
      <c r="D121" s="301" t="s">
        <v>379</v>
      </c>
      <c r="E121" s="301"/>
      <c r="F121" s="301"/>
      <c r="G121" s="301"/>
      <c r="H121" s="301"/>
      <c r="I121" s="301"/>
      <c r="J121" s="301"/>
      <c r="K121" s="165" t="str">
        <f t="shared" si="11"/>
        <v xml:space="preserve">dna_per_rxn =  # How much standard, positive control or NTC to add per well. </v>
      </c>
    </row>
    <row r="122" spans="2:11" x14ac:dyDescent="0.25">
      <c r="B122" s="165" t="s">
        <v>380</v>
      </c>
      <c r="C122" s="88">
        <v>3</v>
      </c>
      <c r="D122" s="301" t="s">
        <v>381</v>
      </c>
      <c r="E122" s="301"/>
      <c r="F122" s="301"/>
      <c r="G122" s="301"/>
      <c r="H122" s="301"/>
      <c r="I122" s="301"/>
      <c r="J122" s="301"/>
      <c r="K122" s="165" t="str">
        <f t="shared" si="11"/>
        <v>std_NTC_reps =  # How many standard and NTC replicates? (int)</v>
      </c>
    </row>
    <row r="123" spans="2:11" x14ac:dyDescent="0.25">
      <c r="B123" s="165" t="s">
        <v>624</v>
      </c>
      <c r="C123" s="88">
        <v>12</v>
      </c>
      <c r="D123" s="301" t="s">
        <v>625</v>
      </c>
      <c r="E123" s="301"/>
      <c r="F123" s="301"/>
      <c r="G123" s="301"/>
      <c r="H123" s="301"/>
      <c r="I123" s="301"/>
      <c r="J123" s="301"/>
      <c r="K123" s="165" t="str">
        <f t="shared" si="11"/>
        <v>P_reps =  # How many wells will use probe primer at particular concentration? (int)</v>
      </c>
    </row>
    <row r="124" spans="2:11" x14ac:dyDescent="0.25">
      <c r="B124" s="165" t="s">
        <v>626</v>
      </c>
      <c r="C124" s="88">
        <v>1.6</v>
      </c>
      <c r="D124" s="301" t="s">
        <v>627</v>
      </c>
      <c r="E124" s="301"/>
      <c r="F124" s="301"/>
      <c r="G124" s="301"/>
      <c r="H124" s="301"/>
      <c r="I124" s="301"/>
      <c r="J124" s="301"/>
      <c r="K124" s="165" t="str">
        <f t="shared" si="11"/>
        <v>P_vol_rxn =  # What vol of probe will be added to reaction? (in ul)</v>
      </c>
    </row>
    <row r="125" spans="2:11" x14ac:dyDescent="0.25">
      <c r="B125" s="165" t="s">
        <v>628</v>
      </c>
      <c r="C125" s="88">
        <v>50</v>
      </c>
      <c r="D125" s="301" t="s">
        <v>387</v>
      </c>
      <c r="E125" s="301"/>
      <c r="F125" s="301"/>
      <c r="G125" s="301"/>
      <c r="H125" s="301"/>
      <c r="I125" s="301"/>
      <c r="J125" s="301"/>
      <c r="K125" s="165" t="str">
        <f t="shared" si="11"/>
        <v>P_int_vol =  # What is the volume of F intermediate primer in new tube? (in ul)</v>
      </c>
    </row>
    <row r="126" spans="2:11" x14ac:dyDescent="0.25">
      <c r="B126" s="102" t="s">
        <v>388</v>
      </c>
      <c r="C126" s="88">
        <v>0.2</v>
      </c>
      <c r="D126" s="301" t="s">
        <v>389</v>
      </c>
      <c r="E126" s="301"/>
      <c r="F126" s="301"/>
      <c r="G126" s="301"/>
      <c r="H126" s="301"/>
      <c r="I126" s="301"/>
      <c r="J126" s="301"/>
      <c r="K126" s="165" t="str">
        <f t="shared" si="11"/>
        <v>percent_waste =  # What percentage waste? (decimal)</v>
      </c>
    </row>
    <row r="127" spans="2:11" x14ac:dyDescent="0.25">
      <c r="B127" s="165" t="s">
        <v>390</v>
      </c>
      <c r="C127" s="88">
        <v>0.05</v>
      </c>
      <c r="D127" s="301" t="s">
        <v>391</v>
      </c>
      <c r="E127" s="301"/>
      <c r="F127" s="301"/>
      <c r="G127" s="301"/>
      <c r="H127" s="301"/>
      <c r="I127" s="301"/>
      <c r="J127" s="301"/>
      <c r="K127" s="165" t="str">
        <f t="shared" si="11"/>
        <v>sN_mix_waste_offset =  # How much percent_waste offset should sN_mix use? This calculated as percent_waste-sN_mix_overage = percent_waste for sN_mix_overage e.g. (20-7=13%) Should not be 0 otherwise offset = percent_waste. (decimal)</v>
      </c>
    </row>
    <row r="128" spans="2:11" x14ac:dyDescent="0.25">
      <c r="B128" s="165" t="s">
        <v>629</v>
      </c>
      <c r="C128" s="88">
        <v>0.05</v>
      </c>
      <c r="D128" s="301" t="s">
        <v>393</v>
      </c>
      <c r="E128" s="301"/>
      <c r="F128" s="301"/>
      <c r="G128" s="301"/>
      <c r="H128" s="301"/>
      <c r="I128" s="301"/>
      <c r="J128" s="301"/>
      <c r="K128" s="165" t="str">
        <f t="shared" si="11"/>
        <v>samp_int_mix_waste_offset =  # How much percent_waste offset should R_mix use? This calculated as percent_waste-R_mix_overage = percent_waste for R_mix_overage e.g. (20-=13%) If 0, then offset = percent_waste. (decimal)</v>
      </c>
    </row>
    <row r="129" spans="2:11" x14ac:dyDescent="0.25">
      <c r="B129" s="165" t="s">
        <v>394</v>
      </c>
      <c r="C129" s="109">
        <v>7.0000000000000007E-2</v>
      </c>
      <c r="D129" s="301" t="s">
        <v>395</v>
      </c>
      <c r="E129" s="301"/>
      <c r="F129" s="301"/>
      <c r="G129" s="301"/>
      <c r="H129" s="301"/>
      <c r="I129" s="301"/>
      <c r="J129" s="301"/>
      <c r="K129" s="165" t="str">
        <f t="shared" si="11"/>
        <v>std_NTC_waste_offset =  # How much percent_waste offset should std_NTC use? (decimal)</v>
      </c>
    </row>
    <row r="130" spans="2:11" x14ac:dyDescent="0.25">
      <c r="B130" s="165" t="s">
        <v>630</v>
      </c>
      <c r="C130" s="109">
        <v>0.08</v>
      </c>
      <c r="D130" s="301" t="s">
        <v>631</v>
      </c>
      <c r="E130" s="301"/>
      <c r="F130" s="301"/>
      <c r="G130" s="301"/>
      <c r="H130" s="301"/>
      <c r="I130" s="301"/>
      <c r="J130" s="301"/>
      <c r="K130" s="165" t="str">
        <f t="shared" si="11"/>
        <v>mix_samp_XFT_well_waste_offset =  # How much should offset be from each sample tube, upper, mid, low to the plate wells? Will receive P, be mixed and then aliquoted to 3 wells.</v>
      </c>
    </row>
    <row r="131" spans="2:11" x14ac:dyDescent="0.25">
      <c r="B131" s="165"/>
      <c r="C131" s="109"/>
      <c r="D131" s="165"/>
      <c r="E131" s="165"/>
      <c r="F131" s="165"/>
      <c r="G131" s="165"/>
      <c r="H131" s="165"/>
      <c r="I131" s="165"/>
      <c r="J131" s="165"/>
      <c r="K131" s="165"/>
    </row>
    <row r="132" spans="2:11" x14ac:dyDescent="0.25">
      <c r="B132" s="165" t="s">
        <v>398</v>
      </c>
      <c r="C132" s="88"/>
      <c r="D132" s="301"/>
      <c r="E132" s="301"/>
      <c r="F132" s="301"/>
      <c r="G132" s="301"/>
      <c r="H132" s="301"/>
      <c r="I132" s="301"/>
      <c r="J132" s="301"/>
      <c r="K132" s="165"/>
    </row>
    <row r="133" spans="2:11" x14ac:dyDescent="0.25">
      <c r="B133" s="165" t="s">
        <v>399</v>
      </c>
      <c r="C133" s="88">
        <f>SUM(C109:C111)</f>
        <v>96</v>
      </c>
      <c r="D133" s="301" t="s">
        <v>400</v>
      </c>
      <c r="E133" s="301"/>
      <c r="F133" s="301"/>
      <c r="G133" s="301"/>
      <c r="H133" s="301"/>
      <c r="I133" s="301"/>
      <c r="J133" s="301"/>
      <c r="K133" s="165" t="str">
        <f t="shared" si="11"/>
        <v>tot_rxns =  # Calc what is total # rxns. (int)</v>
      </c>
    </row>
    <row r="134" spans="2:11" x14ac:dyDescent="0.25">
      <c r="B134" s="165" t="s">
        <v>632</v>
      </c>
      <c r="C134" s="88">
        <f>SUM(C109:C110)</f>
        <v>24</v>
      </c>
      <c r="D134" s="301" t="s">
        <v>402</v>
      </c>
      <c r="E134" s="301"/>
      <c r="F134" s="301"/>
      <c r="G134" s="301"/>
      <c r="H134" s="301"/>
      <c r="I134" s="301"/>
      <c r="J134" s="301"/>
      <c r="K134" s="165" t="str">
        <f t="shared" si="11"/>
        <v>tot_stds_NTC =  # Calc number of standards and nontemplate controls. (int)</v>
      </c>
    </row>
    <row r="135" spans="2:11" x14ac:dyDescent="0.25">
      <c r="B135" s="165" t="s">
        <v>403</v>
      </c>
      <c r="C135" s="88">
        <f>C114-C121</f>
        <v>18</v>
      </c>
      <c r="D135" s="301" t="s">
        <v>404</v>
      </c>
      <c r="E135" s="301"/>
      <c r="F135" s="301"/>
      <c r="G135" s="301"/>
      <c r="H135" s="301"/>
      <c r="I135" s="301"/>
      <c r="J135" s="301"/>
      <c r="K135" s="165" t="str">
        <f t="shared" si="11"/>
        <v>rxn_vol_no_dna =  # Calc what is volume of PCR rxn with no DNA added. (in ul)</v>
      </c>
    </row>
    <row r="136" spans="2:11" x14ac:dyDescent="0.25">
      <c r="B136" s="165" t="s">
        <v>633</v>
      </c>
      <c r="C136" s="88">
        <f>C113*C133*(1+C126)</f>
        <v>1704.9600000000003</v>
      </c>
      <c r="D136" s="301" t="s">
        <v>634</v>
      </c>
      <c r="E136" s="301"/>
      <c r="F136" s="301"/>
      <c r="G136" s="301"/>
      <c r="H136" s="301"/>
      <c r="I136" s="301"/>
      <c r="J136" s="301"/>
      <c r="K136" s="165" t="str">
        <f t="shared" si="11"/>
        <v>mix_bw_tot =  # Tube with mix containing base and water.</v>
      </c>
    </row>
    <row r="137" spans="2:11" x14ac:dyDescent="0.25">
      <c r="B137" s="165" t="s">
        <v>635</v>
      </c>
      <c r="C137" s="88">
        <f>C134*C113*(1+C126-C127)</f>
        <v>408.48</v>
      </c>
      <c r="D137" s="301" t="s">
        <v>636</v>
      </c>
      <c r="E137" s="301"/>
      <c r="F137" s="301"/>
      <c r="G137" s="301"/>
      <c r="H137" s="301"/>
      <c r="I137" s="301"/>
      <c r="J137" s="301"/>
      <c r="K137" s="165" t="str">
        <f t="shared" si="11"/>
        <v>mix_bw_XFR_mix_sn =  # Transfer this amount from MIX_bw to new tube to receive F, R, P for std and NTC prep</v>
      </c>
    </row>
    <row r="138" spans="2:11" x14ac:dyDescent="0.25">
      <c r="B138" s="102" t="s">
        <v>413</v>
      </c>
      <c r="C138" s="88">
        <f>C117/1000*C114/C98</f>
        <v>0.1</v>
      </c>
      <c r="D138" s="301" t="s">
        <v>414</v>
      </c>
      <c r="E138" s="301"/>
      <c r="F138" s="301"/>
      <c r="G138" s="301"/>
      <c r="H138" s="301"/>
      <c r="I138" s="301"/>
      <c r="J138" s="301"/>
      <c r="K138" s="165" t="str">
        <f t="shared" si="11"/>
        <v>std_vol_F_per_rxn =  # Calc adding this much F primer to each std rxn</v>
      </c>
    </row>
    <row r="139" spans="2:11" x14ac:dyDescent="0.25">
      <c r="B139" s="102" t="s">
        <v>415</v>
      </c>
      <c r="C139" s="88">
        <f>C120/1000*C114/C99</f>
        <v>0.1</v>
      </c>
      <c r="D139" s="301" t="s">
        <v>637</v>
      </c>
      <c r="E139" s="301"/>
      <c r="F139" s="301"/>
      <c r="G139" s="301"/>
      <c r="H139" s="301"/>
      <c r="I139" s="301"/>
      <c r="J139" s="301"/>
      <c r="K139" s="165" t="str">
        <f t="shared" si="11"/>
        <v>std_vol_R_per_rxn =  # Calc adding this much R primer to each std rxn</v>
      </c>
    </row>
    <row r="140" spans="2:11" x14ac:dyDescent="0.25">
      <c r="B140" s="165" t="s">
        <v>638</v>
      </c>
      <c r="C140" s="88">
        <f>C101/1000*C114/C100</f>
        <v>1</v>
      </c>
      <c r="D140" s="301" t="s">
        <v>639</v>
      </c>
      <c r="E140" s="301"/>
      <c r="F140" s="301"/>
      <c r="G140" s="301"/>
      <c r="H140" s="301"/>
      <c r="I140" s="301"/>
      <c r="J140" s="301"/>
      <c r="K140" s="165" t="str">
        <f t="shared" si="11"/>
        <v>std_vol_P_per_rxn =  # Calc adding this much Probe to each std rxn</v>
      </c>
    </row>
    <row r="141" spans="2:11" x14ac:dyDescent="0.25">
      <c r="B141" s="165" t="s">
        <v>640</v>
      </c>
      <c r="C141" s="88">
        <f>18-SUM(C113,C138,C139,C140)</f>
        <v>2</v>
      </c>
      <c r="D141" s="301" t="s">
        <v>641</v>
      </c>
      <c r="E141" s="301"/>
      <c r="F141" s="301"/>
      <c r="G141" s="301"/>
      <c r="H141" s="301"/>
      <c r="I141" s="301"/>
      <c r="J141" s="301"/>
      <c r="K141" s="165" t="str">
        <f t="shared" si="11"/>
        <v>std_vol_water_per_rxn =  # How much water is added to the std_ntc reactions. Should be 18ul to receive 2ul DNA. (in ul)</v>
      </c>
    </row>
    <row r="142" spans="2:11" x14ac:dyDescent="0.25">
      <c r="B142" s="165" t="s">
        <v>642</v>
      </c>
      <c r="C142" s="88">
        <f>C138*C134*(1+C126-C127)</f>
        <v>2.7600000000000002</v>
      </c>
      <c r="D142" s="301" t="s">
        <v>643</v>
      </c>
      <c r="E142" s="301"/>
      <c r="F142" s="301"/>
      <c r="G142" s="301"/>
      <c r="H142" s="301"/>
      <c r="I142" s="301"/>
      <c r="J142" s="301"/>
      <c r="K142" s="165" t="str">
        <f t="shared" si="11"/>
        <v>std_vol_F_mix =  # How much F primer to add to MIX_sn?</v>
      </c>
    </row>
    <row r="143" spans="2:11" x14ac:dyDescent="0.25">
      <c r="B143" s="165" t="s">
        <v>644</v>
      </c>
      <c r="C143" s="88">
        <f>C139*C134*(1+C126-C127)</f>
        <v>2.7600000000000002</v>
      </c>
      <c r="D143" s="301" t="s">
        <v>645</v>
      </c>
      <c r="E143" s="301"/>
      <c r="F143" s="301"/>
      <c r="G143" s="301"/>
      <c r="H143" s="301"/>
      <c r="I143" s="301"/>
      <c r="J143" s="301"/>
      <c r="K143" s="165" t="str">
        <f t="shared" si="11"/>
        <v>std_vol_R_mix =  # How much R primer to add to MIX_sn?</v>
      </c>
    </row>
    <row r="144" spans="2:11" x14ac:dyDescent="0.25">
      <c r="B144" s="165" t="s">
        <v>646</v>
      </c>
      <c r="C144" s="88">
        <f>C140*C134*(1+C126-C127)</f>
        <v>27.599999999999998</v>
      </c>
      <c r="D144" s="301" t="s">
        <v>647</v>
      </c>
      <c r="E144" s="301"/>
      <c r="F144" s="301"/>
      <c r="G144" s="301"/>
      <c r="H144" s="301"/>
      <c r="I144" s="301"/>
      <c r="J144" s="301"/>
      <c r="K144" s="165" t="str">
        <f t="shared" si="11"/>
        <v>std_vol_P_mix =  # How much P primer to add to MIX_sn?</v>
      </c>
    </row>
    <row r="145" spans="2:11" x14ac:dyDescent="0.25">
      <c r="B145" s="165" t="s">
        <v>648</v>
      </c>
      <c r="C145" s="88">
        <f>C141*C134*(1+C126-C127)</f>
        <v>55.199999999999996</v>
      </c>
      <c r="D145" s="301" t="s">
        <v>649</v>
      </c>
      <c r="E145" s="301"/>
      <c r="F145" s="301"/>
      <c r="G145" s="301"/>
      <c r="H145" s="301"/>
      <c r="I145" s="301"/>
      <c r="J145" s="301"/>
      <c r="K145" s="165" t="str">
        <f t="shared" si="11"/>
        <v>std_vol_water_mix =  # How much water  to add to MIX_sn?</v>
      </c>
    </row>
    <row r="146" spans="2:11" x14ac:dyDescent="0.25">
      <c r="B146" s="165" t="s">
        <v>650</v>
      </c>
      <c r="C146" s="88">
        <f>SUM(C137,C142,C143,C144,C145)</f>
        <v>496.8</v>
      </c>
      <c r="D146" s="301" t="s">
        <v>651</v>
      </c>
      <c r="E146" s="301"/>
      <c r="F146" s="301"/>
      <c r="G146" s="301"/>
      <c r="H146" s="301"/>
      <c r="I146" s="301"/>
      <c r="J146" s="301"/>
      <c r="K146" s="165" t="str">
        <f t="shared" si="11"/>
        <v>mix_sn_tot =  # Mix containing base+water+F,R,P. Needs to be aliquoted to std_int tubes</v>
      </c>
    </row>
    <row r="147" spans="2:11" x14ac:dyDescent="0.25">
      <c r="B147" s="165" t="s">
        <v>652</v>
      </c>
      <c r="C147" s="88">
        <f>C122*C135*(1+C126-C129)</f>
        <v>61.019999999999996</v>
      </c>
      <c r="D147" s="301" t="s">
        <v>653</v>
      </c>
      <c r="E147" s="301"/>
      <c r="F147" s="301"/>
      <c r="G147" s="301"/>
      <c r="H147" s="301"/>
      <c r="I147" s="301"/>
      <c r="J147" s="301"/>
      <c r="K147" s="165" t="str">
        <f t="shared" si="11"/>
        <v>mix_sn_XFR_to_std_int =  # transfer this amount to std_int tubes</v>
      </c>
    </row>
    <row r="148" spans="2:11" x14ac:dyDescent="0.25">
      <c r="B148" s="165" t="s">
        <v>654</v>
      </c>
      <c r="C148" s="88">
        <f>C121*C122*(1+C126-C129)</f>
        <v>6.7799999999999994</v>
      </c>
      <c r="D148" s="165" t="s">
        <v>655</v>
      </c>
      <c r="E148" s="165"/>
      <c r="F148" s="165"/>
      <c r="G148" s="165"/>
      <c r="H148" s="165"/>
      <c r="I148" s="165"/>
      <c r="J148" s="165"/>
      <c r="K148" s="165"/>
    </row>
    <row r="149" spans="2:11" x14ac:dyDescent="0.25">
      <c r="B149" s="165" t="s">
        <v>656</v>
      </c>
      <c r="C149" s="88">
        <f>C108*(C113+C150)*(1+C126-C128)</f>
        <v>463.68</v>
      </c>
      <c r="D149" s="301" t="s">
        <v>657</v>
      </c>
      <c r="E149" s="301"/>
      <c r="F149" s="301"/>
      <c r="G149" s="301"/>
      <c r="H149" s="301"/>
      <c r="I149" s="301"/>
      <c r="J149" s="301"/>
      <c r="K149" s="165" t="str">
        <f t="shared" si="11"/>
        <v>mix_bw_XFR_samp_int =  # transfer this amount from mix_bw to a new sample intermediate tube for diff values of F, R conc.</v>
      </c>
    </row>
    <row r="150" spans="2:11" x14ac:dyDescent="0.25">
      <c r="B150" s="165" t="s">
        <v>658</v>
      </c>
      <c r="C150" s="88">
        <v>2</v>
      </c>
      <c r="D150" s="301" t="s">
        <v>659</v>
      </c>
      <c r="E150" s="301"/>
      <c r="F150" s="301"/>
      <c r="G150" s="301"/>
      <c r="H150" s="301"/>
      <c r="I150" s="301"/>
      <c r="J150" s="301"/>
      <c r="K150" s="165" t="str">
        <f t="shared" si="11"/>
        <v>10x_dna_per_rxn =  # Dilute DNA vol added by 10x and use std_4 instead of std_5 to save vol for P and F, R at upp</v>
      </c>
    </row>
    <row r="151" spans="2:11" x14ac:dyDescent="0.25">
      <c r="B151" s="165" t="s">
        <v>660</v>
      </c>
      <c r="C151" s="88">
        <f>C108*C150*(1+C126-C128)</f>
        <v>55.199999999999996</v>
      </c>
      <c r="D151" s="301" t="s">
        <v>661</v>
      </c>
      <c r="E151" s="301"/>
      <c r="F151" s="301"/>
      <c r="G151" s="301"/>
      <c r="H151" s="301"/>
      <c r="I151" s="301"/>
      <c r="J151" s="301"/>
      <c r="K151" s="165" t="str">
        <f t="shared" si="11"/>
        <v>dna_XFR_samp_int =  # Add this DNA to a tube and mix before aliquoting to samp_int</v>
      </c>
    </row>
    <row r="152" spans="2:11" x14ac:dyDescent="0.25">
      <c r="B152" s="165" t="s">
        <v>662</v>
      </c>
      <c r="C152" s="88">
        <f>C116/1000*C114/C98</f>
        <v>0.2</v>
      </c>
      <c r="D152" s="301" t="s">
        <v>663</v>
      </c>
      <c r="E152" s="301"/>
      <c r="F152" s="301"/>
      <c r="G152" s="301"/>
      <c r="H152" s="301"/>
      <c r="I152" s="301"/>
      <c r="J152" s="301"/>
      <c r="K152" s="165" t="str">
        <f t="shared" si="11"/>
        <v xml:space="preserve">F_mid_rxn =  # How much F @ mid conc to add to rxn. </v>
      </c>
    </row>
    <row r="153" spans="2:11" x14ac:dyDescent="0.25">
      <c r="B153" s="165" t="s">
        <v>664</v>
      </c>
      <c r="C153" s="88">
        <f>C152*C108*(1+C126-C128)</f>
        <v>5.5200000000000005</v>
      </c>
      <c r="D153" s="301" t="s">
        <v>665</v>
      </c>
      <c r="E153" s="301"/>
      <c r="F153" s="301"/>
      <c r="G153" s="301"/>
      <c r="H153" s="301"/>
      <c r="I153" s="301"/>
      <c r="J153" s="301"/>
      <c r="K153" s="165" t="str">
        <f t="shared" si="11"/>
        <v>F_mid_mix =  # How much F to add to mix</v>
      </c>
    </row>
    <row r="154" spans="2:11" x14ac:dyDescent="0.25">
      <c r="B154" s="165" t="s">
        <v>666</v>
      </c>
      <c r="C154" s="88">
        <f>C119/1000*C114/C99</f>
        <v>0.2</v>
      </c>
      <c r="D154" s="301" t="s">
        <v>667</v>
      </c>
      <c r="E154" s="301"/>
      <c r="F154" s="301"/>
      <c r="G154" s="301"/>
      <c r="H154" s="301"/>
      <c r="I154" s="301"/>
      <c r="J154" s="301"/>
      <c r="K154" s="165" t="str">
        <f t="shared" si="11"/>
        <v xml:space="preserve">R_mid_rxn =  # How much R @ mid conc to add to rxn. </v>
      </c>
    </row>
    <row r="155" spans="2:11" x14ac:dyDescent="0.25">
      <c r="B155" s="165" t="s">
        <v>668</v>
      </c>
      <c r="C155" s="88">
        <f>C154*C108*(1+C126-C128)</f>
        <v>5.5200000000000005</v>
      </c>
      <c r="D155" s="301" t="s">
        <v>669</v>
      </c>
      <c r="E155" s="301"/>
      <c r="F155" s="301"/>
      <c r="G155" s="301"/>
      <c r="H155" s="301"/>
      <c r="I155" s="301"/>
      <c r="J155" s="301"/>
      <c r="K155" s="165" t="str">
        <f t="shared" si="11"/>
        <v>R_mid_mix =  # How much R to add to mix</v>
      </c>
    </row>
    <row r="156" spans="2:11" x14ac:dyDescent="0.25">
      <c r="B156" s="165" t="s">
        <v>670</v>
      </c>
      <c r="C156" s="88">
        <f>C117/1000*C114/C98</f>
        <v>0.1</v>
      </c>
      <c r="D156" s="301" t="s">
        <v>671</v>
      </c>
      <c r="E156" s="301"/>
      <c r="F156" s="301"/>
      <c r="G156" s="301"/>
      <c r="H156" s="301"/>
      <c r="I156" s="301"/>
      <c r="J156" s="301"/>
      <c r="K156" s="165" t="str">
        <f t="shared" si="11"/>
        <v xml:space="preserve">F_low_rxn =  # How much F @ low conc to add to rxn. </v>
      </c>
    </row>
    <row r="157" spans="2:11" x14ac:dyDescent="0.25">
      <c r="B157" s="165" t="s">
        <v>672</v>
      </c>
      <c r="C157" s="88">
        <f>C156*C108*(1+C126-C128)</f>
        <v>2.7600000000000002</v>
      </c>
      <c r="D157" s="301" t="s">
        <v>665</v>
      </c>
      <c r="E157" s="301"/>
      <c r="F157" s="301"/>
      <c r="G157" s="301"/>
      <c r="H157" s="301"/>
      <c r="I157" s="301"/>
      <c r="J157" s="301"/>
      <c r="K157" s="165" t="str">
        <f t="shared" si="11"/>
        <v>F_low_mix =  # How much F to add to mix</v>
      </c>
    </row>
    <row r="158" spans="2:11" x14ac:dyDescent="0.25">
      <c r="B158" s="165" t="s">
        <v>673</v>
      </c>
      <c r="C158" s="88">
        <f>C120/1000*C114/C99</f>
        <v>0.1</v>
      </c>
      <c r="D158" s="301" t="s">
        <v>674</v>
      </c>
      <c r="E158" s="301"/>
      <c r="F158" s="301"/>
      <c r="G158" s="301"/>
      <c r="H158" s="301"/>
      <c r="I158" s="301"/>
      <c r="J158" s="301"/>
      <c r="K158" s="165" t="str">
        <f t="shared" si="11"/>
        <v xml:space="preserve">R_low_rxn =  # How much R @ low conc to add to rxn. </v>
      </c>
    </row>
    <row r="159" spans="2:11" x14ac:dyDescent="0.25">
      <c r="B159" s="165" t="s">
        <v>675</v>
      </c>
      <c r="C159" s="88">
        <f>C158*C108*(1+C126-C128)</f>
        <v>2.7600000000000002</v>
      </c>
      <c r="D159" s="301" t="s">
        <v>669</v>
      </c>
      <c r="E159" s="301"/>
      <c r="F159" s="301"/>
      <c r="G159" s="301"/>
      <c r="H159" s="301"/>
      <c r="I159" s="301"/>
      <c r="J159" s="301"/>
      <c r="K159" s="165" t="str">
        <f t="shared" si="11"/>
        <v>R_low_mix =  # How much R to add to mix</v>
      </c>
    </row>
    <row r="160" spans="2:11" x14ac:dyDescent="0.25">
      <c r="B160" s="165" t="s">
        <v>676</v>
      </c>
      <c r="C160" s="88">
        <f>C115/1000*C114/C98</f>
        <v>0.4</v>
      </c>
      <c r="D160" s="301" t="s">
        <v>677</v>
      </c>
      <c r="E160" s="301"/>
      <c r="F160" s="301"/>
      <c r="G160" s="301"/>
      <c r="H160" s="301"/>
      <c r="I160" s="301"/>
      <c r="J160" s="301"/>
      <c r="K160" s="165" t="str">
        <f t="shared" si="11"/>
        <v xml:space="preserve">F_upp_rxn =  # How much F @ upp conc to add to rxn. </v>
      </c>
    </row>
    <row r="161" spans="2:11" x14ac:dyDescent="0.25">
      <c r="B161" s="165" t="s">
        <v>678</v>
      </c>
      <c r="C161" s="88">
        <f>C160*C108*(1+C126-C128)</f>
        <v>11.040000000000001</v>
      </c>
      <c r="D161" s="301" t="s">
        <v>665</v>
      </c>
      <c r="E161" s="301"/>
      <c r="F161" s="301"/>
      <c r="G161" s="301"/>
      <c r="H161" s="301"/>
      <c r="I161" s="301"/>
      <c r="J161" s="301"/>
      <c r="K161" s="165" t="str">
        <f t="shared" si="11"/>
        <v>F_upp_mix =  # How much F to add to mix</v>
      </c>
    </row>
    <row r="162" spans="2:11" x14ac:dyDescent="0.25">
      <c r="B162" s="165" t="s">
        <v>679</v>
      </c>
      <c r="C162" s="88">
        <f>C118/1000*C114/C99</f>
        <v>0.4</v>
      </c>
      <c r="D162" s="301" t="s">
        <v>680</v>
      </c>
      <c r="E162" s="301"/>
      <c r="F162" s="301"/>
      <c r="G162" s="301"/>
      <c r="H162" s="301"/>
      <c r="I162" s="301"/>
      <c r="J162" s="301"/>
      <c r="K162" s="165" t="str">
        <f t="shared" si="11"/>
        <v xml:space="preserve">R_upp_rxn =  # How much R @ upp conc to add to rxn. </v>
      </c>
    </row>
    <row r="163" spans="2:11" x14ac:dyDescent="0.25">
      <c r="B163" s="165" t="s">
        <v>681</v>
      </c>
      <c r="C163" s="88">
        <f>C162*C108*(1+C126-C128)</f>
        <v>11.040000000000001</v>
      </c>
      <c r="D163" s="301" t="s">
        <v>669</v>
      </c>
      <c r="E163" s="301"/>
      <c r="F163" s="301"/>
      <c r="G163" s="301"/>
      <c r="H163" s="301"/>
      <c r="I163" s="301"/>
      <c r="J163" s="301"/>
      <c r="K163" s="165" t="str">
        <f t="shared" si="11"/>
        <v>R_upp_mix =  # How much R to add to mix</v>
      </c>
    </row>
    <row r="164" spans="2:11" x14ac:dyDescent="0.25">
      <c r="B164" s="165" t="s">
        <v>682</v>
      </c>
      <c r="C164" s="88">
        <f>C114-SUM(C113,C150,C160,C162,C124)</f>
        <v>0.80000000000000071</v>
      </c>
      <c r="D164" s="301" t="s">
        <v>683</v>
      </c>
      <c r="E164" s="301"/>
      <c r="F164" s="301"/>
      <c r="G164" s="301"/>
      <c r="H164" s="301"/>
      <c r="I164" s="301"/>
      <c r="J164" s="301"/>
      <c r="K164" s="165" t="str">
        <f t="shared" si="11"/>
        <v>water_upp_rxn =  # How much water to add to upp rxn</v>
      </c>
    </row>
    <row r="165" spans="2:11" x14ac:dyDescent="0.25">
      <c r="B165" s="165" t="s">
        <v>684</v>
      </c>
      <c r="C165" s="88">
        <f>C164*C108*(1+C126-C128)</f>
        <v>22.08000000000002</v>
      </c>
      <c r="D165" s="301" t="s">
        <v>685</v>
      </c>
      <c r="E165" s="301"/>
      <c r="F165" s="301"/>
      <c r="G165" s="301"/>
      <c r="H165" s="301"/>
      <c r="I165" s="301"/>
      <c r="J165" s="301"/>
      <c r="K165" s="165" t="str">
        <f t="shared" ref="K165:K191" si="12">B165&amp;" = "&amp;" "&amp;"# "&amp;D165</f>
        <v>water_upp_mix =  # How much water to add to upp mix</v>
      </c>
    </row>
    <row r="166" spans="2:11" x14ac:dyDescent="0.25">
      <c r="B166" s="165" t="s">
        <v>686</v>
      </c>
      <c r="C166" s="88">
        <f>20-SUM(C150,C156,C158,C113,C124)</f>
        <v>1.3999999999999986</v>
      </c>
      <c r="D166" s="301" t="s">
        <v>687</v>
      </c>
      <c r="E166" s="301"/>
      <c r="F166" s="301"/>
      <c r="G166" s="301"/>
      <c r="H166" s="301"/>
      <c r="I166" s="301"/>
      <c r="J166" s="301"/>
      <c r="K166" s="165" t="str">
        <f t="shared" si="12"/>
        <v>water_low_rxn =  # How much water to add to low rxn</v>
      </c>
    </row>
    <row r="167" spans="2:11" x14ac:dyDescent="0.25">
      <c r="B167" s="165" t="s">
        <v>688</v>
      </c>
      <c r="C167" s="88">
        <f>C166*C108*(1+C126-C128)</f>
        <v>38.639999999999958</v>
      </c>
      <c r="D167" s="301" t="s">
        <v>689</v>
      </c>
      <c r="E167" s="301"/>
      <c r="F167" s="301"/>
      <c r="G167" s="301"/>
      <c r="H167" s="301"/>
      <c r="I167" s="301"/>
      <c r="J167" s="301"/>
      <c r="K167" s="165" t="str">
        <f t="shared" si="12"/>
        <v>water_low_mix =  # How much water to add to low mix</v>
      </c>
    </row>
    <row r="168" spans="2:11" x14ac:dyDescent="0.25">
      <c r="B168" s="165" t="s">
        <v>690</v>
      </c>
      <c r="C168" s="88">
        <f>20-SUM(C113,C124,C150,C152,C154)</f>
        <v>1.1999999999999993</v>
      </c>
      <c r="D168" s="301" t="s">
        <v>691</v>
      </c>
      <c r="E168" s="301"/>
      <c r="F168" s="301"/>
      <c r="G168" s="301"/>
      <c r="H168" s="301"/>
      <c r="I168" s="301"/>
      <c r="J168" s="301"/>
      <c r="K168" s="165" t="str">
        <f t="shared" si="12"/>
        <v>water_mid_rxn =  # how much water to add to mid rxn</v>
      </c>
    </row>
    <row r="169" spans="2:11" x14ac:dyDescent="0.25">
      <c r="B169" s="165" t="s">
        <v>692</v>
      </c>
      <c r="C169" s="88">
        <f>C168*C108*(1+C126-C128)</f>
        <v>33.119999999999976</v>
      </c>
      <c r="D169" s="301" t="s">
        <v>693</v>
      </c>
      <c r="E169" s="301"/>
      <c r="F169" s="301"/>
      <c r="G169" s="301"/>
      <c r="H169" s="301"/>
      <c r="I169" s="301"/>
      <c r="J169" s="301"/>
      <c r="K169" s="165" t="str">
        <f t="shared" si="12"/>
        <v>water_mid_mix =  # how much water to add to mid mix</v>
      </c>
    </row>
    <row r="170" spans="2:11" x14ac:dyDescent="0.25">
      <c r="B170" s="165" t="s">
        <v>694</v>
      </c>
      <c r="C170" s="88">
        <f>SUM(C149,C151,C161,C163,C165)</f>
        <v>563.04</v>
      </c>
      <c r="D170" s="301" t="s">
        <v>695</v>
      </c>
      <c r="E170" s="301"/>
      <c r="F170" s="301"/>
      <c r="G170" s="301"/>
      <c r="H170" s="301"/>
      <c r="I170" s="301"/>
      <c r="J170" s="301"/>
      <c r="K170" s="165" t="str">
        <f t="shared" si="12"/>
        <v>MIX_upp_samp_int =  # How much in upper intermediate sample tube?</v>
      </c>
    </row>
    <row r="171" spans="2:11" x14ac:dyDescent="0.25">
      <c r="B171" s="165" t="s">
        <v>696</v>
      </c>
      <c r="C171" s="88">
        <f>SUM(C149,C151,C153,C155,C169)</f>
        <v>563.04</v>
      </c>
      <c r="D171" s="301" t="s">
        <v>697</v>
      </c>
      <c r="E171" s="301"/>
      <c r="F171" s="301"/>
      <c r="G171" s="301"/>
      <c r="H171" s="301"/>
      <c r="I171" s="301"/>
      <c r="J171" s="301"/>
      <c r="K171" s="165" t="str">
        <f t="shared" si="12"/>
        <v>MIX_mid_samp_int =  # How much in middle intermediate sample tube?</v>
      </c>
    </row>
    <row r="172" spans="2:11" x14ac:dyDescent="0.25">
      <c r="B172" s="165" t="s">
        <v>698</v>
      </c>
      <c r="C172" s="88">
        <f>SUM(C149,C151,C157,C159,C167)</f>
        <v>563.04</v>
      </c>
      <c r="D172" s="301" t="s">
        <v>699</v>
      </c>
      <c r="E172" s="301"/>
      <c r="F172" s="301"/>
      <c r="G172" s="301"/>
      <c r="H172" s="301"/>
      <c r="I172" s="301"/>
      <c r="J172" s="301"/>
      <c r="K172" s="165" t="str">
        <f t="shared" si="12"/>
        <v>MIX_low_samp_int =  # How much in lower intermediate sample tube?</v>
      </c>
    </row>
    <row r="173" spans="2:11" x14ac:dyDescent="0.25">
      <c r="B173" s="165" t="s">
        <v>700</v>
      </c>
      <c r="C173" s="88">
        <f>4*18.4*(1+C126-C130)</f>
        <v>82.431999999999988</v>
      </c>
      <c r="D173" s="165" t="s">
        <v>701</v>
      </c>
      <c r="E173" s="165"/>
      <c r="F173" s="165"/>
      <c r="G173" s="165"/>
      <c r="H173" s="165"/>
      <c r="I173" s="165"/>
      <c r="J173" s="165"/>
      <c r="K173" s="165"/>
    </row>
    <row r="174" spans="2:11" x14ac:dyDescent="0.25">
      <c r="B174" s="165" t="s">
        <v>702</v>
      </c>
      <c r="C174" s="109">
        <f t="shared" ref="C174:C179" si="13">C102/1000*$C$114/$C$124</f>
        <v>0.625</v>
      </c>
      <c r="D174" s="301" t="s">
        <v>703</v>
      </c>
      <c r="E174" s="301"/>
      <c r="F174" s="301"/>
      <c r="G174" s="301"/>
      <c r="H174" s="301"/>
      <c r="I174" s="301"/>
      <c r="J174" s="301"/>
      <c r="K174" s="165" t="str">
        <f t="shared" si="12"/>
        <v>P_50_int_conc =  # What intermediate (int) concentration of  Probe is needed such that by adding 1.6ul I obtain a final concentration of 50, 100, 200…etc in rxn well? (in uM)</v>
      </c>
    </row>
    <row r="175" spans="2:11" x14ac:dyDescent="0.25">
      <c r="B175" s="165" t="s">
        <v>704</v>
      </c>
      <c r="C175" s="109">
        <f t="shared" si="13"/>
        <v>1.25</v>
      </c>
      <c r="D175" s="301" t="s">
        <v>703</v>
      </c>
      <c r="E175" s="301"/>
      <c r="F175" s="301"/>
      <c r="G175" s="301"/>
      <c r="H175" s="301"/>
      <c r="I175" s="301"/>
      <c r="J175" s="301"/>
      <c r="K175" s="165" t="str">
        <f t="shared" si="12"/>
        <v>P_100_int_conc =  # What intermediate (int) concentration of  Probe is needed such that by adding 1.6ul I obtain a final concentration of 50, 100, 200…etc in rxn well? (in uM)</v>
      </c>
    </row>
    <row r="176" spans="2:11" x14ac:dyDescent="0.25">
      <c r="B176" s="165" t="s">
        <v>705</v>
      </c>
      <c r="C176" s="109">
        <f t="shared" si="13"/>
        <v>2.5</v>
      </c>
      <c r="D176" s="301" t="s">
        <v>703</v>
      </c>
      <c r="E176" s="301"/>
      <c r="F176" s="301"/>
      <c r="G176" s="301"/>
      <c r="H176" s="301"/>
      <c r="I176" s="301"/>
      <c r="J176" s="301"/>
      <c r="K176" s="165" t="str">
        <f t="shared" si="12"/>
        <v>P_200_int_conc =  # What intermediate (int) concentration of  Probe is needed such that by adding 1.6ul I obtain a final concentration of 50, 100, 200…etc in rxn well? (in uM)</v>
      </c>
    </row>
    <row r="177" spans="2:11" x14ac:dyDescent="0.25">
      <c r="B177" s="165" t="s">
        <v>706</v>
      </c>
      <c r="C177" s="109">
        <f t="shared" si="13"/>
        <v>5</v>
      </c>
      <c r="D177" s="301" t="s">
        <v>703</v>
      </c>
      <c r="E177" s="301"/>
      <c r="F177" s="301"/>
      <c r="G177" s="301"/>
      <c r="H177" s="301"/>
      <c r="I177" s="301"/>
      <c r="J177" s="301"/>
      <c r="K177" s="165" t="str">
        <f t="shared" si="12"/>
        <v>P_400_int_conc =  # What intermediate (int) concentration of  Probe is needed such that by adding 1.6ul I obtain a final concentration of 50, 100, 200…etc in rxn well? (in uM)</v>
      </c>
    </row>
    <row r="178" spans="2:11" x14ac:dyDescent="0.25">
      <c r="B178" s="165" t="s">
        <v>707</v>
      </c>
      <c r="C178" s="109">
        <f t="shared" si="13"/>
        <v>7.5</v>
      </c>
      <c r="D178" s="301" t="s">
        <v>703</v>
      </c>
      <c r="E178" s="301"/>
      <c r="F178" s="301"/>
      <c r="G178" s="301"/>
      <c r="H178" s="301"/>
      <c r="I178" s="301"/>
      <c r="J178" s="301"/>
      <c r="K178" s="165" t="str">
        <f t="shared" si="12"/>
        <v>P_600_int_conc =  # What intermediate (int) concentration of  Probe is needed such that by adding 1.6ul I obtain a final concentration of 50, 100, 200…etc in rxn well? (in uM)</v>
      </c>
    </row>
    <row r="179" spans="2:11" x14ac:dyDescent="0.25">
      <c r="B179" s="165" t="s">
        <v>708</v>
      </c>
      <c r="C179" s="109">
        <f t="shared" si="13"/>
        <v>10</v>
      </c>
      <c r="D179" s="301" t="s">
        <v>703</v>
      </c>
      <c r="E179" s="301"/>
      <c r="F179" s="301"/>
      <c r="G179" s="301"/>
      <c r="H179" s="301"/>
      <c r="I179" s="301"/>
      <c r="J179" s="301"/>
      <c r="K179" s="165" t="str">
        <f t="shared" si="12"/>
        <v>P_800_int_conc =  # What intermediate (int) concentration of  Probe is needed such that by adding 1.6ul I obtain a final concentration of 50, 100, 200…etc in rxn well? (in uM)</v>
      </c>
    </row>
    <row r="180" spans="2:11" x14ac:dyDescent="0.25">
      <c r="B180" s="165" t="s">
        <v>709</v>
      </c>
      <c r="C180" s="109">
        <f>C174*$C$125/$C$100</f>
        <v>3.125</v>
      </c>
      <c r="D180" s="301" t="s">
        <v>481</v>
      </c>
      <c r="E180" s="301"/>
      <c r="F180" s="301"/>
      <c r="G180" s="301"/>
      <c r="H180" s="301"/>
      <c r="I180" s="301"/>
      <c r="J180" s="301"/>
      <c r="K180" s="165" t="str">
        <f t="shared" si="12"/>
        <v>P_50_int_primer =  # What amount of primer should be added to generate int F primer conc? (in ul)</v>
      </c>
    </row>
    <row r="181" spans="2:11" x14ac:dyDescent="0.25">
      <c r="B181" s="165" t="s">
        <v>710</v>
      </c>
      <c r="C181" s="109">
        <f t="shared" ref="C181:C185" si="14">C175*$C$125/$C$100</f>
        <v>6.25</v>
      </c>
      <c r="D181" s="301" t="s">
        <v>483</v>
      </c>
      <c r="E181" s="301"/>
      <c r="F181" s="301"/>
      <c r="G181" s="301"/>
      <c r="H181" s="301"/>
      <c r="I181" s="301"/>
      <c r="J181" s="301"/>
      <c r="K181" s="165" t="str">
        <f t="shared" si="12"/>
        <v>P_100_int_primer =  # What amount of water should be added to generate int F primer conc? (in ul)</v>
      </c>
    </row>
    <row r="182" spans="2:11" x14ac:dyDescent="0.25">
      <c r="B182" s="165" t="s">
        <v>711</v>
      </c>
      <c r="C182" s="109">
        <f t="shared" si="14"/>
        <v>12.5</v>
      </c>
      <c r="D182" s="301" t="s">
        <v>481</v>
      </c>
      <c r="E182" s="301"/>
      <c r="F182" s="301"/>
      <c r="G182" s="301"/>
      <c r="H182" s="301"/>
      <c r="I182" s="301"/>
      <c r="J182" s="301"/>
      <c r="K182" s="165" t="str">
        <f t="shared" si="12"/>
        <v>P_200_int_primer =  # What amount of primer should be added to generate int F primer conc? (in ul)</v>
      </c>
    </row>
    <row r="183" spans="2:11" x14ac:dyDescent="0.25">
      <c r="B183" s="165" t="s">
        <v>712</v>
      </c>
      <c r="C183" s="109">
        <f t="shared" si="14"/>
        <v>25</v>
      </c>
      <c r="D183" s="301" t="s">
        <v>483</v>
      </c>
      <c r="E183" s="301"/>
      <c r="F183" s="301"/>
      <c r="G183" s="301"/>
      <c r="H183" s="301"/>
      <c r="I183" s="301"/>
      <c r="J183" s="301"/>
      <c r="K183" s="165" t="str">
        <f t="shared" si="12"/>
        <v>P_400_int_primer =  # What amount of water should be added to generate int F primer conc? (in ul)</v>
      </c>
    </row>
    <row r="184" spans="2:11" x14ac:dyDescent="0.25">
      <c r="B184" s="165" t="s">
        <v>713</v>
      </c>
      <c r="C184" s="109">
        <f t="shared" si="14"/>
        <v>37.5</v>
      </c>
      <c r="D184" s="301" t="s">
        <v>481</v>
      </c>
      <c r="E184" s="301"/>
      <c r="F184" s="301"/>
      <c r="G184" s="301"/>
      <c r="H184" s="301"/>
      <c r="I184" s="301"/>
      <c r="J184" s="301"/>
      <c r="K184" s="165" t="str">
        <f t="shared" si="12"/>
        <v>P_600_int_primer =  # What amount of primer should be added to generate int F primer conc? (in ul)</v>
      </c>
    </row>
    <row r="185" spans="2:11" x14ac:dyDescent="0.25">
      <c r="B185" s="165" t="s">
        <v>714</v>
      </c>
      <c r="C185" s="109">
        <f t="shared" si="14"/>
        <v>50</v>
      </c>
      <c r="D185" s="301" t="s">
        <v>483</v>
      </c>
      <c r="E185" s="301"/>
      <c r="F185" s="301"/>
      <c r="G185" s="301"/>
      <c r="H185" s="301"/>
      <c r="I185" s="301"/>
      <c r="J185" s="301"/>
      <c r="K185" s="165" t="str">
        <f t="shared" si="12"/>
        <v>P_800_int_primer =  # What amount of water should be added to generate int F primer conc? (in ul)</v>
      </c>
    </row>
    <row r="186" spans="2:11" x14ac:dyDescent="0.25">
      <c r="B186" s="165" t="s">
        <v>715</v>
      </c>
      <c r="C186" s="109">
        <f>$C$125-C180</f>
        <v>46.875</v>
      </c>
      <c r="D186" s="301" t="s">
        <v>481</v>
      </c>
      <c r="E186" s="301"/>
      <c r="F186" s="301"/>
      <c r="G186" s="301"/>
      <c r="H186" s="301"/>
      <c r="I186" s="301"/>
      <c r="J186" s="301"/>
      <c r="K186" s="165" t="str">
        <f t="shared" si="12"/>
        <v>P_50_int_water =  # What amount of primer should be added to generate int F primer conc? (in ul)</v>
      </c>
    </row>
    <row r="187" spans="2:11" x14ac:dyDescent="0.25">
      <c r="B187" s="165" t="s">
        <v>716</v>
      </c>
      <c r="C187" s="109">
        <f t="shared" ref="C187:C191" si="15">$C$125-C181</f>
        <v>43.75</v>
      </c>
      <c r="D187" s="301" t="s">
        <v>483</v>
      </c>
      <c r="E187" s="301"/>
      <c r="F187" s="301"/>
      <c r="G187" s="301"/>
      <c r="H187" s="301"/>
      <c r="I187" s="301"/>
      <c r="J187" s="301"/>
      <c r="K187" s="165" t="str">
        <f t="shared" si="12"/>
        <v>P_100_int_water =  # What amount of water should be added to generate int F primer conc? (in ul)</v>
      </c>
    </row>
    <row r="188" spans="2:11" x14ac:dyDescent="0.25">
      <c r="B188" s="165" t="s">
        <v>717</v>
      </c>
      <c r="C188" s="109">
        <f t="shared" si="15"/>
        <v>37.5</v>
      </c>
      <c r="D188" s="301" t="s">
        <v>481</v>
      </c>
      <c r="E188" s="301"/>
      <c r="F188" s="301"/>
      <c r="G188" s="301"/>
      <c r="H188" s="301"/>
      <c r="I188" s="301"/>
      <c r="J188" s="301"/>
      <c r="K188" s="165" t="str">
        <f t="shared" si="12"/>
        <v>P_200_int_water =  # What amount of primer should be added to generate int F primer conc? (in ul)</v>
      </c>
    </row>
    <row r="189" spans="2:11" x14ac:dyDescent="0.25">
      <c r="B189" s="165" t="s">
        <v>718</v>
      </c>
      <c r="C189" s="109">
        <f t="shared" si="15"/>
        <v>25</v>
      </c>
      <c r="D189" s="301" t="s">
        <v>483</v>
      </c>
      <c r="E189" s="301"/>
      <c r="F189" s="301"/>
      <c r="G189" s="301"/>
      <c r="H189" s="301"/>
      <c r="I189" s="301"/>
      <c r="J189" s="301"/>
      <c r="K189" s="165" t="str">
        <f t="shared" si="12"/>
        <v>P_400_int_water =  # What amount of water should be added to generate int F primer conc? (in ul)</v>
      </c>
    </row>
    <row r="190" spans="2:11" x14ac:dyDescent="0.25">
      <c r="B190" s="165" t="s">
        <v>719</v>
      </c>
      <c r="C190" s="109">
        <f t="shared" si="15"/>
        <v>12.5</v>
      </c>
      <c r="D190" s="301" t="s">
        <v>481</v>
      </c>
      <c r="E190" s="301"/>
      <c r="F190" s="301"/>
      <c r="G190" s="301"/>
      <c r="H190" s="301"/>
      <c r="I190" s="301"/>
      <c r="J190" s="301"/>
      <c r="K190" s="165" t="str">
        <f t="shared" si="12"/>
        <v>P_600_int_water =  # What amount of primer should be added to generate int F primer conc? (in ul)</v>
      </c>
    </row>
    <row r="191" spans="2:11" x14ac:dyDescent="0.25">
      <c r="B191" s="165" t="s">
        <v>720</v>
      </c>
      <c r="C191" s="109">
        <f t="shared" si="15"/>
        <v>0</v>
      </c>
      <c r="D191" s="301" t="s">
        <v>483</v>
      </c>
      <c r="E191" s="301"/>
      <c r="F191" s="301"/>
      <c r="G191" s="301"/>
      <c r="H191" s="301"/>
      <c r="I191" s="301"/>
      <c r="J191" s="301"/>
      <c r="K191" s="165" t="str">
        <f t="shared" si="12"/>
        <v>P_800_int_water =  # What amount of water should be added to generate int F primer conc? (in ul)</v>
      </c>
    </row>
    <row r="192" spans="2:11" x14ac:dyDescent="0.25">
      <c r="B192" s="165" t="s">
        <v>721</v>
      </c>
      <c r="C192" s="109">
        <f>C124*4*(1+C126-C130)</f>
        <v>7.1679999999999993</v>
      </c>
      <c r="D192" s="165" t="s">
        <v>722</v>
      </c>
      <c r="E192" s="165"/>
      <c r="F192" s="165"/>
      <c r="G192" s="165"/>
      <c r="H192" s="165"/>
      <c r="I192" s="165"/>
      <c r="J192" s="165"/>
      <c r="K192" s="165"/>
    </row>
    <row r="197" spans="3:3" x14ac:dyDescent="0.25">
      <c r="C197" s="88"/>
    </row>
    <row r="198" spans="3:3" x14ac:dyDescent="0.25">
      <c r="C198" s="88"/>
    </row>
    <row r="199" spans="3:3" x14ac:dyDescent="0.25">
      <c r="C199" s="88"/>
    </row>
    <row r="200" spans="3:3" x14ac:dyDescent="0.25">
      <c r="C200" s="88"/>
    </row>
    <row r="201" spans="3:3" x14ac:dyDescent="0.25">
      <c r="C201" s="88"/>
    </row>
    <row r="202" spans="3:3" x14ac:dyDescent="0.25">
      <c r="C202" s="88"/>
    </row>
    <row r="203" spans="3:3" x14ac:dyDescent="0.25">
      <c r="C203" s="88"/>
    </row>
    <row r="204" spans="3:3" x14ac:dyDescent="0.25">
      <c r="C204" s="88"/>
    </row>
    <row r="205" spans="3:3" x14ac:dyDescent="0.25">
      <c r="C205" s="88"/>
    </row>
    <row r="206" spans="3:3" x14ac:dyDescent="0.25">
      <c r="C206" s="88"/>
    </row>
    <row r="207" spans="3:3" x14ac:dyDescent="0.25">
      <c r="C207" s="88"/>
    </row>
    <row r="209" spans="3:3" x14ac:dyDescent="0.25">
      <c r="C209" s="88"/>
    </row>
    <row r="210" spans="3:3" x14ac:dyDescent="0.25">
      <c r="C210" s="88"/>
    </row>
    <row r="211" spans="3:3" x14ac:dyDescent="0.25">
      <c r="C211" s="88"/>
    </row>
    <row r="212" spans="3:3" x14ac:dyDescent="0.25">
      <c r="C212" s="88"/>
    </row>
    <row r="213" spans="3:3" x14ac:dyDescent="0.25">
      <c r="C213" s="88"/>
    </row>
    <row r="214" spans="3:3" x14ac:dyDescent="0.25">
      <c r="C214" s="109"/>
    </row>
    <row r="215" spans="3:3" x14ac:dyDescent="0.25">
      <c r="C215" s="109"/>
    </row>
    <row r="216" spans="3:3" x14ac:dyDescent="0.25">
      <c r="C216" s="109"/>
    </row>
    <row r="217" spans="3:3" x14ac:dyDescent="0.25">
      <c r="C217" s="109"/>
    </row>
    <row r="218" spans="3:3" x14ac:dyDescent="0.25">
      <c r="C218" s="109"/>
    </row>
    <row r="219" spans="3:3" x14ac:dyDescent="0.25">
      <c r="C219" s="109"/>
    </row>
    <row r="220" spans="3:3" x14ac:dyDescent="0.25">
      <c r="C220" s="109"/>
    </row>
    <row r="221" spans="3:3" x14ac:dyDescent="0.25">
      <c r="C221" s="109"/>
    </row>
    <row r="222" spans="3:3" x14ac:dyDescent="0.25">
      <c r="C222" s="109"/>
    </row>
    <row r="223" spans="3:3" x14ac:dyDescent="0.25">
      <c r="C223" s="109"/>
    </row>
    <row r="224" spans="3:3" x14ac:dyDescent="0.25">
      <c r="C224" s="109"/>
    </row>
    <row r="225" spans="3:3" x14ac:dyDescent="0.25">
      <c r="C225" s="109"/>
    </row>
    <row r="226" spans="3:3" x14ac:dyDescent="0.25">
      <c r="C226" s="109"/>
    </row>
    <row r="227" spans="3:3" x14ac:dyDescent="0.25">
      <c r="C227" s="109"/>
    </row>
    <row r="228" spans="3:3" x14ac:dyDescent="0.25">
      <c r="C228" s="109"/>
    </row>
    <row r="229" spans="3:3" x14ac:dyDescent="0.25">
      <c r="C229" s="109"/>
    </row>
    <row r="230" spans="3:3" x14ac:dyDescent="0.25">
      <c r="C230" s="109"/>
    </row>
    <row r="231" spans="3:3" x14ac:dyDescent="0.25">
      <c r="C231" s="109"/>
    </row>
    <row r="232" spans="3:3" x14ac:dyDescent="0.25">
      <c r="C232" s="109"/>
    </row>
    <row r="233" spans="3:3" x14ac:dyDescent="0.25">
      <c r="C233" s="109"/>
    </row>
    <row r="234" spans="3:3" x14ac:dyDescent="0.25">
      <c r="C234" s="109"/>
    </row>
    <row r="235" spans="3:3" x14ac:dyDescent="0.25">
      <c r="C235" s="109"/>
    </row>
    <row r="236" spans="3:3" x14ac:dyDescent="0.25">
      <c r="C236" s="109"/>
    </row>
    <row r="237" spans="3:3" x14ac:dyDescent="0.25">
      <c r="C237" s="109"/>
    </row>
    <row r="238" spans="3:3" x14ac:dyDescent="0.25">
      <c r="C238" s="109"/>
    </row>
    <row r="239" spans="3:3" x14ac:dyDescent="0.25">
      <c r="C239" s="109"/>
    </row>
    <row r="240" spans="3:3" x14ac:dyDescent="0.25">
      <c r="C240" s="109"/>
    </row>
    <row r="241" spans="3:3" x14ac:dyDescent="0.25">
      <c r="C241" s="109"/>
    </row>
    <row r="242" spans="3:3" x14ac:dyDescent="0.25">
      <c r="C242" s="109"/>
    </row>
    <row r="243" spans="3:3" x14ac:dyDescent="0.25">
      <c r="C243" s="109"/>
    </row>
    <row r="244" spans="3:3" x14ac:dyDescent="0.25">
      <c r="C244" s="109"/>
    </row>
    <row r="245" spans="3:3" x14ac:dyDescent="0.25">
      <c r="C245" s="109"/>
    </row>
    <row r="246" spans="3:3" x14ac:dyDescent="0.25">
      <c r="C246" s="109"/>
    </row>
    <row r="247" spans="3:3" x14ac:dyDescent="0.25">
      <c r="C247" s="109"/>
    </row>
    <row r="248" spans="3:3" x14ac:dyDescent="0.25">
      <c r="C248" s="109"/>
    </row>
    <row r="249" spans="3:3" x14ac:dyDescent="0.25">
      <c r="C249" s="109"/>
    </row>
    <row r="250" spans="3:3" x14ac:dyDescent="0.25">
      <c r="C250" s="109"/>
    </row>
    <row r="251" spans="3:3" x14ac:dyDescent="0.25">
      <c r="C251" s="109"/>
    </row>
    <row r="252" spans="3:3" x14ac:dyDescent="0.25">
      <c r="C252" s="109"/>
    </row>
    <row r="253" spans="3:3" x14ac:dyDescent="0.25">
      <c r="C253" s="109"/>
    </row>
    <row r="254" spans="3:3" x14ac:dyDescent="0.25">
      <c r="C254" s="109"/>
    </row>
    <row r="255" spans="3:3" x14ac:dyDescent="0.25">
      <c r="C255" s="109"/>
    </row>
    <row r="256" spans="3:3" x14ac:dyDescent="0.25">
      <c r="C256" s="109"/>
    </row>
    <row r="257" spans="2:3" x14ac:dyDescent="0.25">
      <c r="B257" s="165"/>
      <c r="C257" s="88"/>
    </row>
    <row r="258" spans="2:3" x14ac:dyDescent="0.25">
      <c r="B258" s="165"/>
      <c r="C258" s="88"/>
    </row>
    <row r="259" spans="2:3" x14ac:dyDescent="0.25">
      <c r="B259" s="165"/>
      <c r="C259" s="88"/>
    </row>
    <row r="260" spans="2:3" x14ac:dyDescent="0.25">
      <c r="B260" s="165"/>
      <c r="C260" s="88"/>
    </row>
    <row r="261" spans="2:3" x14ac:dyDescent="0.25">
      <c r="B261" s="102"/>
      <c r="C261" s="109"/>
    </row>
    <row r="262" spans="2:3" x14ac:dyDescent="0.25">
      <c r="B262" s="165"/>
      <c r="C262" s="109"/>
    </row>
    <row r="263" spans="2:3" x14ac:dyDescent="0.25">
      <c r="B263" s="165"/>
      <c r="C263" s="109"/>
    </row>
    <row r="264" spans="2:3" x14ac:dyDescent="0.25">
      <c r="B264" s="165"/>
      <c r="C264" s="109"/>
    </row>
    <row r="265" spans="2:3" x14ac:dyDescent="0.25">
      <c r="B265" s="165"/>
      <c r="C265" s="109"/>
    </row>
    <row r="266" spans="2:3" x14ac:dyDescent="0.25">
      <c r="B266" s="165"/>
      <c r="C266" s="109"/>
    </row>
    <row r="267" spans="2:3" x14ac:dyDescent="0.25">
      <c r="B267" s="165"/>
      <c r="C267" s="109"/>
    </row>
    <row r="268" spans="2:3" x14ac:dyDescent="0.25">
      <c r="B268" s="165"/>
      <c r="C268" s="109"/>
    </row>
    <row r="269" spans="2:3" x14ac:dyDescent="0.25">
      <c r="B269" s="165"/>
      <c r="C269" s="109"/>
    </row>
  </sheetData>
  <mergeCells count="93">
    <mergeCell ref="D190:J190"/>
    <mergeCell ref="D191:J191"/>
    <mergeCell ref="J77:J82"/>
    <mergeCell ref="D184:J184"/>
    <mergeCell ref="D185:J185"/>
    <mergeCell ref="D186:J186"/>
    <mergeCell ref="D187:J187"/>
    <mergeCell ref="D188:J188"/>
    <mergeCell ref="D189:J189"/>
    <mergeCell ref="D178:J178"/>
    <mergeCell ref="D179:J179"/>
    <mergeCell ref="D180:J180"/>
    <mergeCell ref="D181:J181"/>
    <mergeCell ref="D182:J182"/>
    <mergeCell ref="D183:J183"/>
    <mergeCell ref="D171:J171"/>
    <mergeCell ref="D172:J172"/>
    <mergeCell ref="D174:J174"/>
    <mergeCell ref="D175:J175"/>
    <mergeCell ref="D176:J176"/>
    <mergeCell ref="D177:J177"/>
    <mergeCell ref="D170:J170"/>
    <mergeCell ref="D159:J159"/>
    <mergeCell ref="D160:J160"/>
    <mergeCell ref="D161:J161"/>
    <mergeCell ref="D162:J162"/>
    <mergeCell ref="D163:J163"/>
    <mergeCell ref="D164:J164"/>
    <mergeCell ref="D165:J165"/>
    <mergeCell ref="D166:J166"/>
    <mergeCell ref="D167:J167"/>
    <mergeCell ref="D168:J168"/>
    <mergeCell ref="D169:J169"/>
    <mergeCell ref="D158:J158"/>
    <mergeCell ref="D146:J146"/>
    <mergeCell ref="D147:J147"/>
    <mergeCell ref="D149:J149"/>
    <mergeCell ref="D150:J150"/>
    <mergeCell ref="D151:J151"/>
    <mergeCell ref="D152:J152"/>
    <mergeCell ref="D153:J153"/>
    <mergeCell ref="D154:J154"/>
    <mergeCell ref="D155:J155"/>
    <mergeCell ref="D156:J156"/>
    <mergeCell ref="D157:J157"/>
    <mergeCell ref="D145:J145"/>
    <mergeCell ref="D134:J134"/>
    <mergeCell ref="D135:J135"/>
    <mergeCell ref="D136:J136"/>
    <mergeCell ref="D137:J137"/>
    <mergeCell ref="D138:J138"/>
    <mergeCell ref="D139:J139"/>
    <mergeCell ref="D140:J140"/>
    <mergeCell ref="D141:J141"/>
    <mergeCell ref="D142:J142"/>
    <mergeCell ref="D143:J143"/>
    <mergeCell ref="D144:J144"/>
    <mergeCell ref="D133:J133"/>
    <mergeCell ref="D121:J121"/>
    <mergeCell ref="D122:J122"/>
    <mergeCell ref="D123:J123"/>
    <mergeCell ref="D124:J124"/>
    <mergeCell ref="D125:J125"/>
    <mergeCell ref="D126:J126"/>
    <mergeCell ref="D127:J127"/>
    <mergeCell ref="D128:J128"/>
    <mergeCell ref="D129:J129"/>
    <mergeCell ref="D130:J130"/>
    <mergeCell ref="D132:J132"/>
    <mergeCell ref="D120:J120"/>
    <mergeCell ref="D109:J109"/>
    <mergeCell ref="D110:J110"/>
    <mergeCell ref="D111:J111"/>
    <mergeCell ref="D112:J112"/>
    <mergeCell ref="D113:J113"/>
    <mergeCell ref="D114:J114"/>
    <mergeCell ref="D115:J115"/>
    <mergeCell ref="D116:J116"/>
    <mergeCell ref="D117:J117"/>
    <mergeCell ref="D118:J118"/>
    <mergeCell ref="D119:J119"/>
    <mergeCell ref="D108:J108"/>
    <mergeCell ref="D97:J97"/>
    <mergeCell ref="D98:J98"/>
    <mergeCell ref="D99:J99"/>
    <mergeCell ref="D100:J100"/>
    <mergeCell ref="D101:J101"/>
    <mergeCell ref="D102:J102"/>
    <mergeCell ref="D103:J103"/>
    <mergeCell ref="D104:J104"/>
    <mergeCell ref="D105:J105"/>
    <mergeCell ref="D106:J106"/>
    <mergeCell ref="D107:J107"/>
  </mergeCells>
  <pageMargins left="0.7" right="0.7" top="0.75" bottom="0.75" header="0.3" footer="0.3"/>
  <pageSetup orientation="portrait" horizontalDpi="300" verticalDpi="300"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CDB7B-419A-459F-9657-EF7B04D31AC7}">
  <sheetPr codeName="Sheet10"/>
  <dimension ref="A1:AA193"/>
  <sheetViews>
    <sheetView topLeftCell="E1" zoomScale="85" zoomScaleNormal="85" workbookViewId="0">
      <selection activeCell="AD83" sqref="AD83"/>
    </sheetView>
  </sheetViews>
  <sheetFormatPr defaultRowHeight="15" x14ac:dyDescent="0.25"/>
  <cols>
    <col min="18" max="18" width="13.28515625" customWidth="1"/>
    <col min="25" max="25" width="13.140625" customWidth="1"/>
  </cols>
  <sheetData>
    <row r="1" spans="1:27" x14ac:dyDescent="0.25">
      <c r="A1" s="165" t="s">
        <v>198</v>
      </c>
      <c r="B1" s="165" t="s">
        <v>199</v>
      </c>
      <c r="C1" s="165" t="s">
        <v>200</v>
      </c>
      <c r="D1" s="165" t="s">
        <v>201</v>
      </c>
      <c r="E1" s="165" t="s">
        <v>202</v>
      </c>
      <c r="F1" s="165"/>
      <c r="G1" s="165" t="s">
        <v>198</v>
      </c>
      <c r="H1" s="165" t="s">
        <v>199</v>
      </c>
      <c r="I1" s="165" t="s">
        <v>200</v>
      </c>
      <c r="J1" s="165" t="s">
        <v>201</v>
      </c>
      <c r="K1" s="165" t="s">
        <v>202</v>
      </c>
      <c r="L1" s="165" t="s">
        <v>203</v>
      </c>
      <c r="M1" s="165" t="s">
        <v>723</v>
      </c>
      <c r="N1" s="165"/>
      <c r="O1" s="107" t="s">
        <v>724</v>
      </c>
      <c r="P1" s="107" t="s">
        <v>725</v>
      </c>
      <c r="Q1" s="107" t="s">
        <v>343</v>
      </c>
      <c r="R1" s="107" t="s">
        <v>726</v>
      </c>
      <c r="S1" s="118" t="s">
        <v>203</v>
      </c>
      <c r="T1" s="118" t="s">
        <v>727</v>
      </c>
      <c r="U1" s="165"/>
      <c r="V1" s="107" t="s">
        <v>724</v>
      </c>
      <c r="W1" s="107" t="s">
        <v>725</v>
      </c>
      <c r="X1" s="107" t="s">
        <v>343</v>
      </c>
      <c r="Y1" s="107" t="s">
        <v>726</v>
      </c>
      <c r="Z1" s="118" t="s">
        <v>203</v>
      </c>
      <c r="AA1" s="118" t="s">
        <v>727</v>
      </c>
    </row>
    <row r="2" spans="1:27" x14ac:dyDescent="0.25">
      <c r="A2" s="165" t="s">
        <v>204</v>
      </c>
      <c r="B2" s="165" t="s">
        <v>205</v>
      </c>
      <c r="C2" s="165" t="s">
        <v>206</v>
      </c>
      <c r="D2" s="165" t="s">
        <v>207</v>
      </c>
      <c r="E2" s="165">
        <v>35.369999999999997</v>
      </c>
      <c r="F2" s="165"/>
      <c r="G2" s="165" t="s">
        <v>204</v>
      </c>
      <c r="H2" s="165" t="s">
        <v>205</v>
      </c>
      <c r="I2" s="165" t="s">
        <v>206</v>
      </c>
      <c r="J2" s="165" t="s">
        <v>207</v>
      </c>
      <c r="K2" s="165">
        <v>35.369999999999997</v>
      </c>
      <c r="L2" s="165">
        <f>AVERAGE(K2:K5)</f>
        <v>35.594999999999999</v>
      </c>
      <c r="M2" s="165">
        <f>STDEV(K2:K5)</f>
        <v>0.22825424421026547</v>
      </c>
      <c r="N2" s="165"/>
      <c r="O2" s="107">
        <v>200</v>
      </c>
      <c r="P2" s="107">
        <v>200</v>
      </c>
      <c r="Q2" s="107">
        <v>50</v>
      </c>
      <c r="R2" s="107" t="str">
        <f>O2&amp;"_"&amp;P2&amp;"_"&amp;Q2</f>
        <v>200_200_50</v>
      </c>
      <c r="S2" s="165">
        <v>35.594999999999999</v>
      </c>
      <c r="T2" s="165">
        <v>0.22825424421026547</v>
      </c>
      <c r="U2" s="165"/>
      <c r="V2" s="107">
        <v>50</v>
      </c>
      <c r="W2" s="107">
        <v>50</v>
      </c>
      <c r="X2" s="107">
        <v>50</v>
      </c>
      <c r="Y2" s="107" t="str">
        <f t="shared" ref="Y2:Y19" si="0">V2&amp;"_"&amp;W2&amp;"_"&amp;X2</f>
        <v>50_50_50</v>
      </c>
      <c r="Z2" s="165">
        <v>30.14</v>
      </c>
      <c r="AA2" s="165">
        <v>0.38236108588610301</v>
      </c>
    </row>
    <row r="3" spans="1:27" x14ac:dyDescent="0.25">
      <c r="A3" s="165" t="s">
        <v>204</v>
      </c>
      <c r="B3" s="165" t="s">
        <v>328</v>
      </c>
      <c r="C3" s="165" t="s">
        <v>206</v>
      </c>
      <c r="D3" s="165" t="s">
        <v>210</v>
      </c>
      <c r="E3" s="165">
        <v>34.26</v>
      </c>
      <c r="F3" s="165"/>
      <c r="G3" s="165" t="s">
        <v>211</v>
      </c>
      <c r="H3" s="165" t="s">
        <v>205</v>
      </c>
      <c r="I3" s="165" t="s">
        <v>206</v>
      </c>
      <c r="J3" s="165" t="s">
        <v>207</v>
      </c>
      <c r="K3" s="165">
        <v>35.69</v>
      </c>
      <c r="L3" s="165"/>
      <c r="M3" s="165"/>
      <c r="N3" s="165"/>
      <c r="O3" s="107">
        <v>100</v>
      </c>
      <c r="P3" s="107">
        <v>100</v>
      </c>
      <c r="Q3" s="107">
        <v>50</v>
      </c>
      <c r="R3" s="107" t="str">
        <f t="shared" ref="R3:R19" si="1">O3&amp;"_"&amp;P3&amp;"_"&amp;Q3</f>
        <v>100_100_50</v>
      </c>
      <c r="S3" s="165">
        <v>33.607499999999995</v>
      </c>
      <c r="T3" s="165">
        <v>0.39852854351978384</v>
      </c>
      <c r="U3" s="165"/>
      <c r="V3" s="107">
        <v>50</v>
      </c>
      <c r="W3" s="107">
        <v>50</v>
      </c>
      <c r="X3" s="107">
        <v>100</v>
      </c>
      <c r="Y3" s="107" t="str">
        <f t="shared" si="0"/>
        <v>50_50_100</v>
      </c>
      <c r="Z3" s="165">
        <v>29.572499999999998</v>
      </c>
      <c r="AA3" s="165">
        <v>0.57892860814899627</v>
      </c>
    </row>
    <row r="4" spans="1:27" x14ac:dyDescent="0.25">
      <c r="A4" s="165" t="s">
        <v>211</v>
      </c>
      <c r="B4" s="165" t="s">
        <v>205</v>
      </c>
      <c r="C4" s="165" t="s">
        <v>206</v>
      </c>
      <c r="D4" s="165" t="s">
        <v>207</v>
      </c>
      <c r="E4" s="165">
        <v>35.69</v>
      </c>
      <c r="F4" s="165"/>
      <c r="G4" s="165" t="s">
        <v>212</v>
      </c>
      <c r="H4" s="165" t="s">
        <v>205</v>
      </c>
      <c r="I4" s="165" t="s">
        <v>206</v>
      </c>
      <c r="J4" s="165" t="s">
        <v>207</v>
      </c>
      <c r="K4" s="165">
        <v>35.869999999999997</v>
      </c>
      <c r="L4" s="165"/>
      <c r="M4" s="165"/>
      <c r="N4" s="165"/>
      <c r="O4" s="107">
        <v>50</v>
      </c>
      <c r="P4" s="107">
        <v>50</v>
      </c>
      <c r="Q4" s="107">
        <v>50</v>
      </c>
      <c r="R4" s="107" t="str">
        <f t="shared" si="1"/>
        <v>50_50_50</v>
      </c>
      <c r="S4" s="165">
        <v>30.14</v>
      </c>
      <c r="T4" s="165">
        <v>0.38236108588610301</v>
      </c>
      <c r="U4" s="165"/>
      <c r="V4" s="107">
        <v>50</v>
      </c>
      <c r="W4" s="107">
        <v>50</v>
      </c>
      <c r="X4" s="107">
        <v>200</v>
      </c>
      <c r="Y4" s="107" t="str">
        <f t="shared" si="0"/>
        <v>50_50_200</v>
      </c>
      <c r="Z4" s="165">
        <v>28.842499999999998</v>
      </c>
      <c r="AA4" s="165">
        <v>0.13720422734012297</v>
      </c>
    </row>
    <row r="5" spans="1:27" x14ac:dyDescent="0.25">
      <c r="A5" s="165" t="s">
        <v>211</v>
      </c>
      <c r="B5" s="165" t="s">
        <v>328</v>
      </c>
      <c r="C5" s="165" t="s">
        <v>206</v>
      </c>
      <c r="D5" s="165" t="s">
        <v>210</v>
      </c>
      <c r="E5" s="165">
        <v>34.83</v>
      </c>
      <c r="F5" s="165"/>
      <c r="G5" s="165" t="s">
        <v>213</v>
      </c>
      <c r="H5" s="165" t="s">
        <v>205</v>
      </c>
      <c r="I5" s="165" t="s">
        <v>206</v>
      </c>
      <c r="J5" s="165" t="s">
        <v>207</v>
      </c>
      <c r="K5" s="165">
        <v>35.450000000000003</v>
      </c>
      <c r="L5" s="165"/>
      <c r="M5" s="165"/>
      <c r="N5" s="165"/>
      <c r="O5" s="107">
        <v>200</v>
      </c>
      <c r="P5" s="107">
        <v>200</v>
      </c>
      <c r="Q5" s="107">
        <v>100</v>
      </c>
      <c r="R5" s="107" t="str">
        <f t="shared" si="1"/>
        <v>200_200_100</v>
      </c>
      <c r="S5" s="165">
        <v>34.770000000000003</v>
      </c>
      <c r="T5" s="165">
        <v>0.32372828112477348</v>
      </c>
      <c r="U5" s="165"/>
      <c r="V5" s="107">
        <v>50</v>
      </c>
      <c r="W5" s="107">
        <v>50</v>
      </c>
      <c r="X5" s="107">
        <v>400</v>
      </c>
      <c r="Y5" s="107" t="str">
        <f t="shared" si="0"/>
        <v>50_50_400</v>
      </c>
      <c r="Z5" s="165">
        <v>28.587499999999999</v>
      </c>
      <c r="AA5" s="165">
        <v>0.27897132469126673</v>
      </c>
    </row>
    <row r="6" spans="1:27" x14ac:dyDescent="0.25">
      <c r="A6" s="165" t="s">
        <v>212</v>
      </c>
      <c r="B6" s="165" t="s">
        <v>205</v>
      </c>
      <c r="C6" s="165" t="s">
        <v>206</v>
      </c>
      <c r="D6" s="165" t="s">
        <v>207</v>
      </c>
      <c r="E6" s="165">
        <v>35.869999999999997</v>
      </c>
      <c r="F6" s="165"/>
      <c r="G6" s="165" t="s">
        <v>214</v>
      </c>
      <c r="H6" s="165" t="s">
        <v>205</v>
      </c>
      <c r="I6" s="165" t="s">
        <v>206</v>
      </c>
      <c r="J6" s="165" t="s">
        <v>207</v>
      </c>
      <c r="K6" s="165">
        <v>33.19</v>
      </c>
      <c r="L6" s="165">
        <f>AVERAGE(K6:K9)</f>
        <v>33.607499999999995</v>
      </c>
      <c r="M6" s="165">
        <f>STDEV(K6:K9)</f>
        <v>0.39852854351978384</v>
      </c>
      <c r="N6" s="165"/>
      <c r="O6" s="107">
        <v>100</v>
      </c>
      <c r="P6" s="107">
        <v>100</v>
      </c>
      <c r="Q6" s="107">
        <v>100</v>
      </c>
      <c r="R6" s="107" t="str">
        <f t="shared" si="1"/>
        <v>100_100_100</v>
      </c>
      <c r="S6" s="165">
        <v>32.842500000000001</v>
      </c>
      <c r="T6" s="165">
        <v>0.19311050377094141</v>
      </c>
      <c r="U6" s="165"/>
      <c r="V6" s="107">
        <v>50</v>
      </c>
      <c r="W6" s="107">
        <v>50</v>
      </c>
      <c r="X6" s="107">
        <v>600</v>
      </c>
      <c r="Y6" s="107" t="str">
        <f t="shared" si="0"/>
        <v>50_50_600</v>
      </c>
      <c r="Z6" s="165">
        <v>29.145</v>
      </c>
      <c r="AA6" s="165">
        <v>0.23685438564654049</v>
      </c>
    </row>
    <row r="7" spans="1:27" x14ac:dyDescent="0.25">
      <c r="A7" s="165" t="s">
        <v>212</v>
      </c>
      <c r="B7" s="165" t="s">
        <v>328</v>
      </c>
      <c r="C7" s="165" t="s">
        <v>206</v>
      </c>
      <c r="D7" s="165" t="s">
        <v>210</v>
      </c>
      <c r="E7" s="165">
        <v>34.79</v>
      </c>
      <c r="F7" s="165"/>
      <c r="G7" s="165" t="s">
        <v>215</v>
      </c>
      <c r="H7" s="165" t="s">
        <v>205</v>
      </c>
      <c r="I7" s="165" t="s">
        <v>206</v>
      </c>
      <c r="J7" s="165" t="s">
        <v>207</v>
      </c>
      <c r="K7" s="165">
        <v>33.549999999999997</v>
      </c>
      <c r="L7" s="165"/>
      <c r="M7" s="165"/>
      <c r="N7" s="165"/>
      <c r="O7" s="107">
        <v>50</v>
      </c>
      <c r="P7" s="107">
        <v>50</v>
      </c>
      <c r="Q7" s="107">
        <v>100</v>
      </c>
      <c r="R7" s="107" t="str">
        <f t="shared" si="1"/>
        <v>50_50_100</v>
      </c>
      <c r="S7" s="165">
        <v>29.572499999999998</v>
      </c>
      <c r="T7" s="165">
        <v>0.57892860814899627</v>
      </c>
      <c r="U7" s="165"/>
      <c r="V7" s="107">
        <v>50</v>
      </c>
      <c r="W7" s="107">
        <v>50</v>
      </c>
      <c r="X7" s="107">
        <v>800</v>
      </c>
      <c r="Y7" s="107" t="str">
        <f t="shared" si="0"/>
        <v>50_50_800</v>
      </c>
      <c r="Z7" s="165">
        <v>30.212500000000002</v>
      </c>
      <c r="AA7" s="165">
        <v>0.39118409988137315</v>
      </c>
    </row>
    <row r="8" spans="1:27" x14ac:dyDescent="0.25">
      <c r="A8" s="165" t="s">
        <v>213</v>
      </c>
      <c r="B8" s="165" t="s">
        <v>205</v>
      </c>
      <c r="C8" s="165" t="s">
        <v>206</v>
      </c>
      <c r="D8" s="165" t="s">
        <v>207</v>
      </c>
      <c r="E8" s="165">
        <v>35.450000000000003</v>
      </c>
      <c r="F8" s="165"/>
      <c r="G8" s="165" t="s">
        <v>216</v>
      </c>
      <c r="H8" s="165" t="s">
        <v>205</v>
      </c>
      <c r="I8" s="165" t="s">
        <v>206</v>
      </c>
      <c r="J8" s="165" t="s">
        <v>207</v>
      </c>
      <c r="K8" s="165">
        <v>34.15</v>
      </c>
      <c r="L8" s="165"/>
      <c r="M8" s="165"/>
      <c r="N8" s="165"/>
      <c r="O8" s="107">
        <v>200</v>
      </c>
      <c r="P8" s="107">
        <v>200</v>
      </c>
      <c r="Q8" s="107">
        <v>200</v>
      </c>
      <c r="R8" s="107" t="str">
        <f t="shared" si="1"/>
        <v>200_200_200</v>
      </c>
      <c r="S8" s="165">
        <v>34.152500000000003</v>
      </c>
      <c r="T8" s="165">
        <v>0.23584952830141512</v>
      </c>
      <c r="U8" s="165"/>
      <c r="V8" s="107">
        <v>100</v>
      </c>
      <c r="W8" s="107">
        <v>100</v>
      </c>
      <c r="X8" s="107">
        <v>50</v>
      </c>
      <c r="Y8" s="107" t="str">
        <f t="shared" si="0"/>
        <v>100_100_50</v>
      </c>
      <c r="Z8" s="165">
        <v>33.607499999999995</v>
      </c>
      <c r="AA8" s="165">
        <v>0.39852854351978384</v>
      </c>
    </row>
    <row r="9" spans="1:27" x14ac:dyDescent="0.25">
      <c r="A9" s="165" t="s">
        <v>213</v>
      </c>
      <c r="B9" s="165" t="s">
        <v>328</v>
      </c>
      <c r="C9" s="165" t="s">
        <v>206</v>
      </c>
      <c r="D9" s="165" t="s">
        <v>210</v>
      </c>
      <c r="E9" s="165">
        <v>34.79</v>
      </c>
      <c r="F9" s="165"/>
      <c r="G9" s="165" t="s">
        <v>217</v>
      </c>
      <c r="H9" s="165" t="s">
        <v>205</v>
      </c>
      <c r="I9" s="165" t="s">
        <v>206</v>
      </c>
      <c r="J9" s="165" t="s">
        <v>207</v>
      </c>
      <c r="K9" s="165">
        <v>33.54</v>
      </c>
      <c r="L9" s="165"/>
      <c r="M9" s="165"/>
      <c r="N9" s="165"/>
      <c r="O9" s="107">
        <v>100</v>
      </c>
      <c r="P9" s="107">
        <v>100</v>
      </c>
      <c r="Q9" s="107">
        <v>200</v>
      </c>
      <c r="R9" s="107" t="str">
        <f t="shared" si="1"/>
        <v>100_100_200</v>
      </c>
      <c r="S9" s="165">
        <v>32.15</v>
      </c>
      <c r="T9" s="165">
        <v>0.19339079605813933</v>
      </c>
      <c r="U9" s="165"/>
      <c r="V9" s="107">
        <v>100</v>
      </c>
      <c r="W9" s="107">
        <v>100</v>
      </c>
      <c r="X9" s="107">
        <v>100</v>
      </c>
      <c r="Y9" s="107" t="str">
        <f t="shared" si="0"/>
        <v>100_100_100</v>
      </c>
      <c r="Z9" s="165">
        <v>32.842500000000001</v>
      </c>
      <c r="AA9" s="165">
        <v>0.19311050377094141</v>
      </c>
    </row>
    <row r="10" spans="1:27" x14ac:dyDescent="0.25">
      <c r="A10" s="165" t="s">
        <v>214</v>
      </c>
      <c r="B10" s="165" t="s">
        <v>205</v>
      </c>
      <c r="C10" s="165" t="s">
        <v>206</v>
      </c>
      <c r="D10" s="165" t="s">
        <v>207</v>
      </c>
      <c r="E10" s="165">
        <v>33.19</v>
      </c>
      <c r="F10" s="165"/>
      <c r="G10" s="165" t="s">
        <v>218</v>
      </c>
      <c r="H10" s="165" t="s">
        <v>205</v>
      </c>
      <c r="I10" s="165" t="s">
        <v>206</v>
      </c>
      <c r="J10" s="165" t="s">
        <v>207</v>
      </c>
      <c r="K10" s="165">
        <v>29.61</v>
      </c>
      <c r="L10" s="165">
        <f>AVERAGE(K10:K13)</f>
        <v>30.14</v>
      </c>
      <c r="M10" s="165">
        <f>STDEV(K10:K13)</f>
        <v>0.38236108588610301</v>
      </c>
      <c r="N10" s="165"/>
      <c r="O10" s="107">
        <v>50</v>
      </c>
      <c r="P10" s="107">
        <v>50</v>
      </c>
      <c r="Q10" s="107">
        <v>200</v>
      </c>
      <c r="R10" s="107" t="str">
        <f t="shared" si="1"/>
        <v>50_50_200</v>
      </c>
      <c r="S10" s="165">
        <v>28.842499999999998</v>
      </c>
      <c r="T10" s="165">
        <v>0.13720422734012297</v>
      </c>
      <c r="U10" s="165"/>
      <c r="V10" s="107">
        <v>100</v>
      </c>
      <c r="W10" s="107">
        <v>100</v>
      </c>
      <c r="X10" s="107">
        <v>200</v>
      </c>
      <c r="Y10" s="107" t="str">
        <f t="shared" si="0"/>
        <v>100_100_200</v>
      </c>
      <c r="Z10" s="165">
        <v>32.15</v>
      </c>
      <c r="AA10" s="165">
        <v>0.19339079605813933</v>
      </c>
    </row>
    <row r="11" spans="1:27" x14ac:dyDescent="0.25">
      <c r="A11" s="165" t="s">
        <v>214</v>
      </c>
      <c r="B11" s="165" t="s">
        <v>328</v>
      </c>
      <c r="C11" s="165" t="s">
        <v>206</v>
      </c>
      <c r="D11" s="165" t="s">
        <v>210</v>
      </c>
      <c r="E11" s="165">
        <v>30.19</v>
      </c>
      <c r="F11" s="165"/>
      <c r="G11" s="165" t="s">
        <v>219</v>
      </c>
      <c r="H11" s="165" t="s">
        <v>205</v>
      </c>
      <c r="I11" s="165" t="s">
        <v>206</v>
      </c>
      <c r="J11" s="165" t="s">
        <v>207</v>
      </c>
      <c r="K11" s="165">
        <v>30.36</v>
      </c>
      <c r="L11" s="165"/>
      <c r="M11" s="165"/>
      <c r="N11" s="165"/>
      <c r="O11" s="107">
        <v>200</v>
      </c>
      <c r="P11" s="107">
        <v>200</v>
      </c>
      <c r="Q11" s="107">
        <v>400</v>
      </c>
      <c r="R11" s="107" t="str">
        <f t="shared" si="1"/>
        <v>200_200_400</v>
      </c>
      <c r="S11" s="165">
        <v>34.082500000000003</v>
      </c>
      <c r="T11" s="165">
        <v>0.4832787325481383</v>
      </c>
      <c r="U11" s="165"/>
      <c r="V11" s="107">
        <v>100</v>
      </c>
      <c r="W11" s="107">
        <v>100</v>
      </c>
      <c r="X11" s="107">
        <v>400</v>
      </c>
      <c r="Y11" s="107" t="str">
        <f t="shared" si="0"/>
        <v>100_100_400</v>
      </c>
      <c r="Z11" s="165">
        <v>32.46</v>
      </c>
      <c r="AA11" s="165">
        <v>0.28011902232206043</v>
      </c>
    </row>
    <row r="12" spans="1:27" x14ac:dyDescent="0.25">
      <c r="A12" s="165" t="s">
        <v>215</v>
      </c>
      <c r="B12" s="165" t="s">
        <v>205</v>
      </c>
      <c r="C12" s="165" t="s">
        <v>206</v>
      </c>
      <c r="D12" s="165" t="s">
        <v>207</v>
      </c>
      <c r="E12" s="165">
        <v>33.549999999999997</v>
      </c>
      <c r="F12" s="165"/>
      <c r="G12" s="165" t="s">
        <v>221</v>
      </c>
      <c r="H12" s="165" t="s">
        <v>205</v>
      </c>
      <c r="I12" s="165" t="s">
        <v>206</v>
      </c>
      <c r="J12" s="165" t="s">
        <v>207</v>
      </c>
      <c r="K12" s="165">
        <v>30.12</v>
      </c>
      <c r="L12" s="165"/>
      <c r="M12" s="165"/>
      <c r="N12" s="165"/>
      <c r="O12" s="107">
        <v>100</v>
      </c>
      <c r="P12" s="107">
        <v>100</v>
      </c>
      <c r="Q12" s="107">
        <v>400</v>
      </c>
      <c r="R12" s="107" t="str">
        <f t="shared" si="1"/>
        <v>100_100_400</v>
      </c>
      <c r="S12" s="165">
        <v>32.46</v>
      </c>
      <c r="T12" s="165">
        <v>0.28011902232206043</v>
      </c>
      <c r="U12" s="165"/>
      <c r="V12" s="107">
        <v>100</v>
      </c>
      <c r="W12" s="107">
        <v>100</v>
      </c>
      <c r="X12" s="107">
        <v>600</v>
      </c>
      <c r="Y12" s="107" t="str">
        <f t="shared" si="0"/>
        <v>100_100_600</v>
      </c>
      <c r="Z12" s="165">
        <v>32.527500000000003</v>
      </c>
      <c r="AA12" s="165">
        <v>0.36316892304637988</v>
      </c>
    </row>
    <row r="13" spans="1:27" x14ac:dyDescent="0.25">
      <c r="A13" s="165" t="s">
        <v>215</v>
      </c>
      <c r="B13" s="165" t="s">
        <v>328</v>
      </c>
      <c r="C13" s="165" t="s">
        <v>206</v>
      </c>
      <c r="D13" s="165" t="s">
        <v>210</v>
      </c>
      <c r="E13" s="165">
        <v>30.18</v>
      </c>
      <c r="F13" s="165"/>
      <c r="G13" s="165" t="s">
        <v>222</v>
      </c>
      <c r="H13" s="165" t="s">
        <v>205</v>
      </c>
      <c r="I13" s="165" t="s">
        <v>206</v>
      </c>
      <c r="J13" s="165" t="s">
        <v>207</v>
      </c>
      <c r="K13" s="165">
        <v>30.47</v>
      </c>
      <c r="L13" s="165"/>
      <c r="M13" s="165"/>
      <c r="N13" s="165"/>
      <c r="O13" s="107">
        <v>50</v>
      </c>
      <c r="P13" s="107">
        <v>50</v>
      </c>
      <c r="Q13" s="107">
        <v>400</v>
      </c>
      <c r="R13" s="107" t="str">
        <f t="shared" si="1"/>
        <v>50_50_400</v>
      </c>
      <c r="S13" s="165">
        <v>28.587499999999999</v>
      </c>
      <c r="T13" s="165">
        <v>0.27897132469126673</v>
      </c>
      <c r="U13" s="165"/>
      <c r="V13" s="107">
        <v>100</v>
      </c>
      <c r="W13" s="107">
        <v>100</v>
      </c>
      <c r="X13" s="107">
        <v>800</v>
      </c>
      <c r="Y13" s="107" t="str">
        <f t="shared" si="0"/>
        <v>100_100_800</v>
      </c>
      <c r="Z13" s="165">
        <v>32.76</v>
      </c>
      <c r="AA13" s="165">
        <v>0.18402898322456446</v>
      </c>
    </row>
    <row r="14" spans="1:27" x14ac:dyDescent="0.25">
      <c r="A14" s="165" t="s">
        <v>216</v>
      </c>
      <c r="B14" s="165" t="s">
        <v>205</v>
      </c>
      <c r="C14" s="165" t="s">
        <v>206</v>
      </c>
      <c r="D14" s="165" t="s">
        <v>207</v>
      </c>
      <c r="E14" s="165">
        <v>34.15</v>
      </c>
      <c r="F14" s="165"/>
      <c r="G14" s="165" t="s">
        <v>223</v>
      </c>
      <c r="H14" s="165" t="s">
        <v>205</v>
      </c>
      <c r="I14" s="165" t="s">
        <v>206</v>
      </c>
      <c r="J14" s="165" t="s">
        <v>207</v>
      </c>
      <c r="K14" s="165">
        <v>34.29</v>
      </c>
      <c r="L14" s="165">
        <f>AVERAGE(K14:K17)</f>
        <v>34.770000000000003</v>
      </c>
      <c r="M14" s="165">
        <f>STDEV(K14:K17)</f>
        <v>0.32372828112477348</v>
      </c>
      <c r="N14" s="165"/>
      <c r="O14" s="107">
        <v>200</v>
      </c>
      <c r="P14" s="107">
        <v>200</v>
      </c>
      <c r="Q14" s="107">
        <v>600</v>
      </c>
      <c r="R14" s="107" t="str">
        <f t="shared" si="1"/>
        <v>200_200_600</v>
      </c>
      <c r="S14" s="165">
        <v>34.155000000000001</v>
      </c>
      <c r="T14" s="165">
        <v>0.59674114991342619</v>
      </c>
      <c r="U14" s="165"/>
      <c r="V14" s="107">
        <v>200</v>
      </c>
      <c r="W14" s="107">
        <v>200</v>
      </c>
      <c r="X14" s="107">
        <v>50</v>
      </c>
      <c r="Y14" s="107" t="str">
        <f t="shared" si="0"/>
        <v>200_200_50</v>
      </c>
      <c r="Z14" s="165">
        <v>35.594999999999999</v>
      </c>
      <c r="AA14" s="165">
        <v>0.22825424421026547</v>
      </c>
    </row>
    <row r="15" spans="1:27" x14ac:dyDescent="0.25">
      <c r="A15" s="165" t="s">
        <v>216</v>
      </c>
      <c r="B15" s="165" t="s">
        <v>328</v>
      </c>
      <c r="C15" s="165" t="s">
        <v>206</v>
      </c>
      <c r="D15" s="165" t="s">
        <v>210</v>
      </c>
      <c r="E15" s="165">
        <v>30.34</v>
      </c>
      <c r="F15" s="165"/>
      <c r="G15" s="165" t="s">
        <v>234</v>
      </c>
      <c r="H15" s="165" t="s">
        <v>205</v>
      </c>
      <c r="I15" s="165" t="s">
        <v>206</v>
      </c>
      <c r="J15" s="165" t="s">
        <v>207</v>
      </c>
      <c r="K15" s="165">
        <v>34.99</v>
      </c>
      <c r="L15" s="165"/>
      <c r="M15" s="165"/>
      <c r="N15" s="165"/>
      <c r="O15" s="107">
        <v>100</v>
      </c>
      <c r="P15" s="107">
        <v>100</v>
      </c>
      <c r="Q15" s="107">
        <v>600</v>
      </c>
      <c r="R15" s="107" t="str">
        <f t="shared" si="1"/>
        <v>100_100_600</v>
      </c>
      <c r="S15" s="165">
        <v>32.527500000000003</v>
      </c>
      <c r="T15" s="165">
        <v>0.36316892304637988</v>
      </c>
      <c r="U15" s="165"/>
      <c r="V15" s="107">
        <v>200</v>
      </c>
      <c r="W15" s="107">
        <v>200</v>
      </c>
      <c r="X15" s="107">
        <v>100</v>
      </c>
      <c r="Y15" s="107" t="str">
        <f t="shared" si="0"/>
        <v>200_200_100</v>
      </c>
      <c r="Z15" s="165">
        <v>34.770000000000003</v>
      </c>
      <c r="AA15" s="165">
        <v>0.32372828112477348</v>
      </c>
    </row>
    <row r="16" spans="1:27" x14ac:dyDescent="0.25">
      <c r="A16" s="165" t="s">
        <v>217</v>
      </c>
      <c r="B16" s="165" t="s">
        <v>205</v>
      </c>
      <c r="C16" s="165" t="s">
        <v>206</v>
      </c>
      <c r="D16" s="165" t="s">
        <v>207</v>
      </c>
      <c r="E16" s="165">
        <v>33.54</v>
      </c>
      <c r="F16" s="165"/>
      <c r="G16" s="165" t="s">
        <v>235</v>
      </c>
      <c r="H16" s="165" t="s">
        <v>205</v>
      </c>
      <c r="I16" s="165" t="s">
        <v>206</v>
      </c>
      <c r="J16" s="165" t="s">
        <v>207</v>
      </c>
      <c r="K16" s="165">
        <v>34.93</v>
      </c>
      <c r="L16" s="165"/>
      <c r="M16" s="165"/>
      <c r="N16" s="165"/>
      <c r="O16" s="107">
        <v>50</v>
      </c>
      <c r="P16" s="107">
        <v>50</v>
      </c>
      <c r="Q16" s="107">
        <v>600</v>
      </c>
      <c r="R16" s="107" t="str">
        <f t="shared" si="1"/>
        <v>50_50_600</v>
      </c>
      <c r="S16" s="165">
        <v>29.145</v>
      </c>
      <c r="T16" s="165">
        <v>0.23685438564654049</v>
      </c>
      <c r="U16" s="165"/>
      <c r="V16" s="107">
        <v>200</v>
      </c>
      <c r="W16" s="107">
        <v>200</v>
      </c>
      <c r="X16" s="107">
        <v>200</v>
      </c>
      <c r="Y16" s="107" t="str">
        <f t="shared" si="0"/>
        <v>200_200_200</v>
      </c>
      <c r="Z16" s="165">
        <v>34.152500000000003</v>
      </c>
      <c r="AA16" s="165">
        <v>0.23584952830141512</v>
      </c>
    </row>
    <row r="17" spans="1:27" x14ac:dyDescent="0.25">
      <c r="A17" s="165" t="s">
        <v>217</v>
      </c>
      <c r="B17" s="165" t="s">
        <v>328</v>
      </c>
      <c r="C17" s="165" t="s">
        <v>206</v>
      </c>
      <c r="D17" s="165" t="s">
        <v>210</v>
      </c>
      <c r="E17" s="165">
        <v>30.26</v>
      </c>
      <c r="F17" s="165"/>
      <c r="G17" s="165" t="s">
        <v>236</v>
      </c>
      <c r="H17" s="165" t="s">
        <v>205</v>
      </c>
      <c r="I17" s="165" t="s">
        <v>206</v>
      </c>
      <c r="J17" s="165" t="s">
        <v>207</v>
      </c>
      <c r="K17" s="165">
        <v>34.869999999999997</v>
      </c>
      <c r="L17" s="165"/>
      <c r="M17" s="165"/>
      <c r="N17" s="165"/>
      <c r="O17" s="107">
        <v>200</v>
      </c>
      <c r="P17" s="107">
        <v>200</v>
      </c>
      <c r="Q17" s="107">
        <v>800</v>
      </c>
      <c r="R17" s="107" t="str">
        <f t="shared" si="1"/>
        <v>200_200_800</v>
      </c>
      <c r="S17" s="165">
        <v>33.9375</v>
      </c>
      <c r="T17" s="165">
        <v>0.14127396551854057</v>
      </c>
      <c r="U17" s="165"/>
      <c r="V17" s="107">
        <v>200</v>
      </c>
      <c r="W17" s="107">
        <v>200</v>
      </c>
      <c r="X17" s="107">
        <v>400</v>
      </c>
      <c r="Y17" s="107" t="str">
        <f t="shared" si="0"/>
        <v>200_200_400</v>
      </c>
      <c r="Z17" s="165">
        <v>34.082500000000003</v>
      </c>
      <c r="AA17" s="165">
        <v>0.4832787325481383</v>
      </c>
    </row>
    <row r="18" spans="1:27" x14ac:dyDescent="0.25">
      <c r="A18" s="165" t="s">
        <v>218</v>
      </c>
      <c r="B18" s="165" t="s">
        <v>205</v>
      </c>
      <c r="C18" s="165" t="s">
        <v>206</v>
      </c>
      <c r="D18" s="165" t="s">
        <v>207</v>
      </c>
      <c r="E18" s="165">
        <v>29.61</v>
      </c>
      <c r="F18" s="165"/>
      <c r="G18" s="165" t="s">
        <v>237</v>
      </c>
      <c r="H18" s="165" t="s">
        <v>205</v>
      </c>
      <c r="I18" s="165" t="s">
        <v>206</v>
      </c>
      <c r="J18" s="165" t="s">
        <v>207</v>
      </c>
      <c r="K18" s="165">
        <v>32.61</v>
      </c>
      <c r="L18" s="165">
        <f>AVERAGE(K18:K21)</f>
        <v>32.842500000000001</v>
      </c>
      <c r="M18" s="165">
        <f>STDEV(K18:K21)</f>
        <v>0.19311050377094141</v>
      </c>
      <c r="N18" s="165"/>
      <c r="O18" s="107">
        <v>100</v>
      </c>
      <c r="P18" s="107">
        <v>100</v>
      </c>
      <c r="Q18" s="107">
        <v>800</v>
      </c>
      <c r="R18" s="107" t="str">
        <f t="shared" si="1"/>
        <v>100_100_800</v>
      </c>
      <c r="S18" s="165">
        <v>32.76</v>
      </c>
      <c r="T18" s="165">
        <v>0.18402898322456446</v>
      </c>
      <c r="U18" s="165"/>
      <c r="V18" s="107">
        <v>200</v>
      </c>
      <c r="W18" s="107">
        <v>200</v>
      </c>
      <c r="X18" s="107">
        <v>600</v>
      </c>
      <c r="Y18" s="107" t="str">
        <f t="shared" si="0"/>
        <v>200_200_600</v>
      </c>
      <c r="Z18" s="165">
        <v>34.155000000000001</v>
      </c>
      <c r="AA18" s="165">
        <v>0.59674114991342619</v>
      </c>
    </row>
    <row r="19" spans="1:27" x14ac:dyDescent="0.25">
      <c r="A19" s="165" t="s">
        <v>218</v>
      </c>
      <c r="B19" s="165" t="s">
        <v>328</v>
      </c>
      <c r="C19" s="165" t="s">
        <v>206</v>
      </c>
      <c r="D19" s="165" t="s">
        <v>210</v>
      </c>
      <c r="E19" s="165">
        <v>29.5</v>
      </c>
      <c r="F19" s="165"/>
      <c r="G19" s="165" t="s">
        <v>238</v>
      </c>
      <c r="H19" s="165" t="s">
        <v>205</v>
      </c>
      <c r="I19" s="165" t="s">
        <v>206</v>
      </c>
      <c r="J19" s="165" t="s">
        <v>207</v>
      </c>
      <c r="K19" s="165">
        <v>32.79</v>
      </c>
      <c r="L19" s="165"/>
      <c r="M19" s="165"/>
      <c r="N19" s="165"/>
      <c r="O19" s="107">
        <v>50</v>
      </c>
      <c r="P19" s="107">
        <v>50</v>
      </c>
      <c r="Q19" s="107">
        <v>800</v>
      </c>
      <c r="R19" s="107" t="str">
        <f t="shared" si="1"/>
        <v>50_50_800</v>
      </c>
      <c r="S19" s="165">
        <v>30.212500000000002</v>
      </c>
      <c r="T19" s="165">
        <v>0.39118409988137315</v>
      </c>
      <c r="U19" s="165"/>
      <c r="V19" s="107">
        <v>200</v>
      </c>
      <c r="W19" s="107">
        <v>200</v>
      </c>
      <c r="X19" s="107">
        <v>800</v>
      </c>
      <c r="Y19" s="107" t="str">
        <f t="shared" si="0"/>
        <v>200_200_800</v>
      </c>
      <c r="Z19" s="165">
        <v>33.9375</v>
      </c>
      <c r="AA19" s="165">
        <v>0.14127396551854057</v>
      </c>
    </row>
    <row r="20" spans="1:27" x14ac:dyDescent="0.25">
      <c r="A20" s="165" t="s">
        <v>219</v>
      </c>
      <c r="B20" s="165" t="s">
        <v>205</v>
      </c>
      <c r="C20" s="165" t="s">
        <v>206</v>
      </c>
      <c r="D20" s="165" t="s">
        <v>207</v>
      </c>
      <c r="E20" s="165">
        <v>30.36</v>
      </c>
      <c r="F20" s="165"/>
      <c r="G20" s="165" t="s">
        <v>239</v>
      </c>
      <c r="H20" s="165" t="s">
        <v>205</v>
      </c>
      <c r="I20" s="165" t="s">
        <v>206</v>
      </c>
      <c r="J20" s="165" t="s">
        <v>207</v>
      </c>
      <c r="K20" s="165">
        <v>33.07</v>
      </c>
      <c r="L20" s="165"/>
      <c r="M20" s="165"/>
      <c r="N20" s="165"/>
      <c r="O20" s="165"/>
      <c r="P20" s="165"/>
      <c r="Q20" s="165"/>
      <c r="R20" s="165"/>
      <c r="S20" s="165"/>
      <c r="T20" s="165"/>
      <c r="U20" s="165"/>
      <c r="V20" s="165"/>
      <c r="W20" s="165"/>
      <c r="X20" s="165"/>
      <c r="Y20" s="165"/>
      <c r="Z20" s="165"/>
      <c r="AA20" s="165"/>
    </row>
    <row r="21" spans="1:27" x14ac:dyDescent="0.25">
      <c r="A21" s="165" t="s">
        <v>219</v>
      </c>
      <c r="B21" s="165" t="s">
        <v>328</v>
      </c>
      <c r="C21" s="165" t="s">
        <v>206</v>
      </c>
      <c r="D21" s="165" t="s">
        <v>210</v>
      </c>
      <c r="E21" s="165">
        <v>29.6</v>
      </c>
      <c r="F21" s="165"/>
      <c r="G21" s="165" t="s">
        <v>242</v>
      </c>
      <c r="H21" s="165" t="s">
        <v>205</v>
      </c>
      <c r="I21" s="165" t="s">
        <v>206</v>
      </c>
      <c r="J21" s="165" t="s">
        <v>207</v>
      </c>
      <c r="K21" s="165">
        <v>32.9</v>
      </c>
      <c r="L21" s="165"/>
      <c r="M21" s="165"/>
      <c r="N21" s="165"/>
      <c r="O21" s="165"/>
      <c r="P21" s="165"/>
      <c r="Q21" s="165"/>
      <c r="R21" s="165"/>
      <c r="S21" s="165"/>
      <c r="T21" s="165"/>
      <c r="U21" s="165"/>
      <c r="V21" s="165"/>
      <c r="W21" s="165"/>
      <c r="X21" s="165"/>
      <c r="Y21" s="165"/>
      <c r="Z21" s="165"/>
      <c r="AA21" s="165"/>
    </row>
    <row r="22" spans="1:27" x14ac:dyDescent="0.25">
      <c r="A22" s="165" t="s">
        <v>221</v>
      </c>
      <c r="B22" s="165" t="s">
        <v>205</v>
      </c>
      <c r="C22" s="165" t="s">
        <v>206</v>
      </c>
      <c r="D22" s="165" t="s">
        <v>207</v>
      </c>
      <c r="E22" s="165">
        <v>30.12</v>
      </c>
      <c r="F22" s="165"/>
      <c r="G22" s="165" t="s">
        <v>243</v>
      </c>
      <c r="H22" s="165" t="s">
        <v>205</v>
      </c>
      <c r="I22" s="165" t="s">
        <v>206</v>
      </c>
      <c r="J22" s="165" t="s">
        <v>207</v>
      </c>
      <c r="K22" s="165">
        <v>28.75</v>
      </c>
      <c r="L22" s="165">
        <f>AVERAGE(K22:K25)</f>
        <v>29.572499999999998</v>
      </c>
      <c r="M22" s="165">
        <f>STDEV(K22:K25)</f>
        <v>0.57892860814899627</v>
      </c>
      <c r="N22" s="165"/>
      <c r="O22" s="165"/>
      <c r="P22" s="165"/>
      <c r="Q22" s="165"/>
      <c r="R22" s="165"/>
      <c r="S22" s="165"/>
      <c r="T22" s="165"/>
      <c r="U22" s="165"/>
      <c r="V22" s="165"/>
      <c r="W22" s="165"/>
      <c r="X22" s="165"/>
      <c r="Y22" s="165"/>
      <c r="Z22" s="165"/>
      <c r="AA22" s="165"/>
    </row>
    <row r="23" spans="1:27" x14ac:dyDescent="0.25">
      <c r="A23" s="165" t="s">
        <v>221</v>
      </c>
      <c r="B23" s="165" t="s">
        <v>328</v>
      </c>
      <c r="C23" s="165" t="s">
        <v>206</v>
      </c>
      <c r="D23" s="165" t="s">
        <v>210</v>
      </c>
      <c r="E23" s="165">
        <v>29.29</v>
      </c>
      <c r="F23" s="165"/>
      <c r="G23" s="165" t="s">
        <v>244</v>
      </c>
      <c r="H23" s="165" t="s">
        <v>205</v>
      </c>
      <c r="I23" s="165" t="s">
        <v>206</v>
      </c>
      <c r="J23" s="165" t="s">
        <v>207</v>
      </c>
      <c r="K23" s="165">
        <v>29.66</v>
      </c>
      <c r="L23" s="165"/>
      <c r="M23" s="165"/>
      <c r="N23" s="165"/>
      <c r="O23" s="165"/>
      <c r="P23" s="165"/>
      <c r="Q23" s="165"/>
      <c r="R23" s="165"/>
      <c r="S23" s="165"/>
      <c r="T23" s="165"/>
      <c r="U23" s="165"/>
      <c r="V23" s="165"/>
      <c r="W23" s="165"/>
      <c r="X23" s="165"/>
      <c r="Y23" s="165"/>
      <c r="Z23" s="165"/>
      <c r="AA23" s="165"/>
    </row>
    <row r="24" spans="1:27" x14ac:dyDescent="0.25">
      <c r="A24" s="165" t="s">
        <v>222</v>
      </c>
      <c r="B24" s="165" t="s">
        <v>205</v>
      </c>
      <c r="C24" s="165" t="s">
        <v>206</v>
      </c>
      <c r="D24" s="165" t="s">
        <v>207</v>
      </c>
      <c r="E24" s="165">
        <v>30.47</v>
      </c>
      <c r="F24" s="165"/>
      <c r="G24" s="165" t="s">
        <v>245</v>
      </c>
      <c r="H24" s="165" t="s">
        <v>205</v>
      </c>
      <c r="I24" s="165" t="s">
        <v>206</v>
      </c>
      <c r="J24" s="165" t="s">
        <v>207</v>
      </c>
      <c r="K24" s="165">
        <v>30.1</v>
      </c>
      <c r="L24" s="165"/>
      <c r="M24" s="165"/>
      <c r="N24" s="165"/>
      <c r="O24" s="165"/>
      <c r="P24" s="165"/>
      <c r="Q24" s="165"/>
      <c r="R24" s="165"/>
      <c r="S24" s="165"/>
      <c r="T24" s="165"/>
      <c r="U24" s="165"/>
      <c r="V24" s="165"/>
      <c r="W24" s="165"/>
      <c r="X24" s="165"/>
      <c r="Y24" s="165"/>
      <c r="Z24" s="165"/>
      <c r="AA24" s="165"/>
    </row>
    <row r="25" spans="1:27" x14ac:dyDescent="0.25">
      <c r="A25" s="165" t="s">
        <v>222</v>
      </c>
      <c r="B25" s="165" t="s">
        <v>328</v>
      </c>
      <c r="C25" s="165" t="s">
        <v>206</v>
      </c>
      <c r="D25" s="165" t="s">
        <v>210</v>
      </c>
      <c r="E25" s="165">
        <v>29.69</v>
      </c>
      <c r="F25" s="165"/>
      <c r="G25" s="165" t="s">
        <v>247</v>
      </c>
      <c r="H25" s="165" t="s">
        <v>205</v>
      </c>
      <c r="I25" s="165" t="s">
        <v>206</v>
      </c>
      <c r="J25" s="165" t="s">
        <v>207</v>
      </c>
      <c r="K25" s="165">
        <v>29.78</v>
      </c>
      <c r="L25" s="165"/>
      <c r="M25" s="165"/>
      <c r="N25" s="165"/>
      <c r="O25" s="165"/>
      <c r="P25" s="165"/>
      <c r="Q25" s="165"/>
      <c r="R25" s="165"/>
      <c r="S25" s="165"/>
      <c r="T25" s="165"/>
      <c r="U25" s="165"/>
      <c r="V25" s="165"/>
      <c r="W25" s="165"/>
      <c r="X25" s="165"/>
      <c r="Y25" s="165"/>
      <c r="Z25" s="165"/>
      <c r="AA25" s="165"/>
    </row>
    <row r="26" spans="1:27" x14ac:dyDescent="0.25">
      <c r="A26" s="165" t="s">
        <v>223</v>
      </c>
      <c r="B26" s="165" t="s">
        <v>205</v>
      </c>
      <c r="C26" s="165" t="s">
        <v>206</v>
      </c>
      <c r="D26" s="165" t="s">
        <v>207</v>
      </c>
      <c r="E26" s="165">
        <v>34.29</v>
      </c>
      <c r="F26" s="165"/>
      <c r="G26" s="165" t="s">
        <v>248</v>
      </c>
      <c r="H26" s="165" t="s">
        <v>205</v>
      </c>
      <c r="I26" s="165" t="s">
        <v>206</v>
      </c>
      <c r="J26" s="165" t="s">
        <v>207</v>
      </c>
      <c r="K26" s="165">
        <v>33.85</v>
      </c>
      <c r="L26" s="165">
        <f>AVERAGE(K26:K29)</f>
        <v>34.152500000000003</v>
      </c>
      <c r="M26" s="165">
        <f>STDEV(K26:K29)</f>
        <v>0.23584952830141512</v>
      </c>
      <c r="N26" s="165"/>
      <c r="O26" s="165"/>
      <c r="P26" s="165"/>
      <c r="Q26" s="165"/>
      <c r="R26" s="165"/>
      <c r="S26" s="165"/>
      <c r="T26" s="165"/>
      <c r="U26" s="165"/>
      <c r="V26" s="165"/>
      <c r="W26" s="165"/>
      <c r="X26" s="165"/>
      <c r="Y26" s="165"/>
      <c r="Z26" s="165"/>
      <c r="AA26" s="165"/>
    </row>
    <row r="27" spans="1:27" x14ac:dyDescent="0.25">
      <c r="A27" s="165" t="s">
        <v>223</v>
      </c>
      <c r="B27" s="165" t="s">
        <v>328</v>
      </c>
      <c r="C27" s="165" t="s">
        <v>206</v>
      </c>
      <c r="D27" s="165" t="s">
        <v>210</v>
      </c>
      <c r="E27" s="165">
        <v>33.83</v>
      </c>
      <c r="F27" s="165"/>
      <c r="G27" s="165" t="s">
        <v>249</v>
      </c>
      <c r="H27" s="165" t="s">
        <v>205</v>
      </c>
      <c r="I27" s="165" t="s">
        <v>206</v>
      </c>
      <c r="J27" s="165" t="s">
        <v>207</v>
      </c>
      <c r="K27" s="165">
        <v>34.130000000000003</v>
      </c>
      <c r="L27" s="165"/>
      <c r="M27" s="165"/>
      <c r="N27" s="165"/>
      <c r="O27" s="165"/>
      <c r="P27" s="165"/>
      <c r="Q27" s="165"/>
      <c r="R27" s="165"/>
      <c r="S27" s="165"/>
      <c r="T27" s="165"/>
      <c r="U27" s="165"/>
      <c r="V27" s="165"/>
      <c r="W27" s="165"/>
      <c r="X27" s="165"/>
      <c r="Y27" s="165"/>
      <c r="Z27" s="165"/>
      <c r="AA27" s="165"/>
    </row>
    <row r="28" spans="1:27" x14ac:dyDescent="0.25">
      <c r="A28" s="165" t="s">
        <v>234</v>
      </c>
      <c r="B28" s="165" t="s">
        <v>205</v>
      </c>
      <c r="C28" s="165" t="s">
        <v>206</v>
      </c>
      <c r="D28" s="165" t="s">
        <v>207</v>
      </c>
      <c r="E28" s="165">
        <v>34.99</v>
      </c>
      <c r="F28" s="165"/>
      <c r="G28" s="165" t="s">
        <v>250</v>
      </c>
      <c r="H28" s="165" t="s">
        <v>205</v>
      </c>
      <c r="I28" s="165" t="s">
        <v>206</v>
      </c>
      <c r="J28" s="165" t="s">
        <v>207</v>
      </c>
      <c r="K28" s="165">
        <v>34.42</v>
      </c>
      <c r="L28" s="165"/>
      <c r="M28" s="165"/>
      <c r="N28" s="165"/>
      <c r="O28" s="165"/>
      <c r="P28" s="165"/>
      <c r="Q28" s="165"/>
      <c r="R28" s="165"/>
      <c r="S28" s="165"/>
      <c r="T28" s="165"/>
      <c r="U28" s="165"/>
      <c r="V28" s="165"/>
      <c r="W28" s="165"/>
      <c r="X28" s="165"/>
      <c r="Y28" s="165"/>
      <c r="Z28" s="165"/>
      <c r="AA28" s="165"/>
    </row>
    <row r="29" spans="1:27" x14ac:dyDescent="0.25">
      <c r="A29" s="165" t="s">
        <v>234</v>
      </c>
      <c r="B29" s="165" t="s">
        <v>328</v>
      </c>
      <c r="C29" s="165" t="s">
        <v>206</v>
      </c>
      <c r="D29" s="165" t="s">
        <v>210</v>
      </c>
      <c r="E29" s="165">
        <v>34.53</v>
      </c>
      <c r="F29" s="165"/>
      <c r="G29" s="165" t="s">
        <v>251</v>
      </c>
      <c r="H29" s="165" t="s">
        <v>205</v>
      </c>
      <c r="I29" s="165" t="s">
        <v>206</v>
      </c>
      <c r="J29" s="165" t="s">
        <v>207</v>
      </c>
      <c r="K29" s="165">
        <v>34.21</v>
      </c>
      <c r="L29" s="165"/>
      <c r="M29" s="165"/>
      <c r="N29" s="165"/>
      <c r="O29" s="165"/>
      <c r="P29" s="165"/>
      <c r="Q29" s="165"/>
      <c r="R29" s="165"/>
      <c r="S29" s="165"/>
      <c r="T29" s="165"/>
      <c r="U29" s="165"/>
      <c r="V29" s="165"/>
      <c r="W29" s="165"/>
      <c r="X29" s="165"/>
      <c r="Y29" s="165"/>
      <c r="Z29" s="165"/>
      <c r="AA29" s="165"/>
    </row>
    <row r="30" spans="1:27" x14ac:dyDescent="0.25">
      <c r="A30" s="165" t="s">
        <v>235</v>
      </c>
      <c r="B30" s="165" t="s">
        <v>205</v>
      </c>
      <c r="C30" s="165" t="s">
        <v>206</v>
      </c>
      <c r="D30" s="165" t="s">
        <v>207</v>
      </c>
      <c r="E30" s="165">
        <v>34.93</v>
      </c>
      <c r="F30" s="165"/>
      <c r="G30" s="165" t="s">
        <v>252</v>
      </c>
      <c r="H30" s="165" t="s">
        <v>205</v>
      </c>
      <c r="I30" s="165" t="s">
        <v>206</v>
      </c>
      <c r="J30" s="165" t="s">
        <v>207</v>
      </c>
      <c r="K30" s="165">
        <v>31.99</v>
      </c>
      <c r="L30" s="165">
        <f>AVERAGE(K30:K33)</f>
        <v>32.15</v>
      </c>
      <c r="M30" s="165">
        <f>STDEV(K30:K33)</f>
        <v>0.19339079605813933</v>
      </c>
      <c r="N30" s="165"/>
      <c r="O30" s="165"/>
      <c r="P30" s="165"/>
      <c r="Q30" s="165"/>
      <c r="R30" s="165"/>
      <c r="S30" s="165"/>
      <c r="T30" s="165"/>
      <c r="U30" s="165"/>
      <c r="V30" s="165"/>
      <c r="W30" s="165"/>
      <c r="X30" s="165"/>
      <c r="Y30" s="165"/>
      <c r="Z30" s="165"/>
      <c r="AA30" s="165"/>
    </row>
    <row r="31" spans="1:27" x14ac:dyDescent="0.25">
      <c r="A31" s="165" t="s">
        <v>235</v>
      </c>
      <c r="B31" s="165" t="s">
        <v>328</v>
      </c>
      <c r="C31" s="165" t="s">
        <v>206</v>
      </c>
      <c r="D31" s="165" t="s">
        <v>210</v>
      </c>
      <c r="E31" s="165">
        <v>34.479999999999997</v>
      </c>
      <c r="F31" s="165"/>
      <c r="G31" s="165" t="s">
        <v>253</v>
      </c>
      <c r="H31" s="165" t="s">
        <v>205</v>
      </c>
      <c r="I31" s="165" t="s">
        <v>206</v>
      </c>
      <c r="J31" s="165" t="s">
        <v>207</v>
      </c>
      <c r="K31" s="165">
        <v>31.99</v>
      </c>
      <c r="L31" s="165"/>
      <c r="M31" s="165"/>
      <c r="N31" s="165"/>
      <c r="O31" s="165"/>
      <c r="P31" s="165"/>
      <c r="Q31" s="165"/>
      <c r="R31" s="165"/>
      <c r="S31" s="165"/>
      <c r="T31" s="165"/>
      <c r="U31" s="165"/>
      <c r="V31" s="165"/>
      <c r="W31" s="165"/>
      <c r="X31" s="165"/>
      <c r="Y31" s="165"/>
      <c r="Z31" s="165"/>
      <c r="AA31" s="165"/>
    </row>
    <row r="32" spans="1:27" x14ac:dyDescent="0.25">
      <c r="A32" s="165" t="s">
        <v>236</v>
      </c>
      <c r="B32" s="165" t="s">
        <v>205</v>
      </c>
      <c r="C32" s="165" t="s">
        <v>206</v>
      </c>
      <c r="D32" s="165" t="s">
        <v>207</v>
      </c>
      <c r="E32" s="165">
        <v>34.869999999999997</v>
      </c>
      <c r="F32" s="165"/>
      <c r="G32" s="165" t="s">
        <v>254</v>
      </c>
      <c r="H32" s="165" t="s">
        <v>205</v>
      </c>
      <c r="I32" s="165" t="s">
        <v>206</v>
      </c>
      <c r="J32" s="165" t="s">
        <v>207</v>
      </c>
      <c r="K32" s="165">
        <v>32.380000000000003</v>
      </c>
      <c r="L32" s="165"/>
      <c r="M32" s="165"/>
      <c r="N32" s="165"/>
      <c r="O32" s="165"/>
      <c r="P32" s="165"/>
      <c r="Q32" s="165"/>
      <c r="R32" s="165"/>
      <c r="S32" s="165"/>
      <c r="T32" s="165"/>
      <c r="U32" s="165"/>
      <c r="V32" s="165"/>
      <c r="W32" s="165"/>
      <c r="X32" s="165"/>
      <c r="Y32" s="165"/>
      <c r="Z32" s="165"/>
      <c r="AA32" s="165"/>
    </row>
    <row r="33" spans="1:13" x14ac:dyDescent="0.25">
      <c r="A33" s="165" t="s">
        <v>236</v>
      </c>
      <c r="B33" s="165" t="s">
        <v>328</v>
      </c>
      <c r="C33" s="165" t="s">
        <v>206</v>
      </c>
      <c r="D33" s="165" t="s">
        <v>210</v>
      </c>
      <c r="E33" s="165">
        <v>34.29</v>
      </c>
      <c r="F33" s="165"/>
      <c r="G33" s="165" t="s">
        <v>255</v>
      </c>
      <c r="H33" s="165" t="s">
        <v>205</v>
      </c>
      <c r="I33" s="165" t="s">
        <v>206</v>
      </c>
      <c r="J33" s="165" t="s">
        <v>207</v>
      </c>
      <c r="K33" s="165">
        <v>32.24</v>
      </c>
      <c r="L33" s="165"/>
      <c r="M33" s="165"/>
    </row>
    <row r="34" spans="1:13" x14ac:dyDescent="0.25">
      <c r="A34" s="165" t="s">
        <v>237</v>
      </c>
      <c r="B34" s="165" t="s">
        <v>205</v>
      </c>
      <c r="C34" s="165" t="s">
        <v>206</v>
      </c>
      <c r="D34" s="165" t="s">
        <v>207</v>
      </c>
      <c r="E34" s="165">
        <v>32.61</v>
      </c>
      <c r="F34" s="165"/>
      <c r="G34" s="165" t="s">
        <v>256</v>
      </c>
      <c r="H34" s="165" t="s">
        <v>205</v>
      </c>
      <c r="I34" s="165" t="s">
        <v>206</v>
      </c>
      <c r="J34" s="165" t="s">
        <v>207</v>
      </c>
      <c r="K34" s="165">
        <v>28.98</v>
      </c>
      <c r="L34" s="165">
        <f>AVERAGE(K34:K37)</f>
        <v>28.842499999999998</v>
      </c>
      <c r="M34" s="165">
        <f>STDEV(K34:K37)</f>
        <v>0.13720422734012297</v>
      </c>
    </row>
    <row r="35" spans="1:13" x14ac:dyDescent="0.25">
      <c r="A35" s="165" t="s">
        <v>237</v>
      </c>
      <c r="B35" s="165" t="s">
        <v>328</v>
      </c>
      <c r="C35" s="165" t="s">
        <v>206</v>
      </c>
      <c r="D35" s="165" t="s">
        <v>210</v>
      </c>
      <c r="E35" s="165">
        <v>30.23</v>
      </c>
      <c r="F35" s="165"/>
      <c r="G35" s="165" t="s">
        <v>257</v>
      </c>
      <c r="H35" s="165" t="s">
        <v>205</v>
      </c>
      <c r="I35" s="165" t="s">
        <v>206</v>
      </c>
      <c r="J35" s="165" t="s">
        <v>207</v>
      </c>
      <c r="K35" s="165">
        <v>28.94</v>
      </c>
      <c r="L35" s="165"/>
      <c r="M35" s="165"/>
    </row>
    <row r="36" spans="1:13" x14ac:dyDescent="0.25">
      <c r="A36" s="165" t="s">
        <v>238</v>
      </c>
      <c r="B36" s="165" t="s">
        <v>205</v>
      </c>
      <c r="C36" s="165" t="s">
        <v>206</v>
      </c>
      <c r="D36" s="165" t="s">
        <v>207</v>
      </c>
      <c r="E36" s="165">
        <v>32.79</v>
      </c>
      <c r="F36" s="165"/>
      <c r="G36" s="165" t="s">
        <v>258</v>
      </c>
      <c r="H36" s="165" t="s">
        <v>205</v>
      </c>
      <c r="I36" s="165" t="s">
        <v>206</v>
      </c>
      <c r="J36" s="165" t="s">
        <v>207</v>
      </c>
      <c r="K36" s="165">
        <v>28.71</v>
      </c>
      <c r="L36" s="165"/>
      <c r="M36" s="165"/>
    </row>
    <row r="37" spans="1:13" x14ac:dyDescent="0.25">
      <c r="A37" s="165" t="s">
        <v>238</v>
      </c>
      <c r="B37" s="165" t="s">
        <v>328</v>
      </c>
      <c r="C37" s="165" t="s">
        <v>206</v>
      </c>
      <c r="D37" s="165" t="s">
        <v>210</v>
      </c>
      <c r="E37" s="165">
        <v>30.45</v>
      </c>
      <c r="F37" s="165"/>
      <c r="G37" s="165" t="s">
        <v>259</v>
      </c>
      <c r="H37" s="165" t="s">
        <v>205</v>
      </c>
      <c r="I37" s="165" t="s">
        <v>206</v>
      </c>
      <c r="J37" s="165" t="s">
        <v>207</v>
      </c>
      <c r="K37" s="165">
        <v>28.74</v>
      </c>
      <c r="L37" s="165"/>
      <c r="M37" s="165"/>
    </row>
    <row r="38" spans="1:13" x14ac:dyDescent="0.25">
      <c r="A38" s="165" t="s">
        <v>239</v>
      </c>
      <c r="B38" s="165" t="s">
        <v>205</v>
      </c>
      <c r="C38" s="165" t="s">
        <v>206</v>
      </c>
      <c r="D38" s="165" t="s">
        <v>207</v>
      </c>
      <c r="E38" s="165">
        <v>33.07</v>
      </c>
      <c r="F38" s="165"/>
      <c r="G38" s="165" t="s">
        <v>260</v>
      </c>
      <c r="H38" s="165" t="s">
        <v>205</v>
      </c>
      <c r="I38" s="165" t="s">
        <v>206</v>
      </c>
      <c r="J38" s="165" t="s">
        <v>207</v>
      </c>
      <c r="K38" s="165">
        <v>33.65</v>
      </c>
      <c r="L38" s="165">
        <f>AVERAGE(K38:K41)</f>
        <v>34.082500000000003</v>
      </c>
      <c r="M38" s="165">
        <f>STDEV(K38:K41)</f>
        <v>0.4832787325481383</v>
      </c>
    </row>
    <row r="39" spans="1:13" x14ac:dyDescent="0.25">
      <c r="A39" s="165" t="s">
        <v>239</v>
      </c>
      <c r="B39" s="165" t="s">
        <v>328</v>
      </c>
      <c r="C39" s="165" t="s">
        <v>206</v>
      </c>
      <c r="D39" s="165" t="s">
        <v>210</v>
      </c>
      <c r="E39" s="165">
        <v>30.57</v>
      </c>
      <c r="F39" s="165"/>
      <c r="G39" s="165" t="s">
        <v>261</v>
      </c>
      <c r="H39" s="165" t="s">
        <v>205</v>
      </c>
      <c r="I39" s="165" t="s">
        <v>206</v>
      </c>
      <c r="J39" s="165" t="s">
        <v>207</v>
      </c>
      <c r="K39" s="165">
        <v>34.020000000000003</v>
      </c>
      <c r="L39" s="165"/>
      <c r="M39" s="165"/>
    </row>
    <row r="40" spans="1:13" x14ac:dyDescent="0.25">
      <c r="A40" s="165" t="s">
        <v>242</v>
      </c>
      <c r="B40" s="165" t="s">
        <v>205</v>
      </c>
      <c r="C40" s="165" t="s">
        <v>206</v>
      </c>
      <c r="D40" s="165" t="s">
        <v>207</v>
      </c>
      <c r="E40" s="165">
        <v>32.9</v>
      </c>
      <c r="F40" s="165"/>
      <c r="G40" s="165" t="s">
        <v>262</v>
      </c>
      <c r="H40" s="165" t="s">
        <v>205</v>
      </c>
      <c r="I40" s="165" t="s">
        <v>206</v>
      </c>
      <c r="J40" s="165" t="s">
        <v>207</v>
      </c>
      <c r="K40" s="165">
        <v>33.89</v>
      </c>
      <c r="L40" s="165"/>
      <c r="M40" s="165"/>
    </row>
    <row r="41" spans="1:13" x14ac:dyDescent="0.25">
      <c r="A41" s="165" t="s">
        <v>242</v>
      </c>
      <c r="B41" s="165" t="s">
        <v>328</v>
      </c>
      <c r="C41" s="165" t="s">
        <v>206</v>
      </c>
      <c r="D41" s="165" t="s">
        <v>210</v>
      </c>
      <c r="E41" s="165">
        <v>30.23</v>
      </c>
      <c r="F41" s="165"/>
      <c r="G41" s="165" t="s">
        <v>263</v>
      </c>
      <c r="H41" s="165" t="s">
        <v>205</v>
      </c>
      <c r="I41" s="165" t="s">
        <v>206</v>
      </c>
      <c r="J41" s="165" t="s">
        <v>207</v>
      </c>
      <c r="K41" s="165">
        <v>34.770000000000003</v>
      </c>
      <c r="L41" s="165"/>
      <c r="M41" s="165"/>
    </row>
    <row r="42" spans="1:13" x14ac:dyDescent="0.25">
      <c r="A42" s="165" t="s">
        <v>243</v>
      </c>
      <c r="B42" s="165" t="s">
        <v>205</v>
      </c>
      <c r="C42" s="165" t="s">
        <v>206</v>
      </c>
      <c r="D42" s="165" t="s">
        <v>207</v>
      </c>
      <c r="E42" s="165">
        <v>28.75</v>
      </c>
      <c r="F42" s="165"/>
      <c r="G42" s="165" t="s">
        <v>264</v>
      </c>
      <c r="H42" s="165" t="s">
        <v>205</v>
      </c>
      <c r="I42" s="165" t="s">
        <v>206</v>
      </c>
      <c r="J42" s="165" t="s">
        <v>207</v>
      </c>
      <c r="K42" s="165">
        <v>32.25</v>
      </c>
      <c r="L42" s="165">
        <f>AVERAGE(K42:K45)</f>
        <v>32.46</v>
      </c>
      <c r="M42" s="165">
        <f>STDEV(K42:K45)</f>
        <v>0.28011902232206043</v>
      </c>
    </row>
    <row r="43" spans="1:13" x14ac:dyDescent="0.25">
      <c r="A43" s="165" t="s">
        <v>243</v>
      </c>
      <c r="B43" s="165" t="s">
        <v>328</v>
      </c>
      <c r="C43" s="165" t="s">
        <v>206</v>
      </c>
      <c r="D43" s="165" t="s">
        <v>210</v>
      </c>
      <c r="E43" s="165">
        <v>29.38</v>
      </c>
      <c r="F43" s="165"/>
      <c r="G43" s="165" t="s">
        <v>265</v>
      </c>
      <c r="H43" s="165" t="s">
        <v>205</v>
      </c>
      <c r="I43" s="165" t="s">
        <v>206</v>
      </c>
      <c r="J43" s="165" t="s">
        <v>207</v>
      </c>
      <c r="K43" s="165">
        <v>32.19</v>
      </c>
      <c r="L43" s="165"/>
      <c r="M43" s="165"/>
    </row>
    <row r="44" spans="1:13" x14ac:dyDescent="0.25">
      <c r="A44" s="165" t="s">
        <v>244</v>
      </c>
      <c r="B44" s="165" t="s">
        <v>205</v>
      </c>
      <c r="C44" s="165" t="s">
        <v>206</v>
      </c>
      <c r="D44" s="165" t="s">
        <v>207</v>
      </c>
      <c r="E44" s="165">
        <v>29.66</v>
      </c>
      <c r="F44" s="165"/>
      <c r="G44" s="165" t="s">
        <v>266</v>
      </c>
      <c r="H44" s="165" t="s">
        <v>205</v>
      </c>
      <c r="I44" s="165" t="s">
        <v>206</v>
      </c>
      <c r="J44" s="165" t="s">
        <v>207</v>
      </c>
      <c r="K44" s="165">
        <v>32.74</v>
      </c>
      <c r="L44" s="165"/>
      <c r="M44" s="165"/>
    </row>
    <row r="45" spans="1:13" x14ac:dyDescent="0.25">
      <c r="A45" s="165" t="s">
        <v>244</v>
      </c>
      <c r="B45" s="165" t="s">
        <v>328</v>
      </c>
      <c r="C45" s="165" t="s">
        <v>206</v>
      </c>
      <c r="D45" s="165" t="s">
        <v>210</v>
      </c>
      <c r="E45" s="165">
        <v>29.3</v>
      </c>
      <c r="F45" s="165"/>
      <c r="G45" s="165" t="s">
        <v>267</v>
      </c>
      <c r="H45" s="165" t="s">
        <v>205</v>
      </c>
      <c r="I45" s="165" t="s">
        <v>206</v>
      </c>
      <c r="J45" s="165" t="s">
        <v>207</v>
      </c>
      <c r="K45" s="165">
        <v>32.659999999999997</v>
      </c>
      <c r="L45" s="165"/>
      <c r="M45" s="165"/>
    </row>
    <row r="46" spans="1:13" x14ac:dyDescent="0.25">
      <c r="A46" s="165" t="s">
        <v>245</v>
      </c>
      <c r="B46" s="165" t="s">
        <v>205</v>
      </c>
      <c r="C46" s="165" t="s">
        <v>206</v>
      </c>
      <c r="D46" s="165" t="s">
        <v>207</v>
      </c>
      <c r="E46" s="165">
        <v>30.1</v>
      </c>
      <c r="F46" s="165"/>
      <c r="G46" s="165" t="s">
        <v>268</v>
      </c>
      <c r="H46" s="165" t="s">
        <v>205</v>
      </c>
      <c r="I46" s="165" t="s">
        <v>206</v>
      </c>
      <c r="J46" s="165" t="s">
        <v>207</v>
      </c>
      <c r="K46" s="165">
        <v>28.24</v>
      </c>
      <c r="L46" s="165">
        <f>AVERAGE(K46:K49)</f>
        <v>28.587499999999999</v>
      </c>
      <c r="M46" s="165">
        <f>STDEV(K46:K49)</f>
        <v>0.27897132469126673</v>
      </c>
    </row>
    <row r="47" spans="1:13" x14ac:dyDescent="0.25">
      <c r="A47" s="165" t="s">
        <v>245</v>
      </c>
      <c r="B47" s="165" t="s">
        <v>328</v>
      </c>
      <c r="C47" s="165" t="s">
        <v>206</v>
      </c>
      <c r="D47" s="165" t="s">
        <v>210</v>
      </c>
      <c r="E47" s="165">
        <v>30.13</v>
      </c>
      <c r="F47" s="165"/>
      <c r="G47" s="165" t="s">
        <v>270</v>
      </c>
      <c r="H47" s="165" t="s">
        <v>205</v>
      </c>
      <c r="I47" s="165" t="s">
        <v>206</v>
      </c>
      <c r="J47" s="165" t="s">
        <v>207</v>
      </c>
      <c r="K47" s="165">
        <v>28.52</v>
      </c>
      <c r="L47" s="165"/>
      <c r="M47" s="165"/>
    </row>
    <row r="48" spans="1:13" x14ac:dyDescent="0.25">
      <c r="A48" s="165" t="s">
        <v>247</v>
      </c>
      <c r="B48" s="165" t="s">
        <v>205</v>
      </c>
      <c r="C48" s="165" t="s">
        <v>206</v>
      </c>
      <c r="D48" s="165" t="s">
        <v>207</v>
      </c>
      <c r="E48" s="165">
        <v>29.78</v>
      </c>
      <c r="F48" s="165"/>
      <c r="G48" s="165" t="s">
        <v>272</v>
      </c>
      <c r="H48" s="165" t="s">
        <v>205</v>
      </c>
      <c r="I48" s="165" t="s">
        <v>206</v>
      </c>
      <c r="J48" s="165" t="s">
        <v>207</v>
      </c>
      <c r="K48" s="165">
        <v>28.9</v>
      </c>
      <c r="L48" s="165"/>
      <c r="M48" s="165"/>
    </row>
    <row r="49" spans="1:13" x14ac:dyDescent="0.25">
      <c r="A49" s="165" t="s">
        <v>247</v>
      </c>
      <c r="B49" s="165" t="s">
        <v>328</v>
      </c>
      <c r="C49" s="165" t="s">
        <v>206</v>
      </c>
      <c r="D49" s="165" t="s">
        <v>210</v>
      </c>
      <c r="E49" s="165">
        <v>29.75</v>
      </c>
      <c r="F49" s="165"/>
      <c r="G49" s="165" t="s">
        <v>273</v>
      </c>
      <c r="H49" s="165" t="s">
        <v>205</v>
      </c>
      <c r="I49" s="165" t="s">
        <v>206</v>
      </c>
      <c r="J49" s="165" t="s">
        <v>207</v>
      </c>
      <c r="K49" s="165">
        <v>28.69</v>
      </c>
      <c r="L49" s="165"/>
      <c r="M49" s="165"/>
    </row>
    <row r="50" spans="1:13" x14ac:dyDescent="0.25">
      <c r="A50" s="165" t="s">
        <v>248</v>
      </c>
      <c r="B50" s="165" t="s">
        <v>205</v>
      </c>
      <c r="C50" s="165" t="s">
        <v>206</v>
      </c>
      <c r="D50" s="165" t="s">
        <v>207</v>
      </c>
      <c r="E50" s="165">
        <v>33.85</v>
      </c>
      <c r="F50" s="165"/>
      <c r="G50" s="165" t="s">
        <v>274</v>
      </c>
      <c r="H50" s="165" t="s">
        <v>205</v>
      </c>
      <c r="I50" s="165" t="s">
        <v>206</v>
      </c>
      <c r="J50" s="165" t="s">
        <v>207</v>
      </c>
      <c r="K50" s="165">
        <v>33.450000000000003</v>
      </c>
      <c r="L50" s="165">
        <f>AVERAGE(K50:K53)</f>
        <v>34.155000000000001</v>
      </c>
      <c r="M50" s="165">
        <f>STDEV(K50:K53)</f>
        <v>0.59674114991342619</v>
      </c>
    </row>
    <row r="51" spans="1:13" x14ac:dyDescent="0.25">
      <c r="A51" s="165" t="s">
        <v>248</v>
      </c>
      <c r="B51" s="165" t="s">
        <v>328</v>
      </c>
      <c r="C51" s="165" t="s">
        <v>206</v>
      </c>
      <c r="D51" s="165" t="s">
        <v>210</v>
      </c>
      <c r="E51" s="165">
        <v>33.76</v>
      </c>
      <c r="F51" s="165"/>
      <c r="G51" s="165" t="s">
        <v>275</v>
      </c>
      <c r="H51" s="165" t="s">
        <v>205</v>
      </c>
      <c r="I51" s="165" t="s">
        <v>206</v>
      </c>
      <c r="J51" s="165" t="s">
        <v>207</v>
      </c>
      <c r="K51" s="165">
        <v>33.869999999999997</v>
      </c>
      <c r="L51" s="165"/>
      <c r="M51" s="165"/>
    </row>
    <row r="52" spans="1:13" x14ac:dyDescent="0.25">
      <c r="A52" s="165" t="s">
        <v>249</v>
      </c>
      <c r="B52" s="165" t="s">
        <v>205</v>
      </c>
      <c r="C52" s="165" t="s">
        <v>206</v>
      </c>
      <c r="D52" s="165" t="s">
        <v>207</v>
      </c>
      <c r="E52" s="165">
        <v>34.130000000000003</v>
      </c>
      <c r="F52" s="165"/>
      <c r="G52" s="165" t="s">
        <v>276</v>
      </c>
      <c r="H52" s="165" t="s">
        <v>205</v>
      </c>
      <c r="I52" s="165" t="s">
        <v>206</v>
      </c>
      <c r="J52" s="165" t="s">
        <v>207</v>
      </c>
      <c r="K52" s="165">
        <v>34.65</v>
      </c>
      <c r="L52" s="165"/>
      <c r="M52" s="165"/>
    </row>
    <row r="53" spans="1:13" x14ac:dyDescent="0.25">
      <c r="A53" s="165" t="s">
        <v>249</v>
      </c>
      <c r="B53" s="165" t="s">
        <v>328</v>
      </c>
      <c r="C53" s="165" t="s">
        <v>206</v>
      </c>
      <c r="D53" s="165" t="s">
        <v>210</v>
      </c>
      <c r="E53" s="165">
        <v>33.979999999999997</v>
      </c>
      <c r="F53" s="165"/>
      <c r="G53" s="165" t="s">
        <v>277</v>
      </c>
      <c r="H53" s="165" t="s">
        <v>205</v>
      </c>
      <c r="I53" s="165" t="s">
        <v>206</v>
      </c>
      <c r="J53" s="165" t="s">
        <v>207</v>
      </c>
      <c r="K53" s="165">
        <v>34.65</v>
      </c>
      <c r="L53" s="165"/>
      <c r="M53" s="165"/>
    </row>
    <row r="54" spans="1:13" x14ac:dyDescent="0.25">
      <c r="A54" s="165" t="s">
        <v>250</v>
      </c>
      <c r="B54" s="165" t="s">
        <v>205</v>
      </c>
      <c r="C54" s="165" t="s">
        <v>206</v>
      </c>
      <c r="D54" s="165" t="s">
        <v>207</v>
      </c>
      <c r="E54" s="165">
        <v>34.42</v>
      </c>
      <c r="F54" s="165"/>
      <c r="G54" s="165" t="s">
        <v>278</v>
      </c>
      <c r="H54" s="165" t="s">
        <v>205</v>
      </c>
      <c r="I54" s="165" t="s">
        <v>206</v>
      </c>
      <c r="J54" s="165" t="s">
        <v>207</v>
      </c>
      <c r="K54" s="165">
        <v>32.630000000000003</v>
      </c>
      <c r="L54" s="165">
        <f>AVERAGE(K54:K57)</f>
        <v>32.527500000000003</v>
      </c>
      <c r="M54" s="165">
        <f>STDEV(K54:K57)</f>
        <v>0.36316892304637988</v>
      </c>
    </row>
    <row r="55" spans="1:13" x14ac:dyDescent="0.25">
      <c r="A55" s="165" t="s">
        <v>250</v>
      </c>
      <c r="B55" s="165" t="s">
        <v>328</v>
      </c>
      <c r="C55" s="165" t="s">
        <v>206</v>
      </c>
      <c r="D55" s="165" t="s">
        <v>210</v>
      </c>
      <c r="E55" s="165">
        <v>34.35</v>
      </c>
      <c r="F55" s="165"/>
      <c r="G55" s="165" t="s">
        <v>279</v>
      </c>
      <c r="H55" s="165" t="s">
        <v>205</v>
      </c>
      <c r="I55" s="165" t="s">
        <v>206</v>
      </c>
      <c r="J55" s="165" t="s">
        <v>207</v>
      </c>
      <c r="K55" s="165">
        <v>32.01</v>
      </c>
      <c r="L55" s="165"/>
      <c r="M55" s="165"/>
    </row>
    <row r="56" spans="1:13" x14ac:dyDescent="0.25">
      <c r="A56" s="165" t="s">
        <v>251</v>
      </c>
      <c r="B56" s="165" t="s">
        <v>205</v>
      </c>
      <c r="C56" s="165" t="s">
        <v>206</v>
      </c>
      <c r="D56" s="165" t="s">
        <v>207</v>
      </c>
      <c r="E56" s="165">
        <v>34.21</v>
      </c>
      <c r="F56" s="165"/>
      <c r="G56" s="165" t="s">
        <v>280</v>
      </c>
      <c r="H56" s="165" t="s">
        <v>205</v>
      </c>
      <c r="I56" s="165" t="s">
        <v>206</v>
      </c>
      <c r="J56" s="165" t="s">
        <v>207</v>
      </c>
      <c r="K56" s="165">
        <v>32.86</v>
      </c>
      <c r="L56" s="165"/>
      <c r="M56" s="165"/>
    </row>
    <row r="57" spans="1:13" x14ac:dyDescent="0.25">
      <c r="A57" s="165" t="s">
        <v>251</v>
      </c>
      <c r="B57" s="165" t="s">
        <v>328</v>
      </c>
      <c r="C57" s="165" t="s">
        <v>206</v>
      </c>
      <c r="D57" s="165" t="s">
        <v>210</v>
      </c>
      <c r="E57" s="165">
        <v>34.15</v>
      </c>
      <c r="F57" s="165"/>
      <c r="G57" s="165" t="s">
        <v>281</v>
      </c>
      <c r="H57" s="165" t="s">
        <v>205</v>
      </c>
      <c r="I57" s="165" t="s">
        <v>206</v>
      </c>
      <c r="J57" s="165" t="s">
        <v>207</v>
      </c>
      <c r="K57" s="165">
        <v>32.61</v>
      </c>
      <c r="L57" s="165"/>
      <c r="M57" s="165"/>
    </row>
    <row r="58" spans="1:13" x14ac:dyDescent="0.25">
      <c r="A58" s="165" t="s">
        <v>252</v>
      </c>
      <c r="B58" s="165" t="s">
        <v>205</v>
      </c>
      <c r="C58" s="165" t="s">
        <v>206</v>
      </c>
      <c r="D58" s="165" t="s">
        <v>207</v>
      </c>
      <c r="E58" s="165">
        <v>31.99</v>
      </c>
      <c r="F58" s="165"/>
      <c r="G58" s="165" t="s">
        <v>282</v>
      </c>
      <c r="H58" s="165" t="s">
        <v>205</v>
      </c>
      <c r="I58" s="165" t="s">
        <v>206</v>
      </c>
      <c r="J58" s="165" t="s">
        <v>207</v>
      </c>
      <c r="K58" s="165">
        <v>29.34</v>
      </c>
      <c r="L58" s="165">
        <f>AVERAGE(K58:K61)</f>
        <v>29.145</v>
      </c>
      <c r="M58" s="165">
        <f>STDEV(K58:K61)</f>
        <v>0.23685438564654049</v>
      </c>
    </row>
    <row r="59" spans="1:13" x14ac:dyDescent="0.25">
      <c r="A59" s="165" t="s">
        <v>252</v>
      </c>
      <c r="B59" s="165" t="s">
        <v>328</v>
      </c>
      <c r="C59" s="165" t="s">
        <v>206</v>
      </c>
      <c r="D59" s="165" t="s">
        <v>210</v>
      </c>
      <c r="E59" s="165">
        <v>30.21</v>
      </c>
      <c r="F59" s="165"/>
      <c r="G59" s="165" t="s">
        <v>283</v>
      </c>
      <c r="H59" s="165" t="s">
        <v>205</v>
      </c>
      <c r="I59" s="165" t="s">
        <v>206</v>
      </c>
      <c r="J59" s="165" t="s">
        <v>207</v>
      </c>
      <c r="K59" s="165">
        <v>29.04</v>
      </c>
      <c r="L59" s="165"/>
      <c r="M59" s="165"/>
    </row>
    <row r="60" spans="1:13" x14ac:dyDescent="0.25">
      <c r="A60" s="165" t="s">
        <v>253</v>
      </c>
      <c r="B60" s="165" t="s">
        <v>205</v>
      </c>
      <c r="C60" s="165" t="s">
        <v>206</v>
      </c>
      <c r="D60" s="165" t="s">
        <v>207</v>
      </c>
      <c r="E60" s="165">
        <v>31.99</v>
      </c>
      <c r="F60" s="165"/>
      <c r="G60" s="165" t="s">
        <v>284</v>
      </c>
      <c r="H60" s="165" t="s">
        <v>205</v>
      </c>
      <c r="I60" s="165" t="s">
        <v>206</v>
      </c>
      <c r="J60" s="165" t="s">
        <v>207</v>
      </c>
      <c r="K60" s="165">
        <v>28.86</v>
      </c>
      <c r="L60" s="165"/>
      <c r="M60" s="165"/>
    </row>
    <row r="61" spans="1:13" x14ac:dyDescent="0.25">
      <c r="A61" s="165" t="s">
        <v>253</v>
      </c>
      <c r="B61" s="165" t="s">
        <v>328</v>
      </c>
      <c r="C61" s="165" t="s">
        <v>206</v>
      </c>
      <c r="D61" s="165" t="s">
        <v>210</v>
      </c>
      <c r="E61" s="165">
        <v>30</v>
      </c>
      <c r="F61" s="165"/>
      <c r="G61" s="165" t="s">
        <v>285</v>
      </c>
      <c r="H61" s="165" t="s">
        <v>205</v>
      </c>
      <c r="I61" s="165" t="s">
        <v>206</v>
      </c>
      <c r="J61" s="165" t="s">
        <v>207</v>
      </c>
      <c r="K61" s="165">
        <v>29.34</v>
      </c>
      <c r="L61" s="165"/>
      <c r="M61" s="165"/>
    </row>
    <row r="62" spans="1:13" x14ac:dyDescent="0.25">
      <c r="A62" s="165" t="s">
        <v>254</v>
      </c>
      <c r="B62" s="165" t="s">
        <v>205</v>
      </c>
      <c r="C62" s="165" t="s">
        <v>206</v>
      </c>
      <c r="D62" s="165" t="s">
        <v>207</v>
      </c>
      <c r="E62" s="165">
        <v>32.380000000000003</v>
      </c>
      <c r="F62" s="165"/>
      <c r="G62" s="165" t="s">
        <v>286</v>
      </c>
      <c r="H62" s="165" t="s">
        <v>205</v>
      </c>
      <c r="I62" s="165" t="s">
        <v>206</v>
      </c>
      <c r="J62" s="165" t="s">
        <v>207</v>
      </c>
      <c r="K62" s="165">
        <v>33.79</v>
      </c>
      <c r="L62" s="165">
        <f>AVERAGE(K62:K65)</f>
        <v>33.9375</v>
      </c>
      <c r="M62" s="165">
        <f>STDEV(K62:K65)</f>
        <v>0.14127396551854057</v>
      </c>
    </row>
    <row r="63" spans="1:13" x14ac:dyDescent="0.25">
      <c r="A63" s="165" t="s">
        <v>254</v>
      </c>
      <c r="B63" s="165" t="s">
        <v>328</v>
      </c>
      <c r="C63" s="165" t="s">
        <v>206</v>
      </c>
      <c r="D63" s="165" t="s">
        <v>210</v>
      </c>
      <c r="E63" s="165">
        <v>30.3</v>
      </c>
      <c r="F63" s="165"/>
      <c r="G63" s="165" t="s">
        <v>287</v>
      </c>
      <c r="H63" s="165" t="s">
        <v>205</v>
      </c>
      <c r="I63" s="165" t="s">
        <v>206</v>
      </c>
      <c r="J63" s="165" t="s">
        <v>207</v>
      </c>
      <c r="K63" s="165">
        <v>33.92</v>
      </c>
      <c r="L63" s="165"/>
      <c r="M63" s="165"/>
    </row>
    <row r="64" spans="1:13" x14ac:dyDescent="0.25">
      <c r="A64" s="165" t="s">
        <v>255</v>
      </c>
      <c r="B64" s="165" t="s">
        <v>205</v>
      </c>
      <c r="C64" s="165" t="s">
        <v>206</v>
      </c>
      <c r="D64" s="165" t="s">
        <v>207</v>
      </c>
      <c r="E64" s="165">
        <v>32.24</v>
      </c>
      <c r="F64" s="165"/>
      <c r="G64" s="165" t="s">
        <v>288</v>
      </c>
      <c r="H64" s="165" t="s">
        <v>205</v>
      </c>
      <c r="I64" s="165" t="s">
        <v>206</v>
      </c>
      <c r="J64" s="165" t="s">
        <v>207</v>
      </c>
      <c r="K64" s="165">
        <v>33.909999999999997</v>
      </c>
      <c r="L64" s="165"/>
      <c r="M64" s="165"/>
    </row>
    <row r="65" spans="1:27" x14ac:dyDescent="0.25">
      <c r="A65" s="165" t="s">
        <v>255</v>
      </c>
      <c r="B65" s="165" t="s">
        <v>328</v>
      </c>
      <c r="C65" s="165" t="s">
        <v>206</v>
      </c>
      <c r="D65" s="165" t="s">
        <v>210</v>
      </c>
      <c r="E65" s="165">
        <v>30.26</v>
      </c>
      <c r="F65" s="165"/>
      <c r="G65" s="165" t="s">
        <v>289</v>
      </c>
      <c r="H65" s="165" t="s">
        <v>205</v>
      </c>
      <c r="I65" s="165" t="s">
        <v>206</v>
      </c>
      <c r="J65" s="165" t="s">
        <v>207</v>
      </c>
      <c r="K65" s="165">
        <v>34.130000000000003</v>
      </c>
      <c r="L65" s="165"/>
      <c r="M65" s="165"/>
      <c r="N65" s="165"/>
      <c r="O65" s="165"/>
      <c r="P65" s="165"/>
      <c r="Q65" s="165"/>
      <c r="R65" s="165"/>
      <c r="S65" s="165"/>
      <c r="T65" s="165"/>
      <c r="U65" s="165"/>
      <c r="V65" s="165"/>
      <c r="W65" s="165"/>
      <c r="X65" s="165"/>
      <c r="Y65" s="165"/>
      <c r="Z65" s="165"/>
      <c r="AA65" s="165"/>
    </row>
    <row r="66" spans="1:27" x14ac:dyDescent="0.25">
      <c r="A66" s="165" t="s">
        <v>256</v>
      </c>
      <c r="B66" s="165" t="s">
        <v>205</v>
      </c>
      <c r="C66" s="165" t="s">
        <v>206</v>
      </c>
      <c r="D66" s="165" t="s">
        <v>207</v>
      </c>
      <c r="E66" s="165">
        <v>28.98</v>
      </c>
      <c r="F66" s="165"/>
      <c r="G66" s="165" t="s">
        <v>290</v>
      </c>
      <c r="H66" s="165" t="s">
        <v>205</v>
      </c>
      <c r="I66" s="165" t="s">
        <v>206</v>
      </c>
      <c r="J66" s="165" t="s">
        <v>207</v>
      </c>
      <c r="K66" s="165">
        <v>32.659999999999997</v>
      </c>
      <c r="L66" s="165">
        <f>AVERAGE(K66:K69)</f>
        <v>32.76</v>
      </c>
      <c r="M66" s="165">
        <f>STDEV(K66:K69)</f>
        <v>0.18402898322456446</v>
      </c>
      <c r="N66" s="165"/>
      <c r="O66" s="165"/>
      <c r="P66" s="165"/>
      <c r="Q66" s="165"/>
      <c r="R66" s="165"/>
      <c r="S66" s="165"/>
      <c r="T66" s="165"/>
      <c r="U66" s="165"/>
      <c r="V66" s="165"/>
      <c r="W66" s="165"/>
      <c r="X66" s="165"/>
      <c r="Y66" s="165"/>
      <c r="Z66" s="165"/>
      <c r="AA66" s="165"/>
    </row>
    <row r="67" spans="1:27" x14ac:dyDescent="0.25">
      <c r="A67" s="165" t="s">
        <v>256</v>
      </c>
      <c r="B67" s="165" t="s">
        <v>328</v>
      </c>
      <c r="C67" s="165" t="s">
        <v>206</v>
      </c>
      <c r="D67" s="165" t="s">
        <v>210</v>
      </c>
      <c r="E67" s="165">
        <v>29.58</v>
      </c>
      <c r="F67" s="165"/>
      <c r="G67" s="165" t="s">
        <v>291</v>
      </c>
      <c r="H67" s="165" t="s">
        <v>205</v>
      </c>
      <c r="I67" s="165" t="s">
        <v>206</v>
      </c>
      <c r="J67" s="165" t="s">
        <v>207</v>
      </c>
      <c r="K67" s="165">
        <v>32.58</v>
      </c>
      <c r="L67" s="165"/>
      <c r="M67" s="165"/>
      <c r="N67" s="165"/>
      <c r="O67" s="165"/>
      <c r="P67" s="165"/>
      <c r="Q67" s="165"/>
      <c r="R67" s="165"/>
      <c r="S67" s="165"/>
      <c r="T67" s="165"/>
      <c r="U67" s="165"/>
      <c r="V67" s="165"/>
      <c r="W67" s="165"/>
      <c r="X67" s="165"/>
      <c r="Y67" s="165"/>
      <c r="Z67" s="165"/>
      <c r="AA67" s="165"/>
    </row>
    <row r="68" spans="1:27" x14ac:dyDescent="0.25">
      <c r="A68" s="165" t="s">
        <v>257</v>
      </c>
      <c r="B68" s="165" t="s">
        <v>205</v>
      </c>
      <c r="C68" s="165" t="s">
        <v>206</v>
      </c>
      <c r="D68" s="165" t="s">
        <v>207</v>
      </c>
      <c r="E68" s="165">
        <v>28.94</v>
      </c>
      <c r="F68" s="165"/>
      <c r="G68" s="165" t="s">
        <v>292</v>
      </c>
      <c r="H68" s="165" t="s">
        <v>205</v>
      </c>
      <c r="I68" s="165" t="s">
        <v>206</v>
      </c>
      <c r="J68" s="165" t="s">
        <v>207</v>
      </c>
      <c r="K68" s="165">
        <v>33</v>
      </c>
      <c r="L68" s="165"/>
      <c r="M68" s="165"/>
      <c r="N68" s="165"/>
      <c r="O68" s="165"/>
      <c r="P68" s="165"/>
      <c r="Q68" s="165"/>
      <c r="R68" s="165"/>
      <c r="S68" s="165"/>
      <c r="T68" s="165"/>
      <c r="U68" s="165"/>
      <c r="V68" s="165"/>
      <c r="W68" s="165"/>
      <c r="X68" s="165"/>
      <c r="Y68" s="165"/>
      <c r="Z68" s="165"/>
      <c r="AA68" s="165"/>
    </row>
    <row r="69" spans="1:27" x14ac:dyDescent="0.25">
      <c r="A69" s="165" t="s">
        <v>257</v>
      </c>
      <c r="B69" s="165" t="s">
        <v>328</v>
      </c>
      <c r="C69" s="165" t="s">
        <v>206</v>
      </c>
      <c r="D69" s="165" t="s">
        <v>210</v>
      </c>
      <c r="E69" s="165">
        <v>29.25</v>
      </c>
      <c r="F69" s="165"/>
      <c r="G69" s="165" t="s">
        <v>293</v>
      </c>
      <c r="H69" s="165" t="s">
        <v>205</v>
      </c>
      <c r="I69" s="165" t="s">
        <v>206</v>
      </c>
      <c r="J69" s="165" t="s">
        <v>207</v>
      </c>
      <c r="K69" s="165">
        <v>32.799999999999997</v>
      </c>
      <c r="L69" s="165"/>
      <c r="M69" s="165"/>
      <c r="N69" s="165"/>
      <c r="O69" s="165"/>
      <c r="P69" s="165"/>
      <c r="Q69" s="165"/>
      <c r="R69" s="165"/>
      <c r="S69" s="165"/>
      <c r="T69" s="165"/>
      <c r="U69" s="165"/>
      <c r="V69" s="165"/>
      <c r="W69" s="165"/>
      <c r="X69" s="165"/>
      <c r="Y69" s="165"/>
      <c r="Z69" s="165"/>
      <c r="AA69" s="165"/>
    </row>
    <row r="70" spans="1:27" x14ac:dyDescent="0.25">
      <c r="A70" s="165" t="s">
        <v>258</v>
      </c>
      <c r="B70" s="165" t="s">
        <v>205</v>
      </c>
      <c r="C70" s="165" t="s">
        <v>206</v>
      </c>
      <c r="D70" s="165" t="s">
        <v>207</v>
      </c>
      <c r="E70" s="165">
        <v>28.71</v>
      </c>
      <c r="F70" s="165"/>
      <c r="G70" s="165" t="s">
        <v>294</v>
      </c>
      <c r="H70" s="165" t="s">
        <v>205</v>
      </c>
      <c r="I70" s="165" t="s">
        <v>206</v>
      </c>
      <c r="J70" s="165" t="s">
        <v>207</v>
      </c>
      <c r="K70" s="165">
        <v>30.67</v>
      </c>
      <c r="L70" s="165">
        <f>AVERAGE(K70:K73)</f>
        <v>30.212500000000002</v>
      </c>
      <c r="M70" s="165">
        <f>STDEV(K70:K73)</f>
        <v>0.39118409988137315</v>
      </c>
      <c r="N70" s="165"/>
      <c r="O70" s="165"/>
      <c r="P70" s="165"/>
      <c r="Q70" s="165"/>
      <c r="R70" s="165"/>
      <c r="S70" s="165"/>
      <c r="T70" s="165"/>
      <c r="U70" s="165"/>
      <c r="V70" s="165"/>
      <c r="W70" s="165"/>
      <c r="X70" s="165"/>
      <c r="Y70" s="165"/>
      <c r="Z70" s="165"/>
      <c r="AA70" s="165"/>
    </row>
    <row r="71" spans="1:27" x14ac:dyDescent="0.25">
      <c r="A71" s="165" t="s">
        <v>258</v>
      </c>
      <c r="B71" s="165" t="s">
        <v>328</v>
      </c>
      <c r="C71" s="165" t="s">
        <v>206</v>
      </c>
      <c r="D71" s="165" t="s">
        <v>210</v>
      </c>
      <c r="E71" s="165">
        <v>28.96</v>
      </c>
      <c r="F71" s="165"/>
      <c r="G71" s="165" t="s">
        <v>295</v>
      </c>
      <c r="H71" s="165" t="s">
        <v>205</v>
      </c>
      <c r="I71" s="165" t="s">
        <v>206</v>
      </c>
      <c r="J71" s="165" t="s">
        <v>207</v>
      </c>
      <c r="K71" s="165">
        <v>29.76</v>
      </c>
      <c r="L71" s="165"/>
      <c r="M71" s="165"/>
      <c r="N71" s="165"/>
      <c r="O71" s="165"/>
      <c r="P71" s="165"/>
      <c r="Q71" s="165"/>
      <c r="R71" s="165"/>
      <c r="S71" s="165"/>
      <c r="T71" s="165"/>
      <c r="U71" s="165"/>
      <c r="V71" s="165"/>
      <c r="W71" s="165"/>
      <c r="X71" s="165"/>
      <c r="Y71" s="165"/>
      <c r="Z71" s="165"/>
      <c r="AA71" s="165"/>
    </row>
    <row r="72" spans="1:27" x14ac:dyDescent="0.25">
      <c r="A72" s="165" t="s">
        <v>259</v>
      </c>
      <c r="B72" s="165" t="s">
        <v>205</v>
      </c>
      <c r="C72" s="165" t="s">
        <v>206</v>
      </c>
      <c r="D72" s="165" t="s">
        <v>207</v>
      </c>
      <c r="E72" s="165">
        <v>28.74</v>
      </c>
      <c r="F72" s="165"/>
      <c r="G72" s="165" t="s">
        <v>296</v>
      </c>
      <c r="H72" s="165" t="s">
        <v>205</v>
      </c>
      <c r="I72" s="165" t="s">
        <v>206</v>
      </c>
      <c r="J72" s="165" t="s">
        <v>207</v>
      </c>
      <c r="K72" s="165">
        <v>30.36</v>
      </c>
      <c r="L72" s="165"/>
      <c r="M72" s="165"/>
      <c r="N72" s="165"/>
      <c r="O72" s="165"/>
      <c r="P72" s="165"/>
      <c r="Q72" s="165"/>
      <c r="R72" s="165"/>
      <c r="S72" s="165"/>
      <c r="T72" s="165"/>
      <c r="U72" s="165"/>
      <c r="V72" s="165"/>
      <c r="W72" s="165"/>
      <c r="X72" s="165"/>
      <c r="Y72" s="165"/>
      <c r="Z72" s="165"/>
      <c r="AA72" s="165"/>
    </row>
    <row r="73" spans="1:27" x14ac:dyDescent="0.25">
      <c r="A73" s="165" t="s">
        <v>259</v>
      </c>
      <c r="B73" s="165" t="s">
        <v>328</v>
      </c>
      <c r="C73" s="165" t="s">
        <v>206</v>
      </c>
      <c r="D73" s="165" t="s">
        <v>210</v>
      </c>
      <c r="E73" s="165">
        <v>29.1</v>
      </c>
      <c r="F73" s="165"/>
      <c r="G73" s="165" t="s">
        <v>297</v>
      </c>
      <c r="H73" s="165" t="s">
        <v>205</v>
      </c>
      <c r="I73" s="165" t="s">
        <v>206</v>
      </c>
      <c r="J73" s="165" t="s">
        <v>207</v>
      </c>
      <c r="K73" s="165">
        <v>30.06</v>
      </c>
      <c r="L73" s="165"/>
      <c r="M73" s="165"/>
      <c r="N73" s="165"/>
      <c r="O73" s="165"/>
      <c r="P73" s="165"/>
      <c r="Q73" s="165"/>
      <c r="R73" s="165"/>
      <c r="S73" s="165"/>
      <c r="T73" s="165"/>
      <c r="U73" s="165"/>
      <c r="V73" s="165"/>
      <c r="W73" s="165"/>
      <c r="X73" s="165"/>
      <c r="Y73" s="165"/>
      <c r="Z73" s="165"/>
      <c r="AA73" s="165"/>
    </row>
    <row r="74" spans="1:27" ht="45" x14ac:dyDescent="0.25">
      <c r="A74" s="165" t="s">
        <v>260</v>
      </c>
      <c r="B74" s="165" t="s">
        <v>205</v>
      </c>
      <c r="C74" s="165" t="s">
        <v>206</v>
      </c>
      <c r="D74" s="165" t="s">
        <v>207</v>
      </c>
      <c r="E74" s="165">
        <v>33.65</v>
      </c>
      <c r="F74" s="165"/>
      <c r="G74" s="165" t="s">
        <v>298</v>
      </c>
      <c r="H74" s="165" t="s">
        <v>205</v>
      </c>
      <c r="I74" s="165" t="s">
        <v>569</v>
      </c>
      <c r="J74" s="165" t="s">
        <v>207</v>
      </c>
      <c r="K74" s="165">
        <v>30.46</v>
      </c>
      <c r="L74" s="165">
        <f>AVERAGE(K74:K76)</f>
        <v>30.180000000000003</v>
      </c>
      <c r="M74" s="165">
        <f>STDEV(K74:K76)</f>
        <v>0.45077710678338645</v>
      </c>
      <c r="N74" s="165"/>
      <c r="O74" s="165" t="s">
        <v>554</v>
      </c>
      <c r="P74" s="90" t="s">
        <v>20</v>
      </c>
      <c r="Q74" s="90" t="s">
        <v>21</v>
      </c>
      <c r="R74" s="90" t="s">
        <v>22</v>
      </c>
      <c r="S74" s="90" t="s">
        <v>23</v>
      </c>
      <c r="T74" s="90" t="s">
        <v>25</v>
      </c>
      <c r="U74" s="90" t="s">
        <v>21</v>
      </c>
      <c r="V74" s="90" t="s">
        <v>22</v>
      </c>
      <c r="W74" s="90" t="s">
        <v>23</v>
      </c>
      <c r="X74" s="90" t="s">
        <v>25</v>
      </c>
      <c r="Y74" s="90" t="s">
        <v>224</v>
      </c>
      <c r="Z74" s="90" t="s">
        <v>555</v>
      </c>
      <c r="AA74" s="90" t="s">
        <v>556</v>
      </c>
    </row>
    <row r="75" spans="1:27" x14ac:dyDescent="0.25">
      <c r="A75" s="165" t="s">
        <v>260</v>
      </c>
      <c r="B75" s="165" t="s">
        <v>328</v>
      </c>
      <c r="C75" s="165" t="s">
        <v>206</v>
      </c>
      <c r="D75" s="165" t="s">
        <v>210</v>
      </c>
      <c r="E75" s="165">
        <v>33.47</v>
      </c>
      <c r="F75" s="165"/>
      <c r="G75" s="165" t="s">
        <v>299</v>
      </c>
      <c r="H75" s="165" t="s">
        <v>205</v>
      </c>
      <c r="I75" s="165" t="s">
        <v>569</v>
      </c>
      <c r="J75" s="165" t="s">
        <v>207</v>
      </c>
      <c r="K75" s="165">
        <v>30.42</v>
      </c>
      <c r="L75" s="165"/>
      <c r="M75" s="165"/>
      <c r="N75" s="165"/>
      <c r="O75" s="165"/>
      <c r="P75" s="89" t="s">
        <v>29</v>
      </c>
      <c r="Q75" s="84">
        <v>10</v>
      </c>
      <c r="R75" s="165">
        <f>Q75*1000000</f>
        <v>10000000</v>
      </c>
      <c r="S75" s="89"/>
      <c r="T75" s="89"/>
      <c r="U75" s="84">
        <v>3.15</v>
      </c>
      <c r="V75" s="165">
        <f>U75*1000000</f>
        <v>3150000</v>
      </c>
      <c r="W75" s="89"/>
      <c r="X75" s="89"/>
      <c r="Y75" s="165"/>
      <c r="Z75" s="165"/>
      <c r="AA75" s="165"/>
    </row>
    <row r="76" spans="1:27" x14ac:dyDescent="0.25">
      <c r="A76" s="165" t="s">
        <v>261</v>
      </c>
      <c r="B76" s="165" t="s">
        <v>205</v>
      </c>
      <c r="C76" s="165" t="s">
        <v>206</v>
      </c>
      <c r="D76" s="165" t="s">
        <v>207</v>
      </c>
      <c r="E76" s="165">
        <v>34.020000000000003</v>
      </c>
      <c r="F76" s="165"/>
      <c r="G76" s="165" t="s">
        <v>300</v>
      </c>
      <c r="H76" s="165" t="s">
        <v>205</v>
      </c>
      <c r="I76" s="165" t="s">
        <v>569</v>
      </c>
      <c r="J76" s="165" t="s">
        <v>207</v>
      </c>
      <c r="K76" s="165">
        <v>29.66</v>
      </c>
      <c r="L76" s="165"/>
      <c r="M76" s="165"/>
      <c r="N76" s="165"/>
      <c r="O76" s="165" t="s">
        <v>557</v>
      </c>
      <c r="P76" s="165" t="s">
        <v>30</v>
      </c>
      <c r="Q76" s="165">
        <f>Q75/100</f>
        <v>0.1</v>
      </c>
      <c r="R76" s="165">
        <f t="shared" ref="R76:R80" si="2">Q76*1000000</f>
        <v>100000</v>
      </c>
      <c r="S76" s="89">
        <f>Q75*0.00001/1000000*6.022E+23</f>
        <v>60220000000000.008</v>
      </c>
      <c r="T76" s="89">
        <f>S76/1000*2</f>
        <v>120440000000.00002</v>
      </c>
      <c r="U76" s="165">
        <f>U75/100</f>
        <v>3.15E-2</v>
      </c>
      <c r="V76" s="165">
        <f t="shared" ref="V76:V82" si="3">U76*1000000</f>
        <v>31500</v>
      </c>
      <c r="W76" s="89">
        <f>U75*0.00001/1000000*6.022E+23</f>
        <v>18969300000000</v>
      </c>
      <c r="X76" s="89">
        <f t="shared" ref="X76:X82" si="4">W76/1000*2</f>
        <v>37938600000</v>
      </c>
      <c r="Y76" s="165">
        <f>LOG(T76)</f>
        <v>11.080770746840722</v>
      </c>
      <c r="Z76" s="165">
        <v>30.180000000000003</v>
      </c>
      <c r="AA76" s="165">
        <v>0.45077710678338645</v>
      </c>
    </row>
    <row r="77" spans="1:27" x14ac:dyDescent="0.25">
      <c r="A77" s="165" t="s">
        <v>261</v>
      </c>
      <c r="B77" s="165" t="s">
        <v>328</v>
      </c>
      <c r="C77" s="165" t="s">
        <v>206</v>
      </c>
      <c r="D77" s="165" t="s">
        <v>210</v>
      </c>
      <c r="E77" s="165">
        <v>33.64</v>
      </c>
      <c r="F77" s="165"/>
      <c r="G77" s="165" t="s">
        <v>301</v>
      </c>
      <c r="H77" s="165" t="s">
        <v>205</v>
      </c>
      <c r="I77" s="165" t="s">
        <v>569</v>
      </c>
      <c r="J77" s="165" t="s">
        <v>207</v>
      </c>
      <c r="K77" s="165">
        <v>34.549999999999997</v>
      </c>
      <c r="L77" s="165">
        <f>AVERAGE(K77:K79)</f>
        <v>34.713333333333331</v>
      </c>
      <c r="M77" s="165">
        <f>STDEV(K77:K79)</f>
        <v>1.4519067922333495</v>
      </c>
      <c r="N77" s="165"/>
      <c r="O77" s="165" t="s">
        <v>558</v>
      </c>
      <c r="P77" s="165" t="s">
        <v>31</v>
      </c>
      <c r="Q77" s="165">
        <f t="shared" ref="Q77" si="5">Q76/10</f>
        <v>0.01</v>
      </c>
      <c r="R77" s="165">
        <f t="shared" si="2"/>
        <v>10000</v>
      </c>
      <c r="S77" s="89">
        <f>S76/10</f>
        <v>6022000000000.001</v>
      </c>
      <c r="T77" s="89">
        <f t="shared" ref="T77:T82" si="6">S77/1000*2</f>
        <v>12044000000.000002</v>
      </c>
      <c r="U77" s="165">
        <f t="shared" ref="U77" si="7">U76/10</f>
        <v>3.15E-3</v>
      </c>
      <c r="V77" s="165">
        <f t="shared" si="3"/>
        <v>3150</v>
      </c>
      <c r="W77" s="165">
        <f t="shared" ref="W77" si="8">W76/10</f>
        <v>1896930000000</v>
      </c>
      <c r="X77" s="89">
        <f t="shared" si="4"/>
        <v>3793860000</v>
      </c>
      <c r="Y77" s="165">
        <f t="shared" ref="Y77:Y81" si="9">LOG(T77)</f>
        <v>10.080770746840722</v>
      </c>
      <c r="Z77" s="165">
        <v>34.713333333333331</v>
      </c>
      <c r="AA77" s="165">
        <v>1.4519067922333495</v>
      </c>
    </row>
    <row r="78" spans="1:27" x14ac:dyDescent="0.25">
      <c r="A78" s="165" t="s">
        <v>262</v>
      </c>
      <c r="B78" s="165" t="s">
        <v>205</v>
      </c>
      <c r="C78" s="165" t="s">
        <v>206</v>
      </c>
      <c r="D78" s="165" t="s">
        <v>207</v>
      </c>
      <c r="E78" s="165">
        <v>33.89</v>
      </c>
      <c r="F78" s="165"/>
      <c r="G78" s="165" t="s">
        <v>302</v>
      </c>
      <c r="H78" s="165" t="s">
        <v>205</v>
      </c>
      <c r="I78" s="165" t="s">
        <v>569</v>
      </c>
      <c r="J78" s="165" t="s">
        <v>207</v>
      </c>
      <c r="K78" s="165">
        <v>36.24</v>
      </c>
      <c r="L78" s="165"/>
      <c r="M78" s="165"/>
      <c r="N78" s="165"/>
      <c r="O78" s="165" t="s">
        <v>559</v>
      </c>
      <c r="P78" s="165" t="s">
        <v>560</v>
      </c>
      <c r="Q78" s="165">
        <f>Q77/2</f>
        <v>5.0000000000000001E-3</v>
      </c>
      <c r="R78" s="165">
        <f t="shared" si="2"/>
        <v>5000</v>
      </c>
      <c r="S78" s="89">
        <f>S77/2</f>
        <v>3011000000000.0005</v>
      </c>
      <c r="T78" s="89">
        <f t="shared" si="6"/>
        <v>6022000000.000001</v>
      </c>
      <c r="U78" s="165">
        <f>U77/2</f>
        <v>1.575E-3</v>
      </c>
      <c r="V78" s="165">
        <f t="shared" si="3"/>
        <v>1575</v>
      </c>
      <c r="W78" s="165">
        <f>W77/2</f>
        <v>948465000000</v>
      </c>
      <c r="X78" s="89">
        <f t="shared" si="4"/>
        <v>1896930000</v>
      </c>
      <c r="Y78" s="165">
        <f t="shared" si="9"/>
        <v>9.7797407511767407</v>
      </c>
      <c r="Z78" s="165">
        <v>39.160000000000004</v>
      </c>
      <c r="AA78" s="165">
        <v>0.15099668870541366</v>
      </c>
    </row>
    <row r="79" spans="1:27" x14ac:dyDescent="0.25">
      <c r="A79" s="165" t="s">
        <v>262</v>
      </c>
      <c r="B79" s="165" t="s">
        <v>328</v>
      </c>
      <c r="C79" s="165" t="s">
        <v>206</v>
      </c>
      <c r="D79" s="165" t="s">
        <v>210</v>
      </c>
      <c r="E79" s="165">
        <v>33.81</v>
      </c>
      <c r="F79" s="165"/>
      <c r="G79" s="165" t="s">
        <v>303</v>
      </c>
      <c r="H79" s="165" t="s">
        <v>205</v>
      </c>
      <c r="I79" s="165" t="s">
        <v>569</v>
      </c>
      <c r="J79" s="165" t="s">
        <v>207</v>
      </c>
      <c r="K79" s="165">
        <v>33.35</v>
      </c>
      <c r="L79" s="165"/>
      <c r="M79" s="165"/>
      <c r="N79" s="165"/>
      <c r="O79" s="165" t="s">
        <v>561</v>
      </c>
      <c r="P79" s="165" t="s">
        <v>562</v>
      </c>
      <c r="Q79" s="165">
        <f>Q78/2</f>
        <v>2.5000000000000001E-3</v>
      </c>
      <c r="R79" s="165">
        <f t="shared" si="2"/>
        <v>2500</v>
      </c>
      <c r="S79" s="89">
        <f>S78/2</f>
        <v>1505500000000.0002</v>
      </c>
      <c r="T79" s="89">
        <f t="shared" si="6"/>
        <v>3011000000.0000005</v>
      </c>
      <c r="U79" s="165">
        <f>U78/2</f>
        <v>7.8750000000000001E-4</v>
      </c>
      <c r="V79" s="165">
        <f t="shared" si="3"/>
        <v>787.5</v>
      </c>
      <c r="W79" s="165">
        <f>W78/2</f>
        <v>474232500000</v>
      </c>
      <c r="X79" s="89">
        <f t="shared" si="4"/>
        <v>948465000</v>
      </c>
      <c r="Y79" s="165">
        <f t="shared" si="9"/>
        <v>9.4787107555127594</v>
      </c>
      <c r="Z79" s="165">
        <v>40.580000000000005</v>
      </c>
      <c r="AA79" s="165">
        <v>0.30413812651491007</v>
      </c>
    </row>
    <row r="80" spans="1:27" x14ac:dyDescent="0.25">
      <c r="A80" s="165" t="s">
        <v>263</v>
      </c>
      <c r="B80" s="165" t="s">
        <v>205</v>
      </c>
      <c r="C80" s="165" t="s">
        <v>206</v>
      </c>
      <c r="D80" s="165" t="s">
        <v>207</v>
      </c>
      <c r="E80" s="165">
        <v>34.770000000000003</v>
      </c>
      <c r="F80" s="165"/>
      <c r="G80" s="165" t="s">
        <v>304</v>
      </c>
      <c r="H80" s="165" t="s">
        <v>205</v>
      </c>
      <c r="I80" s="165" t="s">
        <v>569</v>
      </c>
      <c r="J80" s="165" t="s">
        <v>207</v>
      </c>
      <c r="K80" s="165">
        <v>39.18</v>
      </c>
      <c r="L80" s="165">
        <f>AVERAGE(K80:K82)</f>
        <v>39.160000000000004</v>
      </c>
      <c r="M80" s="165">
        <f>STDEV(K80:K82)</f>
        <v>0.15099668870541366</v>
      </c>
      <c r="N80" s="165"/>
      <c r="O80" s="165" t="s">
        <v>563</v>
      </c>
      <c r="P80" s="165" t="s">
        <v>564</v>
      </c>
      <c r="Q80" s="165">
        <f>Q79/2</f>
        <v>1.25E-3</v>
      </c>
      <c r="R80" s="165">
        <f t="shared" si="2"/>
        <v>1250</v>
      </c>
      <c r="S80" s="89">
        <f>S79/2</f>
        <v>752750000000.00012</v>
      </c>
      <c r="T80" s="89">
        <f t="shared" si="6"/>
        <v>1505500000.0000002</v>
      </c>
      <c r="U80" s="165">
        <f>U79/2</f>
        <v>3.9375E-4</v>
      </c>
      <c r="V80" s="165">
        <f t="shared" si="3"/>
        <v>393.75</v>
      </c>
      <c r="W80" s="165">
        <f>W79/2</f>
        <v>237116250000</v>
      </c>
      <c r="X80" s="89">
        <f t="shared" si="4"/>
        <v>474232500</v>
      </c>
      <c r="Y80" s="165">
        <f t="shared" si="9"/>
        <v>9.1776807598487782</v>
      </c>
      <c r="Z80" s="165">
        <v>41.513333333333328</v>
      </c>
      <c r="AA80" s="165">
        <v>0.43821608064211176</v>
      </c>
    </row>
    <row r="81" spans="1:27" x14ac:dyDescent="0.25">
      <c r="A81" s="165" t="s">
        <v>263</v>
      </c>
      <c r="B81" s="165" t="s">
        <v>328</v>
      </c>
      <c r="C81" s="165" t="s">
        <v>206</v>
      </c>
      <c r="D81" s="165" t="s">
        <v>210</v>
      </c>
      <c r="E81" s="165">
        <v>34.409999999999997</v>
      </c>
      <c r="F81" s="165"/>
      <c r="G81" s="165" t="s">
        <v>305</v>
      </c>
      <c r="H81" s="165" t="s">
        <v>205</v>
      </c>
      <c r="I81" s="165" t="s">
        <v>569</v>
      </c>
      <c r="J81" s="165" t="s">
        <v>207</v>
      </c>
      <c r="K81" s="165">
        <v>39</v>
      </c>
      <c r="L81" s="165"/>
      <c r="M81" s="165"/>
      <c r="N81" s="165"/>
      <c r="O81" s="165" t="s">
        <v>565</v>
      </c>
      <c r="P81" s="165" t="s">
        <v>32</v>
      </c>
      <c r="Q81" s="165">
        <f>Q77/10</f>
        <v>1E-3</v>
      </c>
      <c r="R81" s="165">
        <f>Q81*1000000</f>
        <v>1000</v>
      </c>
      <c r="S81" s="89">
        <f>S77/10</f>
        <v>602200000000.00012</v>
      </c>
      <c r="T81" s="89">
        <f t="shared" si="6"/>
        <v>1204400000.0000002</v>
      </c>
      <c r="U81" s="165">
        <f>U77/10</f>
        <v>3.1500000000000001E-4</v>
      </c>
      <c r="V81" s="165">
        <f t="shared" si="3"/>
        <v>315</v>
      </c>
      <c r="W81" s="165">
        <f>W77/10</f>
        <v>189693000000</v>
      </c>
      <c r="X81" s="89">
        <f t="shared" si="4"/>
        <v>379386000</v>
      </c>
      <c r="Y81" s="165">
        <f t="shared" si="9"/>
        <v>9.0807707468407219</v>
      </c>
      <c r="Z81" s="165">
        <v>42.5</v>
      </c>
      <c r="AA81" s="165">
        <v>8.7177978870814868E-2</v>
      </c>
    </row>
    <row r="82" spans="1:27" x14ac:dyDescent="0.25">
      <c r="A82" s="165" t="s">
        <v>264</v>
      </c>
      <c r="B82" s="165" t="s">
        <v>205</v>
      </c>
      <c r="C82" s="165" t="s">
        <v>206</v>
      </c>
      <c r="D82" s="165" t="s">
        <v>207</v>
      </c>
      <c r="E82" s="165">
        <v>32.25</v>
      </c>
      <c r="F82" s="165"/>
      <c r="G82" s="165" t="s">
        <v>306</v>
      </c>
      <c r="H82" s="165" t="s">
        <v>205</v>
      </c>
      <c r="I82" s="165" t="s">
        <v>569</v>
      </c>
      <c r="J82" s="165" t="s">
        <v>207</v>
      </c>
      <c r="K82" s="165">
        <v>39.299999999999997</v>
      </c>
      <c r="L82" s="165"/>
      <c r="M82" s="165"/>
      <c r="N82" s="165"/>
      <c r="O82" s="165" t="s">
        <v>566</v>
      </c>
      <c r="P82" s="165" t="s">
        <v>567</v>
      </c>
      <c r="Q82" s="165">
        <f>Q81/2</f>
        <v>5.0000000000000001E-4</v>
      </c>
      <c r="R82" s="165">
        <f>Q82*1000000</f>
        <v>500</v>
      </c>
      <c r="S82" s="89">
        <f>S81/2</f>
        <v>301100000000.00006</v>
      </c>
      <c r="T82" s="89">
        <f t="shared" si="6"/>
        <v>602200000.00000012</v>
      </c>
      <c r="U82" s="165">
        <f>U81/2</f>
        <v>1.5750000000000001E-4</v>
      </c>
      <c r="V82" s="165">
        <f t="shared" si="3"/>
        <v>157.5</v>
      </c>
      <c r="W82" s="165">
        <f>W81/2</f>
        <v>94846500000</v>
      </c>
      <c r="X82" s="89">
        <f t="shared" si="4"/>
        <v>189693000</v>
      </c>
      <c r="Y82" s="165"/>
      <c r="Z82" s="165"/>
      <c r="AA82" s="165"/>
    </row>
    <row r="83" spans="1:27" x14ac:dyDescent="0.25">
      <c r="A83" s="165" t="s">
        <v>264</v>
      </c>
      <c r="B83" s="165" t="s">
        <v>328</v>
      </c>
      <c r="C83" s="165" t="s">
        <v>206</v>
      </c>
      <c r="D83" s="165" t="s">
        <v>210</v>
      </c>
      <c r="E83" s="165">
        <v>29.79</v>
      </c>
      <c r="F83" s="165"/>
      <c r="G83" s="165" t="s">
        <v>307</v>
      </c>
      <c r="H83" s="165" t="s">
        <v>205</v>
      </c>
      <c r="I83" s="165" t="s">
        <v>569</v>
      </c>
      <c r="J83" s="165" t="s">
        <v>207</v>
      </c>
      <c r="K83" s="165">
        <v>40.43</v>
      </c>
      <c r="L83" s="165">
        <f>AVERAGE(K83:K85)</f>
        <v>40.580000000000005</v>
      </c>
      <c r="M83" s="165">
        <f>STDEV(K83:K85)</f>
        <v>0.30413812651491007</v>
      </c>
      <c r="N83" s="165"/>
      <c r="O83" s="165"/>
      <c r="P83" s="165"/>
      <c r="Q83" s="165"/>
      <c r="R83" s="165"/>
      <c r="S83" s="165"/>
      <c r="T83" s="165"/>
      <c r="U83" s="165"/>
      <c r="V83" s="165"/>
      <c r="W83" s="165"/>
      <c r="X83" s="165"/>
      <c r="Y83" s="165"/>
      <c r="Z83" s="165"/>
      <c r="AA83" s="165"/>
    </row>
    <row r="84" spans="1:27" x14ac:dyDescent="0.25">
      <c r="A84" s="165" t="s">
        <v>265</v>
      </c>
      <c r="B84" s="165" t="s">
        <v>205</v>
      </c>
      <c r="C84" s="165" t="s">
        <v>206</v>
      </c>
      <c r="D84" s="165" t="s">
        <v>207</v>
      </c>
      <c r="E84" s="165">
        <v>32.19</v>
      </c>
      <c r="F84" s="165"/>
      <c r="G84" s="165" t="s">
        <v>308</v>
      </c>
      <c r="H84" s="165" t="s">
        <v>205</v>
      </c>
      <c r="I84" s="165" t="s">
        <v>569</v>
      </c>
      <c r="J84" s="165" t="s">
        <v>207</v>
      </c>
      <c r="K84" s="165">
        <v>40.93</v>
      </c>
      <c r="L84" s="165"/>
      <c r="M84" s="165"/>
      <c r="N84" s="165"/>
      <c r="O84" s="165"/>
      <c r="P84" s="165"/>
      <c r="Q84" s="165"/>
      <c r="R84" s="165"/>
      <c r="S84" s="165"/>
      <c r="T84" s="165"/>
      <c r="U84" s="165"/>
      <c r="V84" s="165"/>
      <c r="W84" s="165"/>
      <c r="X84" s="165"/>
      <c r="Y84" s="165"/>
      <c r="Z84" s="165"/>
      <c r="AA84" s="165"/>
    </row>
    <row r="85" spans="1:27" x14ac:dyDescent="0.25">
      <c r="A85" s="165" t="s">
        <v>265</v>
      </c>
      <c r="B85" s="165" t="s">
        <v>328</v>
      </c>
      <c r="C85" s="165" t="s">
        <v>206</v>
      </c>
      <c r="D85" s="165" t="s">
        <v>210</v>
      </c>
      <c r="E85" s="165">
        <v>30.27</v>
      </c>
      <c r="F85" s="165"/>
      <c r="G85" s="165" t="s">
        <v>309</v>
      </c>
      <c r="H85" s="165" t="s">
        <v>205</v>
      </c>
      <c r="I85" s="165" t="s">
        <v>569</v>
      </c>
      <c r="J85" s="165" t="s">
        <v>207</v>
      </c>
      <c r="K85" s="165">
        <v>40.380000000000003</v>
      </c>
      <c r="L85" s="165"/>
      <c r="M85" s="165"/>
      <c r="N85" s="165"/>
      <c r="O85" s="165"/>
      <c r="P85" s="165"/>
      <c r="Q85" s="165"/>
      <c r="R85" s="165"/>
      <c r="S85" s="165"/>
      <c r="T85" s="165"/>
      <c r="U85" s="165"/>
      <c r="V85" s="165"/>
      <c r="W85" s="165"/>
      <c r="X85" s="165"/>
      <c r="Y85" s="165"/>
      <c r="Z85" s="165"/>
      <c r="AA85" s="165"/>
    </row>
    <row r="86" spans="1:27" x14ac:dyDescent="0.25">
      <c r="A86" s="165" t="s">
        <v>266</v>
      </c>
      <c r="B86" s="165" t="s">
        <v>205</v>
      </c>
      <c r="C86" s="165" t="s">
        <v>206</v>
      </c>
      <c r="D86" s="165" t="s">
        <v>207</v>
      </c>
      <c r="E86" s="165">
        <v>32.74</v>
      </c>
      <c r="F86" s="165"/>
      <c r="G86" s="165" t="s">
        <v>310</v>
      </c>
      <c r="H86" s="165" t="s">
        <v>205</v>
      </c>
      <c r="I86" s="165" t="s">
        <v>569</v>
      </c>
      <c r="J86" s="165" t="s">
        <v>207</v>
      </c>
      <c r="K86" s="165">
        <v>41.39</v>
      </c>
      <c r="L86" s="165">
        <f>AVERAGE(K86:K88)</f>
        <v>41.513333333333328</v>
      </c>
      <c r="M86" s="165">
        <f>STDEV(K86:K88)</f>
        <v>0.43821608064211176</v>
      </c>
      <c r="N86" s="165"/>
      <c r="O86" s="165"/>
      <c r="P86" s="165"/>
      <c r="Q86" s="165"/>
      <c r="R86" s="165"/>
      <c r="S86" s="165"/>
      <c r="T86" s="165"/>
      <c r="U86" s="165"/>
      <c r="V86" s="165"/>
      <c r="W86" s="165"/>
      <c r="X86" s="165"/>
      <c r="Y86" s="165" t="s">
        <v>568</v>
      </c>
      <c r="Z86" s="165" t="s">
        <v>240</v>
      </c>
      <c r="AA86" s="165"/>
    </row>
    <row r="87" spans="1:27" x14ac:dyDescent="0.25">
      <c r="A87" s="165" t="s">
        <v>266</v>
      </c>
      <c r="B87" s="165" t="s">
        <v>328</v>
      </c>
      <c r="C87" s="165" t="s">
        <v>206</v>
      </c>
      <c r="D87" s="165" t="s">
        <v>210</v>
      </c>
      <c r="E87" s="165">
        <v>30.21</v>
      </c>
      <c r="F87" s="165"/>
      <c r="G87" s="165" t="s">
        <v>311</v>
      </c>
      <c r="H87" s="165" t="s">
        <v>205</v>
      </c>
      <c r="I87" s="165" t="s">
        <v>569</v>
      </c>
      <c r="J87" s="165" t="s">
        <v>207</v>
      </c>
      <c r="K87" s="165">
        <v>41.15</v>
      </c>
      <c r="L87" s="165"/>
      <c r="M87" s="165"/>
      <c r="N87" s="165"/>
      <c r="O87" s="165"/>
      <c r="P87" s="165"/>
      <c r="Q87" s="165"/>
      <c r="R87" s="165"/>
      <c r="S87" s="165"/>
      <c r="T87" s="165"/>
      <c r="U87" s="165"/>
      <c r="V87" s="165"/>
      <c r="W87" s="165"/>
      <c r="X87" s="165"/>
      <c r="Y87" s="165">
        <f t="array" ref="Y87:Z87">LINEST(Z76:Z81,Y76:Y81)</f>
        <v>-6.312293471411885</v>
      </c>
      <c r="Z87" s="165">
        <v>99.840371473531491</v>
      </c>
      <c r="AA87" s="165"/>
    </row>
    <row r="88" spans="1:27" x14ac:dyDescent="0.25">
      <c r="A88" s="165" t="s">
        <v>267</v>
      </c>
      <c r="B88" s="165" t="s">
        <v>205</v>
      </c>
      <c r="C88" s="165" t="s">
        <v>206</v>
      </c>
      <c r="D88" s="165" t="s">
        <v>207</v>
      </c>
      <c r="E88" s="165">
        <v>32.659999999999997</v>
      </c>
      <c r="F88" s="165"/>
      <c r="G88" s="165" t="s">
        <v>312</v>
      </c>
      <c r="H88" s="165" t="s">
        <v>205</v>
      </c>
      <c r="I88" s="165" t="s">
        <v>569</v>
      </c>
      <c r="J88" s="165" t="s">
        <v>207</v>
      </c>
      <c r="K88" s="165">
        <v>42</v>
      </c>
      <c r="L88" s="165"/>
      <c r="M88" s="165"/>
      <c r="N88" s="165"/>
      <c r="O88" s="165"/>
      <c r="P88" s="165"/>
      <c r="Q88" s="165"/>
      <c r="R88" s="165"/>
      <c r="S88" s="165"/>
      <c r="T88" s="165"/>
      <c r="U88" s="165"/>
      <c r="V88" s="165"/>
      <c r="W88" s="165"/>
      <c r="X88" s="165"/>
      <c r="Y88" s="165"/>
      <c r="Z88" s="165"/>
      <c r="AA88" s="165"/>
    </row>
    <row r="89" spans="1:27" x14ac:dyDescent="0.25">
      <c r="A89" s="165" t="s">
        <v>267</v>
      </c>
      <c r="B89" s="165" t="s">
        <v>328</v>
      </c>
      <c r="C89" s="165" t="s">
        <v>206</v>
      </c>
      <c r="D89" s="165" t="s">
        <v>210</v>
      </c>
      <c r="E89" s="165">
        <v>30.37</v>
      </c>
      <c r="F89" s="165"/>
      <c r="G89" s="165" t="s">
        <v>313</v>
      </c>
      <c r="H89" s="165" t="s">
        <v>205</v>
      </c>
      <c r="I89" s="165" t="s">
        <v>569</v>
      </c>
      <c r="J89" s="165" t="s">
        <v>207</v>
      </c>
      <c r="K89" s="165">
        <v>42.56</v>
      </c>
      <c r="L89" s="165">
        <f>AVERAGE(K89:K91)</f>
        <v>42.5</v>
      </c>
      <c r="M89" s="165">
        <f>STDEV(K89:K91)</f>
        <v>8.7177978870814868E-2</v>
      </c>
      <c r="N89" s="165"/>
      <c r="O89" s="165"/>
      <c r="P89" s="165"/>
      <c r="Q89" s="165"/>
      <c r="R89" s="165"/>
      <c r="S89" s="165"/>
      <c r="T89" s="165"/>
      <c r="U89" s="165"/>
      <c r="V89" s="165"/>
      <c r="W89" s="165"/>
      <c r="X89" s="165"/>
      <c r="Y89" s="119" t="s">
        <v>241</v>
      </c>
      <c r="Z89" s="120">
        <f>10^(-1/Y87)-1</f>
        <v>0.44019409098289408</v>
      </c>
      <c r="AA89" s="165"/>
    </row>
    <row r="90" spans="1:27" x14ac:dyDescent="0.25">
      <c r="A90" s="165" t="s">
        <v>268</v>
      </c>
      <c r="B90" s="165" t="s">
        <v>205</v>
      </c>
      <c r="C90" s="165" t="s">
        <v>206</v>
      </c>
      <c r="D90" s="165" t="s">
        <v>207</v>
      </c>
      <c r="E90" s="165">
        <v>28.24</v>
      </c>
      <c r="F90" s="165"/>
      <c r="G90" s="165" t="s">
        <v>314</v>
      </c>
      <c r="H90" s="165" t="s">
        <v>205</v>
      </c>
      <c r="I90" s="165" t="s">
        <v>569</v>
      </c>
      <c r="J90" s="165" t="s">
        <v>207</v>
      </c>
      <c r="K90" s="165">
        <v>42.54</v>
      </c>
      <c r="L90" s="165"/>
      <c r="M90" s="165"/>
      <c r="N90" s="165"/>
      <c r="O90" s="165"/>
      <c r="P90" s="165"/>
      <c r="Q90" s="165"/>
      <c r="R90" s="165"/>
      <c r="S90" s="165"/>
      <c r="T90" s="165"/>
      <c r="U90" s="165"/>
      <c r="V90" s="165"/>
      <c r="W90" s="165"/>
      <c r="X90" s="165"/>
      <c r="Y90" s="165"/>
      <c r="Z90" s="165"/>
      <c r="AA90" s="165"/>
    </row>
    <row r="91" spans="1:27" x14ac:dyDescent="0.25">
      <c r="A91" s="165" t="s">
        <v>268</v>
      </c>
      <c r="B91" s="165" t="s">
        <v>328</v>
      </c>
      <c r="C91" s="165" t="s">
        <v>206</v>
      </c>
      <c r="D91" s="165" t="s">
        <v>210</v>
      </c>
      <c r="E91" s="165">
        <v>28.62</v>
      </c>
      <c r="F91" s="165"/>
      <c r="G91" s="165" t="s">
        <v>315</v>
      </c>
      <c r="H91" s="165" t="s">
        <v>205</v>
      </c>
      <c r="I91" s="165" t="s">
        <v>569</v>
      </c>
      <c r="J91" s="165" t="s">
        <v>207</v>
      </c>
      <c r="K91" s="165">
        <v>42.4</v>
      </c>
      <c r="L91" s="165"/>
      <c r="M91" s="165"/>
      <c r="N91" s="165"/>
      <c r="O91" s="165"/>
      <c r="P91" s="165"/>
      <c r="Q91" s="165"/>
      <c r="R91" s="165"/>
      <c r="S91" s="165"/>
      <c r="T91" s="165"/>
      <c r="U91" s="165"/>
      <c r="V91" s="165"/>
      <c r="W91" s="165"/>
      <c r="X91" s="165"/>
      <c r="Y91" s="165"/>
      <c r="Z91" s="165"/>
      <c r="AA91" s="165"/>
    </row>
    <row r="92" spans="1:27" x14ac:dyDescent="0.25">
      <c r="A92" s="165" t="s">
        <v>270</v>
      </c>
      <c r="B92" s="165" t="s">
        <v>205</v>
      </c>
      <c r="C92" s="165" t="s">
        <v>206</v>
      </c>
      <c r="D92" s="165" t="s">
        <v>207</v>
      </c>
      <c r="E92" s="165">
        <v>28.52</v>
      </c>
      <c r="F92" s="165"/>
      <c r="G92" s="165" t="s">
        <v>316</v>
      </c>
      <c r="H92" s="165" t="s">
        <v>205</v>
      </c>
      <c r="I92" s="165" t="s">
        <v>569</v>
      </c>
      <c r="J92" s="165" t="s">
        <v>207</v>
      </c>
      <c r="K92" s="165" t="s">
        <v>220</v>
      </c>
      <c r="L92" s="165">
        <f>AVERAGE(K91:K93)</f>
        <v>43.39</v>
      </c>
      <c r="M92" s="165">
        <f>STDEV(K91:K93)</f>
        <v>1.400071426749367</v>
      </c>
      <c r="N92" s="165"/>
      <c r="O92" s="165"/>
      <c r="P92" s="165"/>
      <c r="Q92" s="165"/>
      <c r="R92" s="165"/>
      <c r="S92" s="165"/>
      <c r="T92" s="165"/>
      <c r="U92" s="165"/>
      <c r="V92" s="165"/>
      <c r="W92" s="165"/>
      <c r="X92" s="165"/>
      <c r="Y92" s="165"/>
      <c r="Z92" s="165"/>
      <c r="AA92" s="165"/>
    </row>
    <row r="93" spans="1:27" x14ac:dyDescent="0.25">
      <c r="A93" s="165" t="s">
        <v>270</v>
      </c>
      <c r="B93" s="165" t="s">
        <v>328</v>
      </c>
      <c r="C93" s="165" t="s">
        <v>206</v>
      </c>
      <c r="D93" s="165" t="s">
        <v>210</v>
      </c>
      <c r="E93" s="165">
        <v>28.95</v>
      </c>
      <c r="F93" s="165"/>
      <c r="G93" s="165" t="s">
        <v>317</v>
      </c>
      <c r="H93" s="165" t="s">
        <v>205</v>
      </c>
      <c r="I93" s="165" t="s">
        <v>569</v>
      </c>
      <c r="J93" s="165" t="s">
        <v>207</v>
      </c>
      <c r="K93" s="165">
        <v>44.38</v>
      </c>
      <c r="L93" s="165"/>
      <c r="M93" s="165"/>
      <c r="N93" s="165"/>
      <c r="O93" s="165"/>
      <c r="P93" s="165"/>
      <c r="Q93" s="165"/>
      <c r="R93" s="165"/>
      <c r="S93" s="165"/>
      <c r="T93" s="165"/>
      <c r="U93" s="165"/>
      <c r="V93" s="165"/>
      <c r="W93" s="165"/>
      <c r="X93" s="165"/>
      <c r="Y93" s="165"/>
      <c r="Z93" s="165"/>
      <c r="AA93" s="165"/>
    </row>
    <row r="94" spans="1:27" x14ac:dyDescent="0.25">
      <c r="A94" s="165" t="s">
        <v>272</v>
      </c>
      <c r="B94" s="165" t="s">
        <v>205</v>
      </c>
      <c r="C94" s="165" t="s">
        <v>206</v>
      </c>
      <c r="D94" s="165" t="s">
        <v>207</v>
      </c>
      <c r="E94" s="165">
        <v>28.9</v>
      </c>
      <c r="F94" s="165"/>
      <c r="G94" s="165" t="s">
        <v>318</v>
      </c>
      <c r="H94" s="165" t="s">
        <v>205</v>
      </c>
      <c r="I94" s="165" t="s">
        <v>569</v>
      </c>
      <c r="J94" s="165" t="s">
        <v>207</v>
      </c>
      <c r="K94" s="165" t="s">
        <v>220</v>
      </c>
      <c r="L94" s="165"/>
      <c r="M94" s="165"/>
      <c r="N94" s="165"/>
      <c r="O94" s="165"/>
      <c r="P94" s="165"/>
      <c r="Q94" s="165"/>
      <c r="R94" s="165"/>
      <c r="S94" s="165"/>
      <c r="T94" s="165"/>
      <c r="U94" s="165"/>
      <c r="V94" s="165"/>
      <c r="W94" s="165"/>
      <c r="X94" s="165"/>
      <c r="Y94" s="165"/>
      <c r="Z94" s="165"/>
      <c r="AA94" s="165"/>
    </row>
    <row r="95" spans="1:27" x14ac:dyDescent="0.25">
      <c r="A95" s="165" t="s">
        <v>272</v>
      </c>
      <c r="B95" s="165" t="s">
        <v>328</v>
      </c>
      <c r="C95" s="165" t="s">
        <v>206</v>
      </c>
      <c r="D95" s="165" t="s">
        <v>210</v>
      </c>
      <c r="E95" s="165">
        <v>29.31</v>
      </c>
      <c r="F95" s="165"/>
      <c r="G95" s="165" t="s">
        <v>319</v>
      </c>
      <c r="H95" s="165" t="s">
        <v>205</v>
      </c>
      <c r="I95" s="165" t="s">
        <v>320</v>
      </c>
      <c r="J95" s="165" t="s">
        <v>207</v>
      </c>
      <c r="K95" s="165" t="s">
        <v>220</v>
      </c>
      <c r="L95" s="165"/>
      <c r="M95" s="165"/>
      <c r="N95" s="165"/>
      <c r="O95" s="165"/>
      <c r="P95" s="165"/>
      <c r="Q95" s="165"/>
      <c r="R95" s="165"/>
      <c r="S95" s="165"/>
      <c r="T95" s="165"/>
      <c r="U95" s="165"/>
      <c r="V95" s="165"/>
      <c r="W95" s="165"/>
      <c r="X95" s="165"/>
      <c r="Y95" s="165"/>
      <c r="Z95" s="165"/>
      <c r="AA95" s="165"/>
    </row>
    <row r="96" spans="1:27" x14ac:dyDescent="0.25">
      <c r="A96" s="165" t="s">
        <v>273</v>
      </c>
      <c r="B96" s="165" t="s">
        <v>205</v>
      </c>
      <c r="C96" s="165" t="s">
        <v>206</v>
      </c>
      <c r="D96" s="165" t="s">
        <v>207</v>
      </c>
      <c r="E96" s="165">
        <v>28.69</v>
      </c>
      <c r="F96" s="165"/>
      <c r="G96" s="165" t="s">
        <v>321</v>
      </c>
      <c r="H96" s="165" t="s">
        <v>205</v>
      </c>
      <c r="I96" s="165" t="s">
        <v>320</v>
      </c>
      <c r="J96" s="165" t="s">
        <v>207</v>
      </c>
      <c r="K96" s="165" t="s">
        <v>220</v>
      </c>
      <c r="L96" s="165"/>
      <c r="M96" s="165"/>
      <c r="N96" s="165"/>
      <c r="O96" s="165"/>
      <c r="P96" s="165"/>
      <c r="Q96" s="165"/>
      <c r="R96" s="165"/>
      <c r="S96" s="165"/>
      <c r="T96" s="165"/>
      <c r="U96" s="165"/>
      <c r="V96" s="165"/>
      <c r="W96" s="165"/>
      <c r="X96" s="165"/>
      <c r="Y96" s="165"/>
      <c r="Z96" s="165"/>
      <c r="AA96" s="165"/>
    </row>
    <row r="97" spans="1:11" x14ac:dyDescent="0.25">
      <c r="A97" s="165" t="s">
        <v>273</v>
      </c>
      <c r="B97" s="165" t="s">
        <v>328</v>
      </c>
      <c r="C97" s="165" t="s">
        <v>206</v>
      </c>
      <c r="D97" s="165" t="s">
        <v>210</v>
      </c>
      <c r="E97" s="165">
        <v>29.08</v>
      </c>
      <c r="F97" s="165"/>
      <c r="G97" s="165" t="s">
        <v>322</v>
      </c>
      <c r="H97" s="165" t="s">
        <v>205</v>
      </c>
      <c r="I97" s="165" t="s">
        <v>320</v>
      </c>
      <c r="J97" s="165" t="s">
        <v>207</v>
      </c>
      <c r="K97" s="165" t="s">
        <v>220</v>
      </c>
    </row>
    <row r="98" spans="1:11" x14ac:dyDescent="0.25">
      <c r="A98" s="165" t="s">
        <v>274</v>
      </c>
      <c r="B98" s="165" t="s">
        <v>205</v>
      </c>
      <c r="C98" s="165" t="s">
        <v>206</v>
      </c>
      <c r="D98" s="165" t="s">
        <v>207</v>
      </c>
      <c r="E98" s="165">
        <v>33.450000000000003</v>
      </c>
      <c r="F98" s="165"/>
      <c r="G98" s="165" t="s">
        <v>204</v>
      </c>
      <c r="H98" s="165" t="s">
        <v>328</v>
      </c>
      <c r="I98" s="165" t="s">
        <v>206</v>
      </c>
      <c r="J98" s="165" t="s">
        <v>210</v>
      </c>
      <c r="K98" s="165">
        <v>34.26</v>
      </c>
    </row>
    <row r="99" spans="1:11" x14ac:dyDescent="0.25">
      <c r="A99" s="165" t="s">
        <v>274</v>
      </c>
      <c r="B99" s="165" t="s">
        <v>328</v>
      </c>
      <c r="C99" s="165" t="s">
        <v>206</v>
      </c>
      <c r="D99" s="165" t="s">
        <v>210</v>
      </c>
      <c r="E99" s="165">
        <v>32.54</v>
      </c>
      <c r="F99" s="165"/>
      <c r="G99" s="165" t="s">
        <v>211</v>
      </c>
      <c r="H99" s="165" t="s">
        <v>328</v>
      </c>
      <c r="I99" s="165" t="s">
        <v>206</v>
      </c>
      <c r="J99" s="165" t="s">
        <v>210</v>
      </c>
      <c r="K99" s="165">
        <v>34.83</v>
      </c>
    </row>
    <row r="100" spans="1:11" x14ac:dyDescent="0.25">
      <c r="A100" s="165" t="s">
        <v>275</v>
      </c>
      <c r="B100" s="165" t="s">
        <v>205</v>
      </c>
      <c r="C100" s="165" t="s">
        <v>206</v>
      </c>
      <c r="D100" s="165" t="s">
        <v>207</v>
      </c>
      <c r="E100" s="165">
        <v>33.869999999999997</v>
      </c>
      <c r="F100" s="165"/>
      <c r="G100" s="165" t="s">
        <v>212</v>
      </c>
      <c r="H100" s="165" t="s">
        <v>328</v>
      </c>
      <c r="I100" s="165" t="s">
        <v>206</v>
      </c>
      <c r="J100" s="165" t="s">
        <v>210</v>
      </c>
      <c r="K100" s="165">
        <v>34.79</v>
      </c>
    </row>
    <row r="101" spans="1:11" x14ac:dyDescent="0.25">
      <c r="A101" s="165" t="s">
        <v>275</v>
      </c>
      <c r="B101" s="165" t="s">
        <v>328</v>
      </c>
      <c r="C101" s="165" t="s">
        <v>206</v>
      </c>
      <c r="D101" s="165" t="s">
        <v>210</v>
      </c>
      <c r="E101" s="165">
        <v>33.67</v>
      </c>
      <c r="F101" s="165"/>
      <c r="G101" s="165" t="s">
        <v>213</v>
      </c>
      <c r="H101" s="165" t="s">
        <v>328</v>
      </c>
      <c r="I101" s="165" t="s">
        <v>206</v>
      </c>
      <c r="J101" s="165" t="s">
        <v>210</v>
      </c>
      <c r="K101" s="165">
        <v>34.79</v>
      </c>
    </row>
    <row r="102" spans="1:11" x14ac:dyDescent="0.25">
      <c r="A102" s="165" t="s">
        <v>276</v>
      </c>
      <c r="B102" s="165" t="s">
        <v>205</v>
      </c>
      <c r="C102" s="165" t="s">
        <v>206</v>
      </c>
      <c r="D102" s="165" t="s">
        <v>207</v>
      </c>
      <c r="E102" s="165">
        <v>34.65</v>
      </c>
      <c r="F102" s="165"/>
      <c r="G102" s="165" t="s">
        <v>214</v>
      </c>
      <c r="H102" s="165" t="s">
        <v>328</v>
      </c>
      <c r="I102" s="165" t="s">
        <v>206</v>
      </c>
      <c r="J102" s="165" t="s">
        <v>210</v>
      </c>
      <c r="K102" s="165">
        <v>30.19</v>
      </c>
    </row>
    <row r="103" spans="1:11" x14ac:dyDescent="0.25">
      <c r="A103" s="165" t="s">
        <v>276</v>
      </c>
      <c r="B103" s="165" t="s">
        <v>328</v>
      </c>
      <c r="C103" s="165" t="s">
        <v>206</v>
      </c>
      <c r="D103" s="165" t="s">
        <v>210</v>
      </c>
      <c r="E103" s="165">
        <v>33.950000000000003</v>
      </c>
      <c r="F103" s="165"/>
      <c r="G103" s="165" t="s">
        <v>215</v>
      </c>
      <c r="H103" s="165" t="s">
        <v>328</v>
      </c>
      <c r="I103" s="165" t="s">
        <v>206</v>
      </c>
      <c r="J103" s="165" t="s">
        <v>210</v>
      </c>
      <c r="K103" s="165">
        <v>30.18</v>
      </c>
    </row>
    <row r="104" spans="1:11" x14ac:dyDescent="0.25">
      <c r="A104" s="165" t="s">
        <v>277</v>
      </c>
      <c r="B104" s="165" t="s">
        <v>205</v>
      </c>
      <c r="C104" s="165" t="s">
        <v>206</v>
      </c>
      <c r="D104" s="165" t="s">
        <v>207</v>
      </c>
      <c r="E104" s="165">
        <v>34.65</v>
      </c>
      <c r="F104" s="165"/>
      <c r="G104" s="165" t="s">
        <v>216</v>
      </c>
      <c r="H104" s="165" t="s">
        <v>328</v>
      </c>
      <c r="I104" s="165" t="s">
        <v>206</v>
      </c>
      <c r="J104" s="165" t="s">
        <v>210</v>
      </c>
      <c r="K104" s="165">
        <v>30.34</v>
      </c>
    </row>
    <row r="105" spans="1:11" x14ac:dyDescent="0.25">
      <c r="A105" s="165" t="s">
        <v>277</v>
      </c>
      <c r="B105" s="165" t="s">
        <v>328</v>
      </c>
      <c r="C105" s="165" t="s">
        <v>206</v>
      </c>
      <c r="D105" s="165" t="s">
        <v>210</v>
      </c>
      <c r="E105" s="165">
        <v>34.01</v>
      </c>
      <c r="F105" s="165"/>
      <c r="G105" s="165" t="s">
        <v>217</v>
      </c>
      <c r="H105" s="165" t="s">
        <v>328</v>
      </c>
      <c r="I105" s="165" t="s">
        <v>206</v>
      </c>
      <c r="J105" s="165" t="s">
        <v>210</v>
      </c>
      <c r="K105" s="165">
        <v>30.26</v>
      </c>
    </row>
    <row r="106" spans="1:11" x14ac:dyDescent="0.25">
      <c r="A106" s="165" t="s">
        <v>278</v>
      </c>
      <c r="B106" s="165" t="s">
        <v>205</v>
      </c>
      <c r="C106" s="165" t="s">
        <v>206</v>
      </c>
      <c r="D106" s="165" t="s">
        <v>207</v>
      </c>
      <c r="E106" s="165">
        <v>32.630000000000003</v>
      </c>
      <c r="F106" s="165"/>
      <c r="G106" s="165" t="s">
        <v>218</v>
      </c>
      <c r="H106" s="165" t="s">
        <v>328</v>
      </c>
      <c r="I106" s="165" t="s">
        <v>206</v>
      </c>
      <c r="J106" s="165" t="s">
        <v>210</v>
      </c>
      <c r="K106" s="165">
        <v>29.5</v>
      </c>
    </row>
    <row r="107" spans="1:11" x14ac:dyDescent="0.25">
      <c r="A107" s="165" t="s">
        <v>278</v>
      </c>
      <c r="B107" s="165" t="s">
        <v>328</v>
      </c>
      <c r="C107" s="165" t="s">
        <v>206</v>
      </c>
      <c r="D107" s="165" t="s">
        <v>210</v>
      </c>
      <c r="E107" s="165">
        <v>30.19</v>
      </c>
      <c r="F107" s="165"/>
      <c r="G107" s="165" t="s">
        <v>219</v>
      </c>
      <c r="H107" s="165" t="s">
        <v>328</v>
      </c>
      <c r="I107" s="165" t="s">
        <v>206</v>
      </c>
      <c r="J107" s="165" t="s">
        <v>210</v>
      </c>
      <c r="K107" s="165">
        <v>29.6</v>
      </c>
    </row>
    <row r="108" spans="1:11" x14ac:dyDescent="0.25">
      <c r="A108" s="165" t="s">
        <v>279</v>
      </c>
      <c r="B108" s="165" t="s">
        <v>205</v>
      </c>
      <c r="C108" s="165" t="s">
        <v>206</v>
      </c>
      <c r="D108" s="165" t="s">
        <v>207</v>
      </c>
      <c r="E108" s="165">
        <v>32.01</v>
      </c>
      <c r="F108" s="165"/>
      <c r="G108" s="165" t="s">
        <v>221</v>
      </c>
      <c r="H108" s="165" t="s">
        <v>328</v>
      </c>
      <c r="I108" s="165" t="s">
        <v>206</v>
      </c>
      <c r="J108" s="165" t="s">
        <v>210</v>
      </c>
      <c r="K108" s="165">
        <v>29.29</v>
      </c>
    </row>
    <row r="109" spans="1:11" x14ac:dyDescent="0.25">
      <c r="A109" s="165" t="s">
        <v>279</v>
      </c>
      <c r="B109" s="165" t="s">
        <v>328</v>
      </c>
      <c r="C109" s="165" t="s">
        <v>206</v>
      </c>
      <c r="D109" s="165" t="s">
        <v>210</v>
      </c>
      <c r="E109" s="165">
        <v>30.3</v>
      </c>
      <c r="F109" s="165"/>
      <c r="G109" s="165" t="s">
        <v>222</v>
      </c>
      <c r="H109" s="165" t="s">
        <v>328</v>
      </c>
      <c r="I109" s="165" t="s">
        <v>206</v>
      </c>
      <c r="J109" s="165" t="s">
        <v>210</v>
      </c>
      <c r="K109" s="165">
        <v>29.69</v>
      </c>
    </row>
    <row r="110" spans="1:11" x14ac:dyDescent="0.25">
      <c r="A110" s="165" t="s">
        <v>280</v>
      </c>
      <c r="B110" s="165" t="s">
        <v>205</v>
      </c>
      <c r="C110" s="165" t="s">
        <v>206</v>
      </c>
      <c r="D110" s="165" t="s">
        <v>207</v>
      </c>
      <c r="E110" s="165">
        <v>32.86</v>
      </c>
      <c r="F110" s="165"/>
      <c r="G110" s="165" t="s">
        <v>223</v>
      </c>
      <c r="H110" s="165" t="s">
        <v>328</v>
      </c>
      <c r="I110" s="165" t="s">
        <v>206</v>
      </c>
      <c r="J110" s="165" t="s">
        <v>210</v>
      </c>
      <c r="K110" s="165">
        <v>33.83</v>
      </c>
    </row>
    <row r="111" spans="1:11" x14ac:dyDescent="0.25">
      <c r="A111" s="165" t="s">
        <v>280</v>
      </c>
      <c r="B111" s="165" t="s">
        <v>328</v>
      </c>
      <c r="C111" s="165" t="s">
        <v>206</v>
      </c>
      <c r="D111" s="165" t="s">
        <v>210</v>
      </c>
      <c r="E111" s="165">
        <v>30.47</v>
      </c>
      <c r="F111" s="165"/>
      <c r="G111" s="165" t="s">
        <v>234</v>
      </c>
      <c r="H111" s="165" t="s">
        <v>328</v>
      </c>
      <c r="I111" s="165" t="s">
        <v>206</v>
      </c>
      <c r="J111" s="165" t="s">
        <v>210</v>
      </c>
      <c r="K111" s="165">
        <v>34.53</v>
      </c>
    </row>
    <row r="112" spans="1:11" x14ac:dyDescent="0.25">
      <c r="A112" s="165" t="s">
        <v>281</v>
      </c>
      <c r="B112" s="165" t="s">
        <v>205</v>
      </c>
      <c r="C112" s="165" t="s">
        <v>206</v>
      </c>
      <c r="D112" s="165" t="s">
        <v>207</v>
      </c>
      <c r="E112" s="165">
        <v>32.61</v>
      </c>
      <c r="F112" s="165"/>
      <c r="G112" s="165" t="s">
        <v>235</v>
      </c>
      <c r="H112" s="165" t="s">
        <v>328</v>
      </c>
      <c r="I112" s="165" t="s">
        <v>206</v>
      </c>
      <c r="J112" s="165" t="s">
        <v>210</v>
      </c>
      <c r="K112" s="165">
        <v>34.479999999999997</v>
      </c>
    </row>
    <row r="113" spans="1:11" x14ac:dyDescent="0.25">
      <c r="A113" s="165" t="s">
        <v>281</v>
      </c>
      <c r="B113" s="165" t="s">
        <v>328</v>
      </c>
      <c r="C113" s="165" t="s">
        <v>206</v>
      </c>
      <c r="D113" s="165" t="s">
        <v>210</v>
      </c>
      <c r="E113" s="165">
        <v>30.24</v>
      </c>
      <c r="F113" s="165"/>
      <c r="G113" s="165" t="s">
        <v>236</v>
      </c>
      <c r="H113" s="165" t="s">
        <v>328</v>
      </c>
      <c r="I113" s="165" t="s">
        <v>206</v>
      </c>
      <c r="J113" s="165" t="s">
        <v>210</v>
      </c>
      <c r="K113" s="165">
        <v>34.29</v>
      </c>
    </row>
    <row r="114" spans="1:11" x14ac:dyDescent="0.25">
      <c r="A114" s="165" t="s">
        <v>282</v>
      </c>
      <c r="B114" s="165" t="s">
        <v>205</v>
      </c>
      <c r="C114" s="165" t="s">
        <v>206</v>
      </c>
      <c r="D114" s="165" t="s">
        <v>207</v>
      </c>
      <c r="E114" s="165">
        <v>29.34</v>
      </c>
      <c r="F114" s="165"/>
      <c r="G114" s="165" t="s">
        <v>237</v>
      </c>
      <c r="H114" s="165" t="s">
        <v>328</v>
      </c>
      <c r="I114" s="165" t="s">
        <v>206</v>
      </c>
      <c r="J114" s="165" t="s">
        <v>210</v>
      </c>
      <c r="K114" s="165">
        <v>30.23</v>
      </c>
    </row>
    <row r="115" spans="1:11" x14ac:dyDescent="0.25">
      <c r="A115" s="165" t="s">
        <v>282</v>
      </c>
      <c r="B115" s="165" t="s">
        <v>328</v>
      </c>
      <c r="C115" s="165" t="s">
        <v>206</v>
      </c>
      <c r="D115" s="165" t="s">
        <v>210</v>
      </c>
      <c r="E115" s="165">
        <v>29.62</v>
      </c>
      <c r="F115" s="165"/>
      <c r="G115" s="165" t="s">
        <v>238</v>
      </c>
      <c r="H115" s="165" t="s">
        <v>328</v>
      </c>
      <c r="I115" s="165" t="s">
        <v>206</v>
      </c>
      <c r="J115" s="165" t="s">
        <v>210</v>
      </c>
      <c r="K115" s="165">
        <v>30.45</v>
      </c>
    </row>
    <row r="116" spans="1:11" x14ac:dyDescent="0.25">
      <c r="A116" s="165" t="s">
        <v>283</v>
      </c>
      <c r="B116" s="165" t="s">
        <v>205</v>
      </c>
      <c r="C116" s="165" t="s">
        <v>206</v>
      </c>
      <c r="D116" s="165" t="s">
        <v>207</v>
      </c>
      <c r="E116" s="165">
        <v>29.04</v>
      </c>
      <c r="F116" s="165"/>
      <c r="G116" s="165" t="s">
        <v>239</v>
      </c>
      <c r="H116" s="165" t="s">
        <v>328</v>
      </c>
      <c r="I116" s="165" t="s">
        <v>206</v>
      </c>
      <c r="J116" s="165" t="s">
        <v>210</v>
      </c>
      <c r="K116" s="165">
        <v>30.57</v>
      </c>
    </row>
    <row r="117" spans="1:11" x14ac:dyDescent="0.25">
      <c r="A117" s="165" t="s">
        <v>283</v>
      </c>
      <c r="B117" s="165" t="s">
        <v>328</v>
      </c>
      <c r="C117" s="165" t="s">
        <v>206</v>
      </c>
      <c r="D117" s="165" t="s">
        <v>210</v>
      </c>
      <c r="E117" s="165">
        <v>29.12</v>
      </c>
      <c r="F117" s="165"/>
      <c r="G117" s="165" t="s">
        <v>242</v>
      </c>
      <c r="H117" s="165" t="s">
        <v>328</v>
      </c>
      <c r="I117" s="165" t="s">
        <v>206</v>
      </c>
      <c r="J117" s="165" t="s">
        <v>210</v>
      </c>
      <c r="K117" s="165">
        <v>30.23</v>
      </c>
    </row>
    <row r="118" spans="1:11" x14ac:dyDescent="0.25">
      <c r="A118" s="165" t="s">
        <v>284</v>
      </c>
      <c r="B118" s="165" t="s">
        <v>205</v>
      </c>
      <c r="C118" s="165" t="s">
        <v>206</v>
      </c>
      <c r="D118" s="165" t="s">
        <v>207</v>
      </c>
      <c r="E118" s="165">
        <v>28.86</v>
      </c>
      <c r="F118" s="165"/>
      <c r="G118" s="165" t="s">
        <v>243</v>
      </c>
      <c r="H118" s="165" t="s">
        <v>328</v>
      </c>
      <c r="I118" s="165" t="s">
        <v>206</v>
      </c>
      <c r="J118" s="165" t="s">
        <v>210</v>
      </c>
      <c r="K118" s="165">
        <v>29.38</v>
      </c>
    </row>
    <row r="119" spans="1:11" x14ac:dyDescent="0.25">
      <c r="A119" s="165" t="s">
        <v>284</v>
      </c>
      <c r="B119" s="165" t="s">
        <v>328</v>
      </c>
      <c r="C119" s="165" t="s">
        <v>206</v>
      </c>
      <c r="D119" s="165" t="s">
        <v>210</v>
      </c>
      <c r="E119" s="165">
        <v>29.16</v>
      </c>
      <c r="F119" s="165"/>
      <c r="G119" s="165" t="s">
        <v>244</v>
      </c>
      <c r="H119" s="165" t="s">
        <v>328</v>
      </c>
      <c r="I119" s="165" t="s">
        <v>206</v>
      </c>
      <c r="J119" s="165" t="s">
        <v>210</v>
      </c>
      <c r="K119" s="165">
        <v>29.3</v>
      </c>
    </row>
    <row r="120" spans="1:11" x14ac:dyDescent="0.25">
      <c r="A120" s="165" t="s">
        <v>285</v>
      </c>
      <c r="B120" s="165" t="s">
        <v>205</v>
      </c>
      <c r="C120" s="165" t="s">
        <v>206</v>
      </c>
      <c r="D120" s="165" t="s">
        <v>207</v>
      </c>
      <c r="E120" s="165">
        <v>29.34</v>
      </c>
      <c r="F120" s="165"/>
      <c r="G120" s="165" t="s">
        <v>245</v>
      </c>
      <c r="H120" s="165" t="s">
        <v>328</v>
      </c>
      <c r="I120" s="165" t="s">
        <v>206</v>
      </c>
      <c r="J120" s="165" t="s">
        <v>210</v>
      </c>
      <c r="K120" s="165">
        <v>30.13</v>
      </c>
    </row>
    <row r="121" spans="1:11" x14ac:dyDescent="0.25">
      <c r="A121" s="165" t="s">
        <v>285</v>
      </c>
      <c r="B121" s="165" t="s">
        <v>328</v>
      </c>
      <c r="C121" s="165" t="s">
        <v>206</v>
      </c>
      <c r="D121" s="165" t="s">
        <v>210</v>
      </c>
      <c r="E121" s="165">
        <v>29.4</v>
      </c>
      <c r="F121" s="165"/>
      <c r="G121" s="165" t="s">
        <v>247</v>
      </c>
      <c r="H121" s="165" t="s">
        <v>328</v>
      </c>
      <c r="I121" s="165" t="s">
        <v>206</v>
      </c>
      <c r="J121" s="165" t="s">
        <v>210</v>
      </c>
      <c r="K121" s="165">
        <v>29.75</v>
      </c>
    </row>
    <row r="122" spans="1:11" x14ac:dyDescent="0.25">
      <c r="A122" s="165" t="s">
        <v>286</v>
      </c>
      <c r="B122" s="165" t="s">
        <v>205</v>
      </c>
      <c r="C122" s="165" t="s">
        <v>206</v>
      </c>
      <c r="D122" s="165" t="s">
        <v>207</v>
      </c>
      <c r="E122" s="165">
        <v>33.79</v>
      </c>
      <c r="F122" s="165"/>
      <c r="G122" s="165" t="s">
        <v>248</v>
      </c>
      <c r="H122" s="165" t="s">
        <v>328</v>
      </c>
      <c r="I122" s="165" t="s">
        <v>206</v>
      </c>
      <c r="J122" s="165" t="s">
        <v>210</v>
      </c>
      <c r="K122" s="165">
        <v>33.76</v>
      </c>
    </row>
    <row r="123" spans="1:11" x14ac:dyDescent="0.25">
      <c r="A123" s="165" t="s">
        <v>286</v>
      </c>
      <c r="B123" s="165" t="s">
        <v>328</v>
      </c>
      <c r="C123" s="165" t="s">
        <v>206</v>
      </c>
      <c r="D123" s="165" t="s">
        <v>210</v>
      </c>
      <c r="E123" s="165">
        <v>33.549999999999997</v>
      </c>
      <c r="F123" s="165"/>
      <c r="G123" s="165" t="s">
        <v>249</v>
      </c>
      <c r="H123" s="165" t="s">
        <v>328</v>
      </c>
      <c r="I123" s="165" t="s">
        <v>206</v>
      </c>
      <c r="J123" s="165" t="s">
        <v>210</v>
      </c>
      <c r="K123" s="165">
        <v>33.979999999999997</v>
      </c>
    </row>
    <row r="124" spans="1:11" x14ac:dyDescent="0.25">
      <c r="A124" s="165" t="s">
        <v>287</v>
      </c>
      <c r="B124" s="165" t="s">
        <v>205</v>
      </c>
      <c r="C124" s="165" t="s">
        <v>206</v>
      </c>
      <c r="D124" s="165" t="s">
        <v>207</v>
      </c>
      <c r="E124" s="165">
        <v>33.92</v>
      </c>
      <c r="F124" s="165"/>
      <c r="G124" s="165" t="s">
        <v>250</v>
      </c>
      <c r="H124" s="165" t="s">
        <v>328</v>
      </c>
      <c r="I124" s="165" t="s">
        <v>206</v>
      </c>
      <c r="J124" s="165" t="s">
        <v>210</v>
      </c>
      <c r="K124" s="165">
        <v>34.35</v>
      </c>
    </row>
    <row r="125" spans="1:11" x14ac:dyDescent="0.25">
      <c r="A125" s="165" t="s">
        <v>287</v>
      </c>
      <c r="B125" s="165" t="s">
        <v>328</v>
      </c>
      <c r="C125" s="165" t="s">
        <v>206</v>
      </c>
      <c r="D125" s="165" t="s">
        <v>210</v>
      </c>
      <c r="E125" s="165">
        <v>33.74</v>
      </c>
      <c r="F125" s="165"/>
      <c r="G125" s="165" t="s">
        <v>251</v>
      </c>
      <c r="H125" s="165" t="s">
        <v>328</v>
      </c>
      <c r="I125" s="165" t="s">
        <v>206</v>
      </c>
      <c r="J125" s="165" t="s">
        <v>210</v>
      </c>
      <c r="K125" s="165">
        <v>34.15</v>
      </c>
    </row>
    <row r="126" spans="1:11" x14ac:dyDescent="0.25">
      <c r="A126" s="165" t="s">
        <v>288</v>
      </c>
      <c r="B126" s="165" t="s">
        <v>205</v>
      </c>
      <c r="C126" s="165" t="s">
        <v>206</v>
      </c>
      <c r="D126" s="165" t="s">
        <v>207</v>
      </c>
      <c r="E126" s="165">
        <v>33.909999999999997</v>
      </c>
      <c r="F126" s="165"/>
      <c r="G126" s="165" t="s">
        <v>252</v>
      </c>
      <c r="H126" s="165" t="s">
        <v>328</v>
      </c>
      <c r="I126" s="165" t="s">
        <v>206</v>
      </c>
      <c r="J126" s="165" t="s">
        <v>210</v>
      </c>
      <c r="K126" s="165">
        <v>30.21</v>
      </c>
    </row>
    <row r="127" spans="1:11" x14ac:dyDescent="0.25">
      <c r="A127" s="165" t="s">
        <v>288</v>
      </c>
      <c r="B127" s="165" t="s">
        <v>328</v>
      </c>
      <c r="C127" s="165" t="s">
        <v>206</v>
      </c>
      <c r="D127" s="165" t="s">
        <v>210</v>
      </c>
      <c r="E127" s="165">
        <v>33.700000000000003</v>
      </c>
      <c r="F127" s="165"/>
      <c r="G127" s="165" t="s">
        <v>253</v>
      </c>
      <c r="H127" s="165" t="s">
        <v>328</v>
      </c>
      <c r="I127" s="165" t="s">
        <v>206</v>
      </c>
      <c r="J127" s="165" t="s">
        <v>210</v>
      </c>
      <c r="K127" s="165">
        <v>30</v>
      </c>
    </row>
    <row r="128" spans="1:11" x14ac:dyDescent="0.25">
      <c r="A128" s="165" t="s">
        <v>289</v>
      </c>
      <c r="B128" s="165" t="s">
        <v>205</v>
      </c>
      <c r="C128" s="165" t="s">
        <v>206</v>
      </c>
      <c r="D128" s="165" t="s">
        <v>207</v>
      </c>
      <c r="E128" s="165">
        <v>34.130000000000003</v>
      </c>
      <c r="F128" s="165"/>
      <c r="G128" s="165" t="s">
        <v>254</v>
      </c>
      <c r="H128" s="165" t="s">
        <v>328</v>
      </c>
      <c r="I128" s="165" t="s">
        <v>206</v>
      </c>
      <c r="J128" s="165" t="s">
        <v>210</v>
      </c>
      <c r="K128" s="165">
        <v>30.3</v>
      </c>
    </row>
    <row r="129" spans="1:11" x14ac:dyDescent="0.25">
      <c r="A129" s="165" t="s">
        <v>289</v>
      </c>
      <c r="B129" s="165" t="s">
        <v>328</v>
      </c>
      <c r="C129" s="165" t="s">
        <v>206</v>
      </c>
      <c r="D129" s="165" t="s">
        <v>210</v>
      </c>
      <c r="E129" s="165">
        <v>33.97</v>
      </c>
      <c r="F129" s="165"/>
      <c r="G129" s="165" t="s">
        <v>255</v>
      </c>
      <c r="H129" s="165" t="s">
        <v>328</v>
      </c>
      <c r="I129" s="165" t="s">
        <v>206</v>
      </c>
      <c r="J129" s="165" t="s">
        <v>210</v>
      </c>
      <c r="K129" s="165">
        <v>30.26</v>
      </c>
    </row>
    <row r="130" spans="1:11" x14ac:dyDescent="0.25">
      <c r="A130" s="165" t="s">
        <v>290</v>
      </c>
      <c r="B130" s="165" t="s">
        <v>205</v>
      </c>
      <c r="C130" s="165" t="s">
        <v>206</v>
      </c>
      <c r="D130" s="165" t="s">
        <v>207</v>
      </c>
      <c r="E130" s="165">
        <v>32.659999999999997</v>
      </c>
      <c r="F130" s="165"/>
      <c r="G130" s="165" t="s">
        <v>256</v>
      </c>
      <c r="H130" s="165" t="s">
        <v>328</v>
      </c>
      <c r="I130" s="165" t="s">
        <v>206</v>
      </c>
      <c r="J130" s="165" t="s">
        <v>210</v>
      </c>
      <c r="K130" s="165">
        <v>29.58</v>
      </c>
    </row>
    <row r="131" spans="1:11" x14ac:dyDescent="0.25">
      <c r="A131" s="165" t="s">
        <v>290</v>
      </c>
      <c r="B131" s="165" t="s">
        <v>328</v>
      </c>
      <c r="C131" s="165" t="s">
        <v>206</v>
      </c>
      <c r="D131" s="165" t="s">
        <v>210</v>
      </c>
      <c r="E131" s="165">
        <v>30.3</v>
      </c>
      <c r="F131" s="165"/>
      <c r="G131" s="165" t="s">
        <v>257</v>
      </c>
      <c r="H131" s="165" t="s">
        <v>328</v>
      </c>
      <c r="I131" s="165" t="s">
        <v>206</v>
      </c>
      <c r="J131" s="165" t="s">
        <v>210</v>
      </c>
      <c r="K131" s="165">
        <v>29.25</v>
      </c>
    </row>
    <row r="132" spans="1:11" x14ac:dyDescent="0.25">
      <c r="A132" s="165" t="s">
        <v>291</v>
      </c>
      <c r="B132" s="165" t="s">
        <v>205</v>
      </c>
      <c r="C132" s="165" t="s">
        <v>206</v>
      </c>
      <c r="D132" s="165" t="s">
        <v>207</v>
      </c>
      <c r="E132" s="165">
        <v>32.58</v>
      </c>
      <c r="F132" s="165"/>
      <c r="G132" s="165" t="s">
        <v>258</v>
      </c>
      <c r="H132" s="165" t="s">
        <v>328</v>
      </c>
      <c r="I132" s="165" t="s">
        <v>206</v>
      </c>
      <c r="J132" s="165" t="s">
        <v>210</v>
      </c>
      <c r="K132" s="165">
        <v>28.96</v>
      </c>
    </row>
    <row r="133" spans="1:11" x14ac:dyDescent="0.25">
      <c r="A133" s="165" t="s">
        <v>291</v>
      </c>
      <c r="B133" s="165" t="s">
        <v>328</v>
      </c>
      <c r="C133" s="165" t="s">
        <v>206</v>
      </c>
      <c r="D133" s="165" t="s">
        <v>210</v>
      </c>
      <c r="E133" s="165">
        <v>30</v>
      </c>
      <c r="F133" s="165"/>
      <c r="G133" s="165" t="s">
        <v>259</v>
      </c>
      <c r="H133" s="165" t="s">
        <v>328</v>
      </c>
      <c r="I133" s="165" t="s">
        <v>206</v>
      </c>
      <c r="J133" s="165" t="s">
        <v>210</v>
      </c>
      <c r="K133" s="165">
        <v>29.1</v>
      </c>
    </row>
    <row r="134" spans="1:11" x14ac:dyDescent="0.25">
      <c r="A134" s="165" t="s">
        <v>292</v>
      </c>
      <c r="B134" s="165" t="s">
        <v>205</v>
      </c>
      <c r="C134" s="165" t="s">
        <v>206</v>
      </c>
      <c r="D134" s="165" t="s">
        <v>207</v>
      </c>
      <c r="E134" s="165">
        <v>33</v>
      </c>
      <c r="F134" s="165"/>
      <c r="G134" s="165" t="s">
        <v>260</v>
      </c>
      <c r="H134" s="165" t="s">
        <v>328</v>
      </c>
      <c r="I134" s="165" t="s">
        <v>206</v>
      </c>
      <c r="J134" s="165" t="s">
        <v>210</v>
      </c>
      <c r="K134" s="165">
        <v>33.47</v>
      </c>
    </row>
    <row r="135" spans="1:11" x14ac:dyDescent="0.25">
      <c r="A135" s="165" t="s">
        <v>292</v>
      </c>
      <c r="B135" s="165" t="s">
        <v>328</v>
      </c>
      <c r="C135" s="165" t="s">
        <v>206</v>
      </c>
      <c r="D135" s="165" t="s">
        <v>210</v>
      </c>
      <c r="E135" s="165">
        <v>30.41</v>
      </c>
      <c r="F135" s="165"/>
      <c r="G135" s="165" t="s">
        <v>261</v>
      </c>
      <c r="H135" s="165" t="s">
        <v>328</v>
      </c>
      <c r="I135" s="165" t="s">
        <v>206</v>
      </c>
      <c r="J135" s="165" t="s">
        <v>210</v>
      </c>
      <c r="K135" s="165">
        <v>33.64</v>
      </c>
    </row>
    <row r="136" spans="1:11" x14ac:dyDescent="0.25">
      <c r="A136" s="165" t="s">
        <v>293</v>
      </c>
      <c r="B136" s="165" t="s">
        <v>205</v>
      </c>
      <c r="C136" s="165" t="s">
        <v>206</v>
      </c>
      <c r="D136" s="165" t="s">
        <v>207</v>
      </c>
      <c r="E136" s="165">
        <v>32.799999999999997</v>
      </c>
      <c r="F136" s="165"/>
      <c r="G136" s="165" t="s">
        <v>262</v>
      </c>
      <c r="H136" s="165" t="s">
        <v>328</v>
      </c>
      <c r="I136" s="165" t="s">
        <v>206</v>
      </c>
      <c r="J136" s="165" t="s">
        <v>210</v>
      </c>
      <c r="K136" s="165">
        <v>33.81</v>
      </c>
    </row>
    <row r="137" spans="1:11" x14ac:dyDescent="0.25">
      <c r="A137" s="165" t="s">
        <v>293</v>
      </c>
      <c r="B137" s="165" t="s">
        <v>328</v>
      </c>
      <c r="C137" s="165" t="s">
        <v>206</v>
      </c>
      <c r="D137" s="165" t="s">
        <v>210</v>
      </c>
      <c r="E137" s="165">
        <v>30.35</v>
      </c>
      <c r="F137" s="165"/>
      <c r="G137" s="165" t="s">
        <v>263</v>
      </c>
      <c r="H137" s="165" t="s">
        <v>328</v>
      </c>
      <c r="I137" s="165" t="s">
        <v>206</v>
      </c>
      <c r="J137" s="165" t="s">
        <v>210</v>
      </c>
      <c r="K137" s="165">
        <v>34.409999999999997</v>
      </c>
    </row>
    <row r="138" spans="1:11" x14ac:dyDescent="0.25">
      <c r="A138" s="165" t="s">
        <v>294</v>
      </c>
      <c r="B138" s="165" t="s">
        <v>205</v>
      </c>
      <c r="C138" s="165" t="s">
        <v>206</v>
      </c>
      <c r="D138" s="165" t="s">
        <v>207</v>
      </c>
      <c r="E138" s="165">
        <v>30.67</v>
      </c>
      <c r="F138" s="165"/>
      <c r="G138" s="165" t="s">
        <v>264</v>
      </c>
      <c r="H138" s="165" t="s">
        <v>328</v>
      </c>
      <c r="I138" s="165" t="s">
        <v>206</v>
      </c>
      <c r="J138" s="165" t="s">
        <v>210</v>
      </c>
      <c r="K138" s="165">
        <v>29.79</v>
      </c>
    </row>
    <row r="139" spans="1:11" x14ac:dyDescent="0.25">
      <c r="A139" s="165" t="s">
        <v>294</v>
      </c>
      <c r="B139" s="165" t="s">
        <v>328</v>
      </c>
      <c r="C139" s="165" t="s">
        <v>206</v>
      </c>
      <c r="D139" s="165" t="s">
        <v>210</v>
      </c>
      <c r="E139" s="165">
        <v>30.82</v>
      </c>
      <c r="F139" s="165"/>
      <c r="G139" s="165" t="s">
        <v>265</v>
      </c>
      <c r="H139" s="165" t="s">
        <v>328</v>
      </c>
      <c r="I139" s="165" t="s">
        <v>206</v>
      </c>
      <c r="J139" s="165" t="s">
        <v>210</v>
      </c>
      <c r="K139" s="165">
        <v>30.27</v>
      </c>
    </row>
    <row r="140" spans="1:11" x14ac:dyDescent="0.25">
      <c r="A140" s="165" t="s">
        <v>295</v>
      </c>
      <c r="B140" s="165" t="s">
        <v>205</v>
      </c>
      <c r="C140" s="165" t="s">
        <v>206</v>
      </c>
      <c r="D140" s="165" t="s">
        <v>207</v>
      </c>
      <c r="E140" s="165">
        <v>29.76</v>
      </c>
      <c r="F140" s="165"/>
      <c r="G140" s="165" t="s">
        <v>266</v>
      </c>
      <c r="H140" s="165" t="s">
        <v>328</v>
      </c>
      <c r="I140" s="165" t="s">
        <v>206</v>
      </c>
      <c r="J140" s="165" t="s">
        <v>210</v>
      </c>
      <c r="K140" s="165">
        <v>30.21</v>
      </c>
    </row>
    <row r="141" spans="1:11" x14ac:dyDescent="0.25">
      <c r="A141" s="165" t="s">
        <v>295</v>
      </c>
      <c r="B141" s="165" t="s">
        <v>328</v>
      </c>
      <c r="C141" s="165" t="s">
        <v>206</v>
      </c>
      <c r="D141" s="165" t="s">
        <v>210</v>
      </c>
      <c r="E141" s="165">
        <v>29.9</v>
      </c>
      <c r="F141" s="165"/>
      <c r="G141" s="165" t="s">
        <v>267</v>
      </c>
      <c r="H141" s="165" t="s">
        <v>328</v>
      </c>
      <c r="I141" s="165" t="s">
        <v>206</v>
      </c>
      <c r="J141" s="165" t="s">
        <v>210</v>
      </c>
      <c r="K141" s="165">
        <v>30.37</v>
      </c>
    </row>
    <row r="142" spans="1:11" x14ac:dyDescent="0.25">
      <c r="A142" s="165" t="s">
        <v>296</v>
      </c>
      <c r="B142" s="165" t="s">
        <v>205</v>
      </c>
      <c r="C142" s="165" t="s">
        <v>206</v>
      </c>
      <c r="D142" s="165" t="s">
        <v>207</v>
      </c>
      <c r="E142" s="165">
        <v>30.36</v>
      </c>
      <c r="F142" s="165"/>
      <c r="G142" s="165" t="s">
        <v>268</v>
      </c>
      <c r="H142" s="165" t="s">
        <v>328</v>
      </c>
      <c r="I142" s="165" t="s">
        <v>206</v>
      </c>
      <c r="J142" s="165" t="s">
        <v>210</v>
      </c>
      <c r="K142" s="165">
        <v>28.62</v>
      </c>
    </row>
    <row r="143" spans="1:11" x14ac:dyDescent="0.25">
      <c r="A143" s="165" t="s">
        <v>296</v>
      </c>
      <c r="B143" s="165" t="s">
        <v>328</v>
      </c>
      <c r="C143" s="165" t="s">
        <v>206</v>
      </c>
      <c r="D143" s="165" t="s">
        <v>210</v>
      </c>
      <c r="E143" s="165">
        <v>30.03</v>
      </c>
      <c r="F143" s="165"/>
      <c r="G143" s="165" t="s">
        <v>270</v>
      </c>
      <c r="H143" s="165" t="s">
        <v>328</v>
      </c>
      <c r="I143" s="165" t="s">
        <v>206</v>
      </c>
      <c r="J143" s="165" t="s">
        <v>210</v>
      </c>
      <c r="K143" s="165">
        <v>28.95</v>
      </c>
    </row>
    <row r="144" spans="1:11" x14ac:dyDescent="0.25">
      <c r="A144" s="165" t="s">
        <v>297</v>
      </c>
      <c r="B144" s="165" t="s">
        <v>205</v>
      </c>
      <c r="C144" s="165" t="s">
        <v>206</v>
      </c>
      <c r="D144" s="165" t="s">
        <v>207</v>
      </c>
      <c r="E144" s="165">
        <v>30.06</v>
      </c>
      <c r="F144" s="165"/>
      <c r="G144" s="165" t="s">
        <v>272</v>
      </c>
      <c r="H144" s="165" t="s">
        <v>328</v>
      </c>
      <c r="I144" s="165" t="s">
        <v>206</v>
      </c>
      <c r="J144" s="165" t="s">
        <v>210</v>
      </c>
      <c r="K144" s="165">
        <v>29.31</v>
      </c>
    </row>
    <row r="145" spans="1:11" x14ac:dyDescent="0.25">
      <c r="A145" s="165" t="s">
        <v>297</v>
      </c>
      <c r="B145" s="165" t="s">
        <v>328</v>
      </c>
      <c r="C145" s="165" t="s">
        <v>206</v>
      </c>
      <c r="D145" s="165" t="s">
        <v>210</v>
      </c>
      <c r="E145" s="165">
        <v>30.02</v>
      </c>
      <c r="F145" s="165"/>
      <c r="G145" s="165" t="s">
        <v>273</v>
      </c>
      <c r="H145" s="165" t="s">
        <v>328</v>
      </c>
      <c r="I145" s="165" t="s">
        <v>206</v>
      </c>
      <c r="J145" s="165" t="s">
        <v>210</v>
      </c>
      <c r="K145" s="165">
        <v>29.08</v>
      </c>
    </row>
    <row r="146" spans="1:11" x14ac:dyDescent="0.25">
      <c r="A146" s="165" t="s">
        <v>298</v>
      </c>
      <c r="B146" s="165" t="s">
        <v>205</v>
      </c>
      <c r="C146" s="165" t="s">
        <v>569</v>
      </c>
      <c r="D146" s="165" t="s">
        <v>207</v>
      </c>
      <c r="E146" s="165">
        <v>30.46</v>
      </c>
      <c r="F146" s="165"/>
      <c r="G146" s="165" t="s">
        <v>274</v>
      </c>
      <c r="H146" s="165" t="s">
        <v>328</v>
      </c>
      <c r="I146" s="165" t="s">
        <v>206</v>
      </c>
      <c r="J146" s="165" t="s">
        <v>210</v>
      </c>
      <c r="K146" s="165">
        <v>32.54</v>
      </c>
    </row>
    <row r="147" spans="1:11" x14ac:dyDescent="0.25">
      <c r="A147" s="165" t="s">
        <v>298</v>
      </c>
      <c r="B147" s="165" t="s">
        <v>328</v>
      </c>
      <c r="C147" s="165" t="s">
        <v>206</v>
      </c>
      <c r="D147" s="165" t="s">
        <v>210</v>
      </c>
      <c r="E147" s="165">
        <v>28.27</v>
      </c>
      <c r="F147" s="165"/>
      <c r="G147" s="165" t="s">
        <v>275</v>
      </c>
      <c r="H147" s="165" t="s">
        <v>328</v>
      </c>
      <c r="I147" s="165" t="s">
        <v>206</v>
      </c>
      <c r="J147" s="165" t="s">
        <v>210</v>
      </c>
      <c r="K147" s="165">
        <v>33.67</v>
      </c>
    </row>
    <row r="148" spans="1:11" x14ac:dyDescent="0.25">
      <c r="A148" s="165" t="s">
        <v>299</v>
      </c>
      <c r="B148" s="165" t="s">
        <v>205</v>
      </c>
      <c r="C148" s="165" t="s">
        <v>569</v>
      </c>
      <c r="D148" s="165" t="s">
        <v>207</v>
      </c>
      <c r="E148" s="165">
        <v>30.42</v>
      </c>
      <c r="F148" s="165"/>
      <c r="G148" s="165" t="s">
        <v>276</v>
      </c>
      <c r="H148" s="165" t="s">
        <v>328</v>
      </c>
      <c r="I148" s="165" t="s">
        <v>206</v>
      </c>
      <c r="J148" s="165" t="s">
        <v>210</v>
      </c>
      <c r="K148" s="165">
        <v>33.950000000000003</v>
      </c>
    </row>
    <row r="149" spans="1:11" x14ac:dyDescent="0.25">
      <c r="A149" s="165" t="s">
        <v>299</v>
      </c>
      <c r="B149" s="165" t="s">
        <v>328</v>
      </c>
      <c r="C149" s="165" t="s">
        <v>206</v>
      </c>
      <c r="D149" s="165" t="s">
        <v>210</v>
      </c>
      <c r="E149" s="165">
        <v>28.37</v>
      </c>
      <c r="F149" s="165"/>
      <c r="G149" s="165" t="s">
        <v>277</v>
      </c>
      <c r="H149" s="165" t="s">
        <v>328</v>
      </c>
      <c r="I149" s="165" t="s">
        <v>206</v>
      </c>
      <c r="J149" s="165" t="s">
        <v>210</v>
      </c>
      <c r="K149" s="165">
        <v>34.01</v>
      </c>
    </row>
    <row r="150" spans="1:11" x14ac:dyDescent="0.25">
      <c r="A150" s="165" t="s">
        <v>300</v>
      </c>
      <c r="B150" s="165" t="s">
        <v>205</v>
      </c>
      <c r="C150" s="165" t="s">
        <v>569</v>
      </c>
      <c r="D150" s="165" t="s">
        <v>207</v>
      </c>
      <c r="E150" s="165">
        <v>29.66</v>
      </c>
      <c r="F150" s="165"/>
      <c r="G150" s="165" t="s">
        <v>278</v>
      </c>
      <c r="H150" s="165" t="s">
        <v>328</v>
      </c>
      <c r="I150" s="165" t="s">
        <v>206</v>
      </c>
      <c r="J150" s="165" t="s">
        <v>210</v>
      </c>
      <c r="K150" s="165">
        <v>30.19</v>
      </c>
    </row>
    <row r="151" spans="1:11" x14ac:dyDescent="0.25">
      <c r="A151" s="165" t="s">
        <v>300</v>
      </c>
      <c r="B151" s="165" t="s">
        <v>328</v>
      </c>
      <c r="C151" s="165" t="s">
        <v>206</v>
      </c>
      <c r="D151" s="165" t="s">
        <v>210</v>
      </c>
      <c r="E151" s="165">
        <v>28.5</v>
      </c>
      <c r="F151" s="165"/>
      <c r="G151" s="165" t="s">
        <v>279</v>
      </c>
      <c r="H151" s="165" t="s">
        <v>328</v>
      </c>
      <c r="I151" s="165" t="s">
        <v>206</v>
      </c>
      <c r="J151" s="165" t="s">
        <v>210</v>
      </c>
      <c r="K151" s="165">
        <v>30.3</v>
      </c>
    </row>
    <row r="152" spans="1:11" x14ac:dyDescent="0.25">
      <c r="A152" s="165" t="s">
        <v>301</v>
      </c>
      <c r="B152" s="165" t="s">
        <v>205</v>
      </c>
      <c r="C152" s="165" t="s">
        <v>569</v>
      </c>
      <c r="D152" s="165" t="s">
        <v>207</v>
      </c>
      <c r="E152" s="165">
        <v>34.549999999999997</v>
      </c>
      <c r="F152" s="165"/>
      <c r="G152" s="165" t="s">
        <v>280</v>
      </c>
      <c r="H152" s="165" t="s">
        <v>328</v>
      </c>
      <c r="I152" s="165" t="s">
        <v>206</v>
      </c>
      <c r="J152" s="165" t="s">
        <v>210</v>
      </c>
      <c r="K152" s="165">
        <v>30.47</v>
      </c>
    </row>
    <row r="153" spans="1:11" x14ac:dyDescent="0.25">
      <c r="A153" s="165" t="s">
        <v>301</v>
      </c>
      <c r="B153" s="165" t="s">
        <v>328</v>
      </c>
      <c r="C153" s="165" t="s">
        <v>206</v>
      </c>
      <c r="D153" s="165" t="s">
        <v>210</v>
      </c>
      <c r="E153" s="165">
        <v>29.06</v>
      </c>
      <c r="F153" s="165"/>
      <c r="G153" s="165" t="s">
        <v>281</v>
      </c>
      <c r="H153" s="165" t="s">
        <v>328</v>
      </c>
      <c r="I153" s="165" t="s">
        <v>206</v>
      </c>
      <c r="J153" s="165" t="s">
        <v>210</v>
      </c>
      <c r="K153" s="165">
        <v>30.24</v>
      </c>
    </row>
    <row r="154" spans="1:11" x14ac:dyDescent="0.25">
      <c r="A154" s="165" t="s">
        <v>302</v>
      </c>
      <c r="B154" s="165" t="s">
        <v>205</v>
      </c>
      <c r="C154" s="165" t="s">
        <v>569</v>
      </c>
      <c r="D154" s="165" t="s">
        <v>207</v>
      </c>
      <c r="E154" s="165">
        <v>36.24</v>
      </c>
      <c r="F154" s="165"/>
      <c r="G154" s="165" t="s">
        <v>282</v>
      </c>
      <c r="H154" s="165" t="s">
        <v>328</v>
      </c>
      <c r="I154" s="165" t="s">
        <v>206</v>
      </c>
      <c r="J154" s="165" t="s">
        <v>210</v>
      </c>
      <c r="K154" s="165">
        <v>29.62</v>
      </c>
    </row>
    <row r="155" spans="1:11" x14ac:dyDescent="0.25">
      <c r="A155" s="165" t="s">
        <v>302</v>
      </c>
      <c r="B155" s="165" t="s">
        <v>328</v>
      </c>
      <c r="C155" s="165" t="s">
        <v>206</v>
      </c>
      <c r="D155" s="165" t="s">
        <v>210</v>
      </c>
      <c r="E155" s="165">
        <v>29.41</v>
      </c>
      <c r="F155" s="165"/>
      <c r="G155" s="165" t="s">
        <v>283</v>
      </c>
      <c r="H155" s="165" t="s">
        <v>328</v>
      </c>
      <c r="I155" s="165" t="s">
        <v>206</v>
      </c>
      <c r="J155" s="165" t="s">
        <v>210</v>
      </c>
      <c r="K155" s="165">
        <v>29.12</v>
      </c>
    </row>
    <row r="156" spans="1:11" x14ac:dyDescent="0.25">
      <c r="A156" s="165" t="s">
        <v>303</v>
      </c>
      <c r="B156" s="165" t="s">
        <v>205</v>
      </c>
      <c r="C156" s="165" t="s">
        <v>569</v>
      </c>
      <c r="D156" s="165" t="s">
        <v>207</v>
      </c>
      <c r="E156" s="165">
        <v>33.35</v>
      </c>
      <c r="F156" s="165"/>
      <c r="G156" s="165" t="s">
        <v>284</v>
      </c>
      <c r="H156" s="165" t="s">
        <v>328</v>
      </c>
      <c r="I156" s="165" t="s">
        <v>206</v>
      </c>
      <c r="J156" s="165" t="s">
        <v>210</v>
      </c>
      <c r="K156" s="165">
        <v>29.16</v>
      </c>
    </row>
    <row r="157" spans="1:11" x14ac:dyDescent="0.25">
      <c r="A157" s="165" t="s">
        <v>303</v>
      </c>
      <c r="B157" s="165" t="s">
        <v>328</v>
      </c>
      <c r="C157" s="165" t="s">
        <v>206</v>
      </c>
      <c r="D157" s="165" t="s">
        <v>210</v>
      </c>
      <c r="E157" s="165">
        <v>29.45</v>
      </c>
      <c r="F157" s="165"/>
      <c r="G157" s="165" t="s">
        <v>285</v>
      </c>
      <c r="H157" s="165" t="s">
        <v>328</v>
      </c>
      <c r="I157" s="165" t="s">
        <v>206</v>
      </c>
      <c r="J157" s="165" t="s">
        <v>210</v>
      </c>
      <c r="K157" s="165">
        <v>29.4</v>
      </c>
    </row>
    <row r="158" spans="1:11" x14ac:dyDescent="0.25">
      <c r="A158" s="165" t="s">
        <v>304</v>
      </c>
      <c r="B158" s="165" t="s">
        <v>205</v>
      </c>
      <c r="C158" s="165" t="s">
        <v>569</v>
      </c>
      <c r="D158" s="165" t="s">
        <v>207</v>
      </c>
      <c r="E158" s="165">
        <v>39.18</v>
      </c>
      <c r="F158" s="165"/>
      <c r="G158" s="165" t="s">
        <v>286</v>
      </c>
      <c r="H158" s="165" t="s">
        <v>328</v>
      </c>
      <c r="I158" s="165" t="s">
        <v>206</v>
      </c>
      <c r="J158" s="165" t="s">
        <v>210</v>
      </c>
      <c r="K158" s="165">
        <v>33.549999999999997</v>
      </c>
    </row>
    <row r="159" spans="1:11" x14ac:dyDescent="0.25">
      <c r="A159" s="165" t="s">
        <v>304</v>
      </c>
      <c r="B159" s="165" t="s">
        <v>328</v>
      </c>
      <c r="C159" s="165" t="s">
        <v>206</v>
      </c>
      <c r="D159" s="165" t="s">
        <v>210</v>
      </c>
      <c r="E159" s="165">
        <v>29</v>
      </c>
      <c r="F159" s="165"/>
      <c r="G159" s="165" t="s">
        <v>287</v>
      </c>
      <c r="H159" s="165" t="s">
        <v>328</v>
      </c>
      <c r="I159" s="165" t="s">
        <v>206</v>
      </c>
      <c r="J159" s="165" t="s">
        <v>210</v>
      </c>
      <c r="K159" s="165">
        <v>33.74</v>
      </c>
    </row>
    <row r="160" spans="1:11" x14ac:dyDescent="0.25">
      <c r="A160" s="165" t="s">
        <v>305</v>
      </c>
      <c r="B160" s="165" t="s">
        <v>205</v>
      </c>
      <c r="C160" s="165" t="s">
        <v>569</v>
      </c>
      <c r="D160" s="165" t="s">
        <v>207</v>
      </c>
      <c r="E160" s="165">
        <v>39</v>
      </c>
      <c r="F160" s="165"/>
      <c r="G160" s="165" t="s">
        <v>288</v>
      </c>
      <c r="H160" s="165" t="s">
        <v>328</v>
      </c>
      <c r="I160" s="165" t="s">
        <v>206</v>
      </c>
      <c r="J160" s="165" t="s">
        <v>210</v>
      </c>
      <c r="K160" s="165">
        <v>33.700000000000003</v>
      </c>
    </row>
    <row r="161" spans="1:11" x14ac:dyDescent="0.25">
      <c r="A161" s="165" t="s">
        <v>305</v>
      </c>
      <c r="B161" s="165" t="s">
        <v>328</v>
      </c>
      <c r="C161" s="165" t="s">
        <v>206</v>
      </c>
      <c r="D161" s="165" t="s">
        <v>210</v>
      </c>
      <c r="E161" s="165">
        <v>29.04</v>
      </c>
      <c r="F161" s="165"/>
      <c r="G161" s="165" t="s">
        <v>289</v>
      </c>
      <c r="H161" s="165" t="s">
        <v>328</v>
      </c>
      <c r="I161" s="165" t="s">
        <v>206</v>
      </c>
      <c r="J161" s="165" t="s">
        <v>210</v>
      </c>
      <c r="K161" s="165">
        <v>33.97</v>
      </c>
    </row>
    <row r="162" spans="1:11" x14ac:dyDescent="0.25">
      <c r="A162" s="165" t="s">
        <v>306</v>
      </c>
      <c r="B162" s="165" t="s">
        <v>205</v>
      </c>
      <c r="C162" s="165" t="s">
        <v>569</v>
      </c>
      <c r="D162" s="165" t="s">
        <v>207</v>
      </c>
      <c r="E162" s="165">
        <v>39.299999999999997</v>
      </c>
      <c r="F162" s="165"/>
      <c r="G162" s="165" t="s">
        <v>290</v>
      </c>
      <c r="H162" s="165" t="s">
        <v>328</v>
      </c>
      <c r="I162" s="165" t="s">
        <v>206</v>
      </c>
      <c r="J162" s="165" t="s">
        <v>210</v>
      </c>
      <c r="K162" s="165">
        <v>30.3</v>
      </c>
    </row>
    <row r="163" spans="1:11" x14ac:dyDescent="0.25">
      <c r="A163" s="165" t="s">
        <v>306</v>
      </c>
      <c r="B163" s="165" t="s">
        <v>328</v>
      </c>
      <c r="C163" s="165" t="s">
        <v>206</v>
      </c>
      <c r="D163" s="165" t="s">
        <v>210</v>
      </c>
      <c r="E163" s="165">
        <v>29.22</v>
      </c>
      <c r="F163" s="165"/>
      <c r="G163" s="165" t="s">
        <v>291</v>
      </c>
      <c r="H163" s="165" t="s">
        <v>328</v>
      </c>
      <c r="I163" s="165" t="s">
        <v>206</v>
      </c>
      <c r="J163" s="165" t="s">
        <v>210</v>
      </c>
      <c r="K163" s="165">
        <v>30</v>
      </c>
    </row>
    <row r="164" spans="1:11" x14ac:dyDescent="0.25">
      <c r="A164" s="165" t="s">
        <v>307</v>
      </c>
      <c r="B164" s="165" t="s">
        <v>205</v>
      </c>
      <c r="C164" s="165" t="s">
        <v>569</v>
      </c>
      <c r="D164" s="165" t="s">
        <v>207</v>
      </c>
      <c r="E164" s="165">
        <v>40.43</v>
      </c>
      <c r="F164" s="165"/>
      <c r="G164" s="165" t="s">
        <v>292</v>
      </c>
      <c r="H164" s="165" t="s">
        <v>328</v>
      </c>
      <c r="I164" s="165" t="s">
        <v>206</v>
      </c>
      <c r="J164" s="165" t="s">
        <v>210</v>
      </c>
      <c r="K164" s="165">
        <v>30.41</v>
      </c>
    </row>
    <row r="165" spans="1:11" x14ac:dyDescent="0.25">
      <c r="A165" s="165" t="s">
        <v>307</v>
      </c>
      <c r="B165" s="165" t="s">
        <v>328</v>
      </c>
      <c r="C165" s="165" t="s">
        <v>206</v>
      </c>
      <c r="D165" s="165" t="s">
        <v>210</v>
      </c>
      <c r="E165" s="165">
        <v>28.91</v>
      </c>
      <c r="F165" s="165"/>
      <c r="G165" s="165" t="s">
        <v>293</v>
      </c>
      <c r="H165" s="165" t="s">
        <v>328</v>
      </c>
      <c r="I165" s="165" t="s">
        <v>206</v>
      </c>
      <c r="J165" s="165" t="s">
        <v>210</v>
      </c>
      <c r="K165" s="165">
        <v>30.35</v>
      </c>
    </row>
    <row r="166" spans="1:11" x14ac:dyDescent="0.25">
      <c r="A166" s="165" t="s">
        <v>308</v>
      </c>
      <c r="B166" s="165" t="s">
        <v>205</v>
      </c>
      <c r="C166" s="165" t="s">
        <v>569</v>
      </c>
      <c r="D166" s="165" t="s">
        <v>207</v>
      </c>
      <c r="E166" s="165">
        <v>40.93</v>
      </c>
      <c r="F166" s="165"/>
      <c r="G166" s="165" t="s">
        <v>294</v>
      </c>
      <c r="H166" s="165" t="s">
        <v>328</v>
      </c>
      <c r="I166" s="165" t="s">
        <v>206</v>
      </c>
      <c r="J166" s="165" t="s">
        <v>210</v>
      </c>
      <c r="K166" s="165">
        <v>30.82</v>
      </c>
    </row>
    <row r="167" spans="1:11" x14ac:dyDescent="0.25">
      <c r="A167" s="165" t="s">
        <v>308</v>
      </c>
      <c r="B167" s="165" t="s">
        <v>328</v>
      </c>
      <c r="C167" s="165" t="s">
        <v>206</v>
      </c>
      <c r="D167" s="165" t="s">
        <v>210</v>
      </c>
      <c r="E167" s="165">
        <v>29.33</v>
      </c>
      <c r="F167" s="165"/>
      <c r="G167" s="165" t="s">
        <v>295</v>
      </c>
      <c r="H167" s="165" t="s">
        <v>328</v>
      </c>
      <c r="I167" s="165" t="s">
        <v>206</v>
      </c>
      <c r="J167" s="165" t="s">
        <v>210</v>
      </c>
      <c r="K167" s="165">
        <v>29.9</v>
      </c>
    </row>
    <row r="168" spans="1:11" x14ac:dyDescent="0.25">
      <c r="A168" s="165" t="s">
        <v>309</v>
      </c>
      <c r="B168" s="165" t="s">
        <v>205</v>
      </c>
      <c r="C168" s="165" t="s">
        <v>569</v>
      </c>
      <c r="D168" s="165" t="s">
        <v>207</v>
      </c>
      <c r="E168" s="165">
        <v>40.380000000000003</v>
      </c>
      <c r="F168" s="165"/>
      <c r="G168" s="165" t="s">
        <v>296</v>
      </c>
      <c r="H168" s="165" t="s">
        <v>328</v>
      </c>
      <c r="I168" s="165" t="s">
        <v>206</v>
      </c>
      <c r="J168" s="165" t="s">
        <v>210</v>
      </c>
      <c r="K168" s="165">
        <v>30.03</v>
      </c>
    </row>
    <row r="169" spans="1:11" x14ac:dyDescent="0.25">
      <c r="A169" s="165" t="s">
        <v>309</v>
      </c>
      <c r="B169" s="165" t="s">
        <v>328</v>
      </c>
      <c r="C169" s="165" t="s">
        <v>206</v>
      </c>
      <c r="D169" s="165" t="s">
        <v>210</v>
      </c>
      <c r="E169" s="165">
        <v>29.68</v>
      </c>
      <c r="F169" s="165"/>
      <c r="G169" s="165" t="s">
        <v>297</v>
      </c>
      <c r="H169" s="165" t="s">
        <v>328</v>
      </c>
      <c r="I169" s="165" t="s">
        <v>206</v>
      </c>
      <c r="J169" s="165" t="s">
        <v>210</v>
      </c>
      <c r="K169" s="165">
        <v>30.02</v>
      </c>
    </row>
    <row r="170" spans="1:11" x14ac:dyDescent="0.25">
      <c r="A170" s="165" t="s">
        <v>310</v>
      </c>
      <c r="B170" s="165" t="s">
        <v>205</v>
      </c>
      <c r="C170" s="165" t="s">
        <v>569</v>
      </c>
      <c r="D170" s="165" t="s">
        <v>207</v>
      </c>
      <c r="E170" s="165">
        <v>41.39</v>
      </c>
      <c r="F170" s="165"/>
      <c r="G170" s="165" t="s">
        <v>298</v>
      </c>
      <c r="H170" s="165" t="s">
        <v>328</v>
      </c>
      <c r="I170" s="165" t="s">
        <v>206</v>
      </c>
      <c r="J170" s="165" t="s">
        <v>210</v>
      </c>
      <c r="K170" s="165">
        <v>28.27</v>
      </c>
    </row>
    <row r="171" spans="1:11" x14ac:dyDescent="0.25">
      <c r="A171" s="165" t="s">
        <v>310</v>
      </c>
      <c r="B171" s="165" t="s">
        <v>328</v>
      </c>
      <c r="C171" s="165" t="s">
        <v>206</v>
      </c>
      <c r="D171" s="165" t="s">
        <v>210</v>
      </c>
      <c r="E171" s="165">
        <v>29.11</v>
      </c>
      <c r="F171" s="165"/>
      <c r="G171" s="165" t="s">
        <v>299</v>
      </c>
      <c r="H171" s="165" t="s">
        <v>328</v>
      </c>
      <c r="I171" s="165" t="s">
        <v>206</v>
      </c>
      <c r="J171" s="165" t="s">
        <v>210</v>
      </c>
      <c r="K171" s="165">
        <v>28.37</v>
      </c>
    </row>
    <row r="172" spans="1:11" x14ac:dyDescent="0.25">
      <c r="A172" s="165" t="s">
        <v>311</v>
      </c>
      <c r="B172" s="165" t="s">
        <v>205</v>
      </c>
      <c r="C172" s="165" t="s">
        <v>569</v>
      </c>
      <c r="D172" s="165" t="s">
        <v>207</v>
      </c>
      <c r="E172" s="165">
        <v>41.15</v>
      </c>
      <c r="F172" s="165"/>
      <c r="G172" s="165" t="s">
        <v>300</v>
      </c>
      <c r="H172" s="165" t="s">
        <v>328</v>
      </c>
      <c r="I172" s="165" t="s">
        <v>206</v>
      </c>
      <c r="J172" s="165" t="s">
        <v>210</v>
      </c>
      <c r="K172" s="165">
        <v>28.5</v>
      </c>
    </row>
    <row r="173" spans="1:11" x14ac:dyDescent="0.25">
      <c r="A173" s="165" t="s">
        <v>311</v>
      </c>
      <c r="B173" s="165" t="s">
        <v>328</v>
      </c>
      <c r="C173" s="165" t="s">
        <v>206</v>
      </c>
      <c r="D173" s="165" t="s">
        <v>210</v>
      </c>
      <c r="E173" s="165">
        <v>29.23</v>
      </c>
      <c r="F173" s="165"/>
      <c r="G173" s="165" t="s">
        <v>301</v>
      </c>
      <c r="H173" s="165" t="s">
        <v>328</v>
      </c>
      <c r="I173" s="165" t="s">
        <v>206</v>
      </c>
      <c r="J173" s="165" t="s">
        <v>210</v>
      </c>
      <c r="K173" s="165">
        <v>29.06</v>
      </c>
    </row>
    <row r="174" spans="1:11" x14ac:dyDescent="0.25">
      <c r="A174" s="165" t="s">
        <v>312</v>
      </c>
      <c r="B174" s="165" t="s">
        <v>205</v>
      </c>
      <c r="C174" s="165" t="s">
        <v>569</v>
      </c>
      <c r="D174" s="165" t="s">
        <v>207</v>
      </c>
      <c r="E174" s="165">
        <v>42</v>
      </c>
      <c r="F174" s="165"/>
      <c r="G174" s="165" t="s">
        <v>302</v>
      </c>
      <c r="H174" s="165" t="s">
        <v>328</v>
      </c>
      <c r="I174" s="165" t="s">
        <v>206</v>
      </c>
      <c r="J174" s="165" t="s">
        <v>210</v>
      </c>
      <c r="K174" s="165">
        <v>29.41</v>
      </c>
    </row>
    <row r="175" spans="1:11" x14ac:dyDescent="0.25">
      <c r="A175" s="165" t="s">
        <v>312</v>
      </c>
      <c r="B175" s="165" t="s">
        <v>328</v>
      </c>
      <c r="C175" s="165" t="s">
        <v>206</v>
      </c>
      <c r="D175" s="165" t="s">
        <v>210</v>
      </c>
      <c r="E175" s="165">
        <v>29.28</v>
      </c>
      <c r="F175" s="165"/>
      <c r="G175" s="165" t="s">
        <v>303</v>
      </c>
      <c r="H175" s="165" t="s">
        <v>328</v>
      </c>
      <c r="I175" s="165" t="s">
        <v>206</v>
      </c>
      <c r="J175" s="165" t="s">
        <v>210</v>
      </c>
      <c r="K175" s="165">
        <v>29.45</v>
      </c>
    </row>
    <row r="176" spans="1:11" x14ac:dyDescent="0.25">
      <c r="A176" s="165" t="s">
        <v>313</v>
      </c>
      <c r="B176" s="165" t="s">
        <v>205</v>
      </c>
      <c r="C176" s="165" t="s">
        <v>569</v>
      </c>
      <c r="D176" s="165" t="s">
        <v>207</v>
      </c>
      <c r="E176" s="165">
        <v>42.56</v>
      </c>
      <c r="F176" s="165"/>
      <c r="G176" s="165" t="s">
        <v>304</v>
      </c>
      <c r="H176" s="165" t="s">
        <v>328</v>
      </c>
      <c r="I176" s="165" t="s">
        <v>206</v>
      </c>
      <c r="J176" s="165" t="s">
        <v>210</v>
      </c>
      <c r="K176" s="165">
        <v>29</v>
      </c>
    </row>
    <row r="177" spans="1:11" x14ac:dyDescent="0.25">
      <c r="A177" s="165" t="s">
        <v>313</v>
      </c>
      <c r="B177" s="165" t="s">
        <v>328</v>
      </c>
      <c r="C177" s="165" t="s">
        <v>206</v>
      </c>
      <c r="D177" s="165" t="s">
        <v>210</v>
      </c>
      <c r="E177" s="165">
        <v>29.2</v>
      </c>
      <c r="F177" s="165"/>
      <c r="G177" s="165" t="s">
        <v>305</v>
      </c>
      <c r="H177" s="165" t="s">
        <v>328</v>
      </c>
      <c r="I177" s="165" t="s">
        <v>206</v>
      </c>
      <c r="J177" s="165" t="s">
        <v>210</v>
      </c>
      <c r="K177" s="165">
        <v>29.04</v>
      </c>
    </row>
    <row r="178" spans="1:11" x14ac:dyDescent="0.25">
      <c r="A178" s="165" t="s">
        <v>314</v>
      </c>
      <c r="B178" s="165" t="s">
        <v>205</v>
      </c>
      <c r="C178" s="165" t="s">
        <v>569</v>
      </c>
      <c r="D178" s="165" t="s">
        <v>207</v>
      </c>
      <c r="E178" s="165">
        <v>42.54</v>
      </c>
      <c r="F178" s="165"/>
      <c r="G178" s="165" t="s">
        <v>306</v>
      </c>
      <c r="H178" s="165" t="s">
        <v>328</v>
      </c>
      <c r="I178" s="165" t="s">
        <v>206</v>
      </c>
      <c r="J178" s="165" t="s">
        <v>210</v>
      </c>
      <c r="K178" s="165">
        <v>29.22</v>
      </c>
    </row>
    <row r="179" spans="1:11" x14ac:dyDescent="0.25">
      <c r="A179" s="165" t="s">
        <v>314</v>
      </c>
      <c r="B179" s="165" t="s">
        <v>328</v>
      </c>
      <c r="C179" s="165" t="s">
        <v>206</v>
      </c>
      <c r="D179" s="165" t="s">
        <v>210</v>
      </c>
      <c r="E179" s="165">
        <v>29.31</v>
      </c>
      <c r="F179" s="165"/>
      <c r="G179" s="165" t="s">
        <v>307</v>
      </c>
      <c r="H179" s="165" t="s">
        <v>328</v>
      </c>
      <c r="I179" s="165" t="s">
        <v>206</v>
      </c>
      <c r="J179" s="165" t="s">
        <v>210</v>
      </c>
      <c r="K179" s="165">
        <v>28.91</v>
      </c>
    </row>
    <row r="180" spans="1:11" x14ac:dyDescent="0.25">
      <c r="A180" s="165" t="s">
        <v>315</v>
      </c>
      <c r="B180" s="165" t="s">
        <v>205</v>
      </c>
      <c r="C180" s="165" t="s">
        <v>569</v>
      </c>
      <c r="D180" s="165" t="s">
        <v>207</v>
      </c>
      <c r="E180" s="165">
        <v>42.4</v>
      </c>
      <c r="F180" s="165"/>
      <c r="G180" s="165" t="s">
        <v>308</v>
      </c>
      <c r="H180" s="165" t="s">
        <v>328</v>
      </c>
      <c r="I180" s="165" t="s">
        <v>206</v>
      </c>
      <c r="J180" s="165" t="s">
        <v>210</v>
      </c>
      <c r="K180" s="165">
        <v>29.33</v>
      </c>
    </row>
    <row r="181" spans="1:11" x14ac:dyDescent="0.25">
      <c r="A181" s="165" t="s">
        <v>315</v>
      </c>
      <c r="B181" s="165" t="s">
        <v>328</v>
      </c>
      <c r="C181" s="165" t="s">
        <v>206</v>
      </c>
      <c r="D181" s="165" t="s">
        <v>210</v>
      </c>
      <c r="E181" s="165">
        <v>29.36</v>
      </c>
      <c r="F181" s="165"/>
      <c r="G181" s="165" t="s">
        <v>309</v>
      </c>
      <c r="H181" s="165" t="s">
        <v>328</v>
      </c>
      <c r="I181" s="165" t="s">
        <v>206</v>
      </c>
      <c r="J181" s="165" t="s">
        <v>210</v>
      </c>
      <c r="K181" s="165">
        <v>29.68</v>
      </c>
    </row>
    <row r="182" spans="1:11" x14ac:dyDescent="0.25">
      <c r="A182" s="165" t="s">
        <v>316</v>
      </c>
      <c r="B182" s="165" t="s">
        <v>205</v>
      </c>
      <c r="C182" s="165" t="s">
        <v>569</v>
      </c>
      <c r="D182" s="165" t="s">
        <v>207</v>
      </c>
      <c r="E182" s="165" t="s">
        <v>220</v>
      </c>
      <c r="F182" s="165"/>
      <c r="G182" s="165" t="s">
        <v>310</v>
      </c>
      <c r="H182" s="165" t="s">
        <v>328</v>
      </c>
      <c r="I182" s="165" t="s">
        <v>206</v>
      </c>
      <c r="J182" s="165" t="s">
        <v>210</v>
      </c>
      <c r="K182" s="165">
        <v>29.11</v>
      </c>
    </row>
    <row r="183" spans="1:11" x14ac:dyDescent="0.25">
      <c r="A183" s="165" t="s">
        <v>316</v>
      </c>
      <c r="B183" s="165" t="s">
        <v>328</v>
      </c>
      <c r="C183" s="165" t="s">
        <v>206</v>
      </c>
      <c r="D183" s="165" t="s">
        <v>210</v>
      </c>
      <c r="E183" s="165">
        <v>28.94</v>
      </c>
      <c r="F183" s="165"/>
      <c r="G183" s="165" t="s">
        <v>311</v>
      </c>
      <c r="H183" s="165" t="s">
        <v>328</v>
      </c>
      <c r="I183" s="165" t="s">
        <v>206</v>
      </c>
      <c r="J183" s="165" t="s">
        <v>210</v>
      </c>
      <c r="K183" s="165">
        <v>29.23</v>
      </c>
    </row>
    <row r="184" spans="1:11" x14ac:dyDescent="0.25">
      <c r="A184" s="165" t="s">
        <v>317</v>
      </c>
      <c r="B184" s="165" t="s">
        <v>205</v>
      </c>
      <c r="C184" s="165" t="s">
        <v>569</v>
      </c>
      <c r="D184" s="165" t="s">
        <v>207</v>
      </c>
      <c r="E184" s="165">
        <v>44.38</v>
      </c>
      <c r="F184" s="165"/>
      <c r="G184" s="165" t="s">
        <v>312</v>
      </c>
      <c r="H184" s="165" t="s">
        <v>328</v>
      </c>
      <c r="I184" s="165" t="s">
        <v>206</v>
      </c>
      <c r="J184" s="165" t="s">
        <v>210</v>
      </c>
      <c r="K184" s="165">
        <v>29.28</v>
      </c>
    </row>
    <row r="185" spans="1:11" x14ac:dyDescent="0.25">
      <c r="A185" s="165" t="s">
        <v>317</v>
      </c>
      <c r="B185" s="165" t="s">
        <v>328</v>
      </c>
      <c r="C185" s="165" t="s">
        <v>206</v>
      </c>
      <c r="D185" s="165" t="s">
        <v>210</v>
      </c>
      <c r="E185" s="165">
        <v>29.11</v>
      </c>
      <c r="F185" s="165"/>
      <c r="G185" s="165" t="s">
        <v>313</v>
      </c>
      <c r="H185" s="165" t="s">
        <v>328</v>
      </c>
      <c r="I185" s="165" t="s">
        <v>206</v>
      </c>
      <c r="J185" s="165" t="s">
        <v>210</v>
      </c>
      <c r="K185" s="165">
        <v>29.2</v>
      </c>
    </row>
    <row r="186" spans="1:11" x14ac:dyDescent="0.25">
      <c r="A186" s="165" t="s">
        <v>318</v>
      </c>
      <c r="B186" s="165" t="s">
        <v>205</v>
      </c>
      <c r="C186" s="165" t="s">
        <v>569</v>
      </c>
      <c r="D186" s="165" t="s">
        <v>207</v>
      </c>
      <c r="E186" s="165" t="s">
        <v>220</v>
      </c>
      <c r="F186" s="165"/>
      <c r="G186" s="165" t="s">
        <v>314</v>
      </c>
      <c r="H186" s="165" t="s">
        <v>328</v>
      </c>
      <c r="I186" s="165" t="s">
        <v>206</v>
      </c>
      <c r="J186" s="165" t="s">
        <v>210</v>
      </c>
      <c r="K186" s="165">
        <v>29.31</v>
      </c>
    </row>
    <row r="187" spans="1:11" x14ac:dyDescent="0.25">
      <c r="A187" s="165" t="s">
        <v>318</v>
      </c>
      <c r="B187" s="165" t="s">
        <v>328</v>
      </c>
      <c r="C187" s="165" t="s">
        <v>206</v>
      </c>
      <c r="D187" s="165" t="s">
        <v>210</v>
      </c>
      <c r="E187" s="165">
        <v>29.67</v>
      </c>
      <c r="F187" s="165"/>
      <c r="G187" s="165" t="s">
        <v>315</v>
      </c>
      <c r="H187" s="165" t="s">
        <v>328</v>
      </c>
      <c r="I187" s="165" t="s">
        <v>206</v>
      </c>
      <c r="J187" s="165" t="s">
        <v>210</v>
      </c>
      <c r="K187" s="165">
        <v>29.36</v>
      </c>
    </row>
    <row r="188" spans="1:11" x14ac:dyDescent="0.25">
      <c r="A188" s="165" t="s">
        <v>319</v>
      </c>
      <c r="B188" s="165" t="s">
        <v>205</v>
      </c>
      <c r="C188" s="165" t="s">
        <v>320</v>
      </c>
      <c r="D188" s="165" t="s">
        <v>207</v>
      </c>
      <c r="E188" s="165" t="s">
        <v>220</v>
      </c>
      <c r="F188" s="165"/>
      <c r="G188" s="165" t="s">
        <v>316</v>
      </c>
      <c r="H188" s="165" t="s">
        <v>328</v>
      </c>
      <c r="I188" s="165" t="s">
        <v>206</v>
      </c>
      <c r="J188" s="165" t="s">
        <v>210</v>
      </c>
      <c r="K188" s="165">
        <v>28.94</v>
      </c>
    </row>
    <row r="189" spans="1:11" x14ac:dyDescent="0.25">
      <c r="A189" s="165" t="s">
        <v>319</v>
      </c>
      <c r="B189" s="165" t="s">
        <v>328</v>
      </c>
      <c r="C189" s="165" t="s">
        <v>206</v>
      </c>
      <c r="D189" s="165" t="s">
        <v>210</v>
      </c>
      <c r="E189" s="165">
        <v>29.2</v>
      </c>
      <c r="F189" s="165"/>
      <c r="G189" s="165" t="s">
        <v>317</v>
      </c>
      <c r="H189" s="165" t="s">
        <v>328</v>
      </c>
      <c r="I189" s="165" t="s">
        <v>206</v>
      </c>
      <c r="J189" s="165" t="s">
        <v>210</v>
      </c>
      <c r="K189" s="165">
        <v>29.11</v>
      </c>
    </row>
    <row r="190" spans="1:11" x14ac:dyDescent="0.25">
      <c r="A190" s="165" t="s">
        <v>321</v>
      </c>
      <c r="B190" s="165" t="s">
        <v>205</v>
      </c>
      <c r="C190" s="165" t="s">
        <v>320</v>
      </c>
      <c r="D190" s="165" t="s">
        <v>207</v>
      </c>
      <c r="E190" s="165" t="s">
        <v>220</v>
      </c>
      <c r="F190" s="165"/>
      <c r="G190" s="165" t="s">
        <v>318</v>
      </c>
      <c r="H190" s="165" t="s">
        <v>328</v>
      </c>
      <c r="I190" s="165" t="s">
        <v>206</v>
      </c>
      <c r="J190" s="165" t="s">
        <v>210</v>
      </c>
      <c r="K190" s="165">
        <v>29.67</v>
      </c>
    </row>
    <row r="191" spans="1:11" x14ac:dyDescent="0.25">
      <c r="A191" s="165" t="s">
        <v>321</v>
      </c>
      <c r="B191" s="165" t="s">
        <v>328</v>
      </c>
      <c r="C191" s="165" t="s">
        <v>206</v>
      </c>
      <c r="D191" s="165" t="s">
        <v>210</v>
      </c>
      <c r="E191" s="165">
        <v>29.24</v>
      </c>
      <c r="F191" s="165"/>
      <c r="G191" s="165" t="s">
        <v>319</v>
      </c>
      <c r="H191" s="165" t="s">
        <v>328</v>
      </c>
      <c r="I191" s="165" t="s">
        <v>206</v>
      </c>
      <c r="J191" s="165" t="s">
        <v>210</v>
      </c>
      <c r="K191" s="165">
        <v>29.2</v>
      </c>
    </row>
    <row r="192" spans="1:11" x14ac:dyDescent="0.25">
      <c r="A192" s="165" t="s">
        <v>322</v>
      </c>
      <c r="B192" s="165" t="s">
        <v>205</v>
      </c>
      <c r="C192" s="165" t="s">
        <v>320</v>
      </c>
      <c r="D192" s="165" t="s">
        <v>207</v>
      </c>
      <c r="E192" s="165" t="s">
        <v>220</v>
      </c>
      <c r="F192" s="165"/>
      <c r="G192" s="165" t="s">
        <v>321</v>
      </c>
      <c r="H192" s="165" t="s">
        <v>328</v>
      </c>
      <c r="I192" s="165" t="s">
        <v>206</v>
      </c>
      <c r="J192" s="165" t="s">
        <v>210</v>
      </c>
      <c r="K192" s="165">
        <v>29.24</v>
      </c>
    </row>
    <row r="193" spans="1:11" x14ac:dyDescent="0.25">
      <c r="A193" s="165" t="s">
        <v>322</v>
      </c>
      <c r="B193" s="165" t="s">
        <v>328</v>
      </c>
      <c r="C193" s="165" t="s">
        <v>206</v>
      </c>
      <c r="D193" s="165" t="s">
        <v>210</v>
      </c>
      <c r="E193" s="165">
        <v>29.36</v>
      </c>
      <c r="F193" s="165"/>
      <c r="G193" s="165" t="s">
        <v>322</v>
      </c>
      <c r="H193" s="165" t="s">
        <v>328</v>
      </c>
      <c r="I193" s="165" t="s">
        <v>206</v>
      </c>
      <c r="J193" s="165" t="s">
        <v>210</v>
      </c>
      <c r="K193" s="165">
        <v>29.36</v>
      </c>
    </row>
  </sheetData>
  <sortState xmlns:xlrd2="http://schemas.microsoft.com/office/spreadsheetml/2017/richdata2" ref="V2:AA19">
    <sortCondition ref="V2:V19"/>
    <sortCondition ref="W2:W19"/>
  </sortState>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513DF-A472-4BB0-9042-4409FAAF90CF}">
  <sheetPr codeName="Sheet11">
    <pageSetUpPr fitToPage="1"/>
  </sheetPr>
  <dimension ref="A1:AO194"/>
  <sheetViews>
    <sheetView topLeftCell="D1" zoomScale="70" zoomScaleNormal="70" workbookViewId="0">
      <selection activeCell="N54" sqref="N54"/>
    </sheetView>
  </sheetViews>
  <sheetFormatPr defaultRowHeight="15" x14ac:dyDescent="0.25"/>
  <cols>
    <col min="1" max="10" width="9.140625" style="26"/>
    <col min="12" max="12" width="9.140625" style="26"/>
    <col min="15" max="15" width="9.140625" style="26"/>
    <col min="27" max="27" width="11.42578125" bestFit="1" customWidth="1"/>
    <col min="28" max="28" width="11.7109375" bestFit="1" customWidth="1"/>
    <col min="29" max="29" width="11.42578125" bestFit="1" customWidth="1"/>
    <col min="30" max="30" width="11.7109375" bestFit="1" customWidth="1"/>
  </cols>
  <sheetData>
    <row r="1" spans="1:33" s="26" customFormat="1" ht="45" x14ac:dyDescent="0.35">
      <c r="A1" s="313" t="s">
        <v>728</v>
      </c>
      <c r="B1" s="314"/>
      <c r="C1" s="314"/>
      <c r="D1" s="314"/>
      <c r="E1" s="315"/>
      <c r="F1" s="316" t="s">
        <v>729</v>
      </c>
      <c r="G1" s="316"/>
      <c r="H1" s="316"/>
      <c r="I1" s="316"/>
      <c r="J1" s="316"/>
      <c r="K1" s="165" t="s">
        <v>198</v>
      </c>
      <c r="L1" s="42" t="s">
        <v>730</v>
      </c>
      <c r="M1" s="42" t="s">
        <v>731</v>
      </c>
      <c r="N1" s="42" t="s">
        <v>732</v>
      </c>
      <c r="O1" s="165" t="s">
        <v>733</v>
      </c>
      <c r="P1" s="110" t="s">
        <v>734</v>
      </c>
      <c r="Q1" s="110" t="s">
        <v>735</v>
      </c>
      <c r="R1" s="165"/>
      <c r="S1" s="165"/>
      <c r="T1" s="165" t="s">
        <v>554</v>
      </c>
      <c r="U1" s="90" t="s">
        <v>20</v>
      </c>
      <c r="V1" s="90" t="s">
        <v>21</v>
      </c>
      <c r="W1" s="90" t="s">
        <v>22</v>
      </c>
      <c r="X1" s="90" t="s">
        <v>23</v>
      </c>
      <c r="Y1" s="90" t="s">
        <v>25</v>
      </c>
      <c r="Z1" s="90" t="s">
        <v>736</v>
      </c>
      <c r="AA1" s="165" t="s">
        <v>731</v>
      </c>
      <c r="AB1" s="165" t="s">
        <v>732</v>
      </c>
      <c r="AC1" s="90" t="s">
        <v>737</v>
      </c>
      <c r="AD1" s="165" t="s">
        <v>734</v>
      </c>
      <c r="AE1" s="165" t="s">
        <v>735</v>
      </c>
      <c r="AF1" s="90" t="s">
        <v>737</v>
      </c>
      <c r="AG1" s="165" t="s">
        <v>738</v>
      </c>
    </row>
    <row r="2" spans="1:33" x14ac:dyDescent="0.25">
      <c r="A2" s="105" t="s">
        <v>198</v>
      </c>
      <c r="B2" s="115" t="s">
        <v>199</v>
      </c>
      <c r="C2" s="115" t="s">
        <v>200</v>
      </c>
      <c r="D2" s="115" t="s">
        <v>201</v>
      </c>
      <c r="E2" s="42" t="s">
        <v>202</v>
      </c>
      <c r="F2" s="165" t="s">
        <v>198</v>
      </c>
      <c r="G2" s="165" t="s">
        <v>199</v>
      </c>
      <c r="H2" s="165" t="s">
        <v>200</v>
      </c>
      <c r="I2" s="165" t="s">
        <v>201</v>
      </c>
      <c r="J2" s="165" t="s">
        <v>202</v>
      </c>
      <c r="K2" s="165" t="s">
        <v>204</v>
      </c>
      <c r="L2" s="42">
        <v>32.85</v>
      </c>
      <c r="M2" s="165">
        <f>AVERAGE(L3:L13)</f>
        <v>33.06454545454546</v>
      </c>
      <c r="N2" s="165">
        <f>STDEV(L3:L13)</f>
        <v>0.11527043301416395</v>
      </c>
      <c r="O2" s="165">
        <v>24.52</v>
      </c>
      <c r="P2" s="165">
        <f>AVERAGE(O3:O13)</f>
        <v>24.914545454545454</v>
      </c>
      <c r="Q2" s="165">
        <f>STDEV(O3:O13)</f>
        <v>9.0262244195857919E-2</v>
      </c>
      <c r="R2" s="165"/>
      <c r="S2" s="165"/>
      <c r="T2" s="165" t="s">
        <v>557</v>
      </c>
      <c r="U2" s="89" t="s">
        <v>30</v>
      </c>
      <c r="V2" s="84">
        <v>0.1</v>
      </c>
      <c r="W2" s="165">
        <v>100000</v>
      </c>
      <c r="X2" s="89">
        <v>60220000000000.008</v>
      </c>
      <c r="Y2" s="89">
        <v>120440000000.00002</v>
      </c>
      <c r="Z2" s="165">
        <f>LOG(Y2)</f>
        <v>11.080770746840722</v>
      </c>
      <c r="AA2" s="84">
        <v>33.06454545454546</v>
      </c>
      <c r="AB2" s="84">
        <v>0.11527043301416395</v>
      </c>
      <c r="AC2" s="165">
        <f>2*AB2</f>
        <v>0.23054086602832791</v>
      </c>
      <c r="AD2" s="84">
        <v>24.914545454545454</v>
      </c>
      <c r="AE2" s="84">
        <v>9.0262244195857919E-2</v>
      </c>
      <c r="AF2" s="165">
        <f>2*AE2</f>
        <v>0.18052448839171584</v>
      </c>
      <c r="AG2" s="84">
        <f>AD2-AA2</f>
        <v>-8.1500000000000057</v>
      </c>
    </row>
    <row r="3" spans="1:33" x14ac:dyDescent="0.25">
      <c r="A3" s="105" t="s">
        <v>204</v>
      </c>
      <c r="B3" s="115" t="s">
        <v>205</v>
      </c>
      <c r="C3" s="115" t="s">
        <v>206</v>
      </c>
      <c r="D3" s="115" t="s">
        <v>207</v>
      </c>
      <c r="E3" s="42">
        <v>32.85</v>
      </c>
      <c r="F3" s="165" t="s">
        <v>204</v>
      </c>
      <c r="G3" s="165" t="s">
        <v>205</v>
      </c>
      <c r="H3" s="165" t="s">
        <v>206</v>
      </c>
      <c r="I3" s="165" t="s">
        <v>207</v>
      </c>
      <c r="J3" s="165">
        <v>24.52</v>
      </c>
      <c r="K3" s="165" t="s">
        <v>211</v>
      </c>
      <c r="L3" s="42">
        <v>33.07</v>
      </c>
      <c r="M3" s="165"/>
      <c r="N3" s="165"/>
      <c r="O3" s="165">
        <v>24.99</v>
      </c>
      <c r="P3" s="165"/>
      <c r="Q3" s="165"/>
      <c r="R3" s="165"/>
      <c r="S3" s="165"/>
      <c r="T3" s="165" t="s">
        <v>558</v>
      </c>
      <c r="U3" s="165" t="s">
        <v>31</v>
      </c>
      <c r="V3" s="165">
        <v>0.01</v>
      </c>
      <c r="W3" s="165">
        <v>10000</v>
      </c>
      <c r="X3" s="89">
        <v>6022000000000.001</v>
      </c>
      <c r="Y3" s="89">
        <v>12044000000.000002</v>
      </c>
      <c r="Z3" s="165">
        <f t="shared" ref="Z3:Z8" si="0">LOG(Y3)</f>
        <v>10.080770746840722</v>
      </c>
      <c r="AA3" s="84">
        <v>37.22</v>
      </c>
      <c r="AB3" s="84">
        <v>0.3048606238922969</v>
      </c>
      <c r="AC3" s="165">
        <f>2*AB3</f>
        <v>0.6097212477845938</v>
      </c>
      <c r="AD3" s="84">
        <v>29.482727272727274</v>
      </c>
      <c r="AE3" s="84">
        <v>0.39240517094174282</v>
      </c>
      <c r="AF3" s="165">
        <f t="shared" ref="AF3:AF5" si="1">2*AE3</f>
        <v>0.78481034188348564</v>
      </c>
      <c r="AG3" s="84">
        <f t="shared" ref="AG3:AG4" si="2">AD3-AA3</f>
        <v>-7.7372727272727246</v>
      </c>
    </row>
    <row r="4" spans="1:33" x14ac:dyDescent="0.25">
      <c r="A4" s="105" t="s">
        <v>211</v>
      </c>
      <c r="B4" s="115" t="s">
        <v>205</v>
      </c>
      <c r="C4" s="115" t="s">
        <v>206</v>
      </c>
      <c r="D4" s="115" t="s">
        <v>207</v>
      </c>
      <c r="E4" s="42">
        <v>33.07</v>
      </c>
      <c r="F4" s="165" t="s">
        <v>211</v>
      </c>
      <c r="G4" s="165" t="s">
        <v>205</v>
      </c>
      <c r="H4" s="165" t="s">
        <v>206</v>
      </c>
      <c r="I4" s="165" t="s">
        <v>207</v>
      </c>
      <c r="J4" s="165">
        <v>24.99</v>
      </c>
      <c r="K4" s="165" t="s">
        <v>212</v>
      </c>
      <c r="L4" s="42">
        <v>33.11</v>
      </c>
      <c r="M4" s="165"/>
      <c r="N4" s="165"/>
      <c r="O4" s="165">
        <v>24.96</v>
      </c>
      <c r="P4" s="165"/>
      <c r="Q4" s="165"/>
      <c r="R4" s="165"/>
      <c r="S4" s="165"/>
      <c r="T4" s="165" t="s">
        <v>559</v>
      </c>
      <c r="U4" s="165" t="s">
        <v>560</v>
      </c>
      <c r="V4" s="165">
        <v>5.0000000000000001E-3</v>
      </c>
      <c r="W4" s="165">
        <v>5000</v>
      </c>
      <c r="X4" s="89">
        <v>3011000000000.0005</v>
      </c>
      <c r="Y4" s="89">
        <v>6022000000.000001</v>
      </c>
      <c r="Z4" s="165">
        <f t="shared" si="0"/>
        <v>9.7797407511767407</v>
      </c>
      <c r="AA4" s="84">
        <v>39.158888888888889</v>
      </c>
      <c r="AB4" s="84">
        <v>0.55777335102271774</v>
      </c>
      <c r="AC4" s="165">
        <f>2*AB4</f>
        <v>1.1155467020454355</v>
      </c>
      <c r="AD4" s="84">
        <v>31.443636363636358</v>
      </c>
      <c r="AE4" s="84">
        <v>0.24299270471653017</v>
      </c>
      <c r="AF4" s="165">
        <f t="shared" si="1"/>
        <v>0.48598540943306034</v>
      </c>
      <c r="AG4" s="84">
        <f t="shared" si="2"/>
        <v>-7.7152525252525308</v>
      </c>
    </row>
    <row r="5" spans="1:33" x14ac:dyDescent="0.25">
      <c r="A5" s="105" t="s">
        <v>212</v>
      </c>
      <c r="B5" s="115" t="s">
        <v>205</v>
      </c>
      <c r="C5" s="115" t="s">
        <v>206</v>
      </c>
      <c r="D5" s="115" t="s">
        <v>207</v>
      </c>
      <c r="E5" s="42">
        <v>33.11</v>
      </c>
      <c r="F5" s="165" t="s">
        <v>212</v>
      </c>
      <c r="G5" s="165" t="s">
        <v>205</v>
      </c>
      <c r="H5" s="165" t="s">
        <v>206</v>
      </c>
      <c r="I5" s="165" t="s">
        <v>207</v>
      </c>
      <c r="J5" s="165">
        <v>24.96</v>
      </c>
      <c r="K5" s="165" t="s">
        <v>213</v>
      </c>
      <c r="L5" s="42">
        <v>33.130000000000003</v>
      </c>
      <c r="M5" s="165"/>
      <c r="N5" s="165"/>
      <c r="O5" s="165">
        <v>24.88</v>
      </c>
      <c r="P5" s="165"/>
      <c r="Q5" s="165"/>
      <c r="R5" s="165"/>
      <c r="S5" s="165"/>
      <c r="T5" s="165" t="s">
        <v>561</v>
      </c>
      <c r="U5" s="165" t="s">
        <v>562</v>
      </c>
      <c r="V5" s="165">
        <v>2.5000000000000001E-3</v>
      </c>
      <c r="W5" s="165">
        <v>2500</v>
      </c>
      <c r="X5" s="89">
        <v>1505500000000.0002</v>
      </c>
      <c r="Y5" s="89">
        <v>3011000000.0000005</v>
      </c>
      <c r="Z5" s="165">
        <f t="shared" si="0"/>
        <v>9.4787107555127594</v>
      </c>
      <c r="AA5" s="84"/>
      <c r="AB5" s="84"/>
      <c r="AC5" s="165">
        <f>2*AB5</f>
        <v>0</v>
      </c>
      <c r="AD5" s="84">
        <v>35.337272727272726</v>
      </c>
      <c r="AE5" s="84">
        <v>0.94022434460176507</v>
      </c>
      <c r="AF5" s="165">
        <f t="shared" si="1"/>
        <v>1.8804486892035301</v>
      </c>
      <c r="AG5" s="84"/>
    </row>
    <row r="6" spans="1:33" x14ac:dyDescent="0.25">
      <c r="A6" s="105" t="s">
        <v>213</v>
      </c>
      <c r="B6" s="115" t="s">
        <v>205</v>
      </c>
      <c r="C6" s="115" t="s">
        <v>206</v>
      </c>
      <c r="D6" s="115" t="s">
        <v>207</v>
      </c>
      <c r="E6" s="42">
        <v>33.130000000000003</v>
      </c>
      <c r="F6" s="165" t="s">
        <v>213</v>
      </c>
      <c r="G6" s="165" t="s">
        <v>205</v>
      </c>
      <c r="H6" s="165" t="s">
        <v>206</v>
      </c>
      <c r="I6" s="165" t="s">
        <v>207</v>
      </c>
      <c r="J6" s="165">
        <v>24.88</v>
      </c>
      <c r="K6" s="165" t="s">
        <v>214</v>
      </c>
      <c r="L6" s="42">
        <v>33.06</v>
      </c>
      <c r="M6" s="165"/>
      <c r="N6" s="165"/>
      <c r="O6" s="165">
        <v>24.93</v>
      </c>
      <c r="P6" s="165"/>
      <c r="Q6" s="165"/>
      <c r="R6" s="165"/>
      <c r="S6" s="165"/>
      <c r="T6" s="165" t="s">
        <v>563</v>
      </c>
      <c r="U6" s="165" t="s">
        <v>564</v>
      </c>
      <c r="V6" s="165">
        <v>1.25E-3</v>
      </c>
      <c r="W6" s="165">
        <v>1250</v>
      </c>
      <c r="X6" s="89">
        <v>752750000000.00012</v>
      </c>
      <c r="Y6" s="89">
        <v>1505500000.0000002</v>
      </c>
      <c r="Z6" s="165">
        <f t="shared" si="0"/>
        <v>9.1776807598487782</v>
      </c>
      <c r="AA6" s="165"/>
      <c r="AB6" s="165"/>
      <c r="AC6" s="165"/>
      <c r="AD6" s="165"/>
      <c r="AE6" s="165"/>
      <c r="AF6" s="165"/>
      <c r="AG6" s="165"/>
    </row>
    <row r="7" spans="1:33" x14ac:dyDescent="0.25">
      <c r="A7" s="105" t="s">
        <v>214</v>
      </c>
      <c r="B7" s="115" t="s">
        <v>205</v>
      </c>
      <c r="C7" s="115" t="s">
        <v>206</v>
      </c>
      <c r="D7" s="115" t="s">
        <v>207</v>
      </c>
      <c r="E7" s="42">
        <v>33.06</v>
      </c>
      <c r="F7" s="165" t="s">
        <v>214</v>
      </c>
      <c r="G7" s="165" t="s">
        <v>205</v>
      </c>
      <c r="H7" s="165" t="s">
        <v>206</v>
      </c>
      <c r="I7" s="165" t="s">
        <v>207</v>
      </c>
      <c r="J7" s="165">
        <v>24.93</v>
      </c>
      <c r="K7" s="165" t="s">
        <v>215</v>
      </c>
      <c r="L7" s="42">
        <v>32.94</v>
      </c>
      <c r="M7" s="165"/>
      <c r="N7" s="165"/>
      <c r="O7" s="165">
        <v>24.83</v>
      </c>
      <c r="P7" s="165"/>
      <c r="Q7" s="165"/>
      <c r="R7" s="165"/>
      <c r="S7" s="165"/>
      <c r="T7" s="165" t="s">
        <v>565</v>
      </c>
      <c r="U7" s="165" t="s">
        <v>32</v>
      </c>
      <c r="V7" s="165">
        <v>1E-3</v>
      </c>
      <c r="W7" s="165">
        <v>1000</v>
      </c>
      <c r="X7" s="89">
        <v>602200000000.00012</v>
      </c>
      <c r="Y7" s="89">
        <v>1204400000.0000002</v>
      </c>
      <c r="Z7" s="165">
        <f t="shared" si="0"/>
        <v>9.0807707468407219</v>
      </c>
      <c r="AA7" s="165"/>
      <c r="AB7" s="165"/>
      <c r="AC7" s="165"/>
      <c r="AD7" s="165"/>
      <c r="AE7" s="165"/>
      <c r="AF7" s="165" t="s">
        <v>595</v>
      </c>
      <c r="AG7" s="84">
        <f>AD5+AF5</f>
        <v>37.217721416476259</v>
      </c>
    </row>
    <row r="8" spans="1:33" x14ac:dyDescent="0.25">
      <c r="A8" s="105" t="s">
        <v>215</v>
      </c>
      <c r="B8" s="115" t="s">
        <v>205</v>
      </c>
      <c r="C8" s="115" t="s">
        <v>206</v>
      </c>
      <c r="D8" s="115" t="s">
        <v>207</v>
      </c>
      <c r="E8" s="42">
        <v>32.94</v>
      </c>
      <c r="F8" s="165" t="s">
        <v>215</v>
      </c>
      <c r="G8" s="165" t="s">
        <v>205</v>
      </c>
      <c r="H8" s="165" t="s">
        <v>206</v>
      </c>
      <c r="I8" s="165" t="s">
        <v>207</v>
      </c>
      <c r="J8" s="165">
        <v>24.83</v>
      </c>
      <c r="K8" s="165" t="s">
        <v>216</v>
      </c>
      <c r="L8" s="42">
        <v>33.29</v>
      </c>
      <c r="M8" s="165"/>
      <c r="N8" s="165"/>
      <c r="O8" s="165">
        <v>25.13</v>
      </c>
      <c r="P8" s="165"/>
      <c r="Q8" s="165"/>
      <c r="R8" s="165"/>
      <c r="S8" s="165"/>
      <c r="T8" s="165" t="s">
        <v>566</v>
      </c>
      <c r="U8" s="165" t="s">
        <v>33</v>
      </c>
      <c r="V8" s="165">
        <v>1E-4</v>
      </c>
      <c r="W8" s="165">
        <v>100</v>
      </c>
      <c r="X8" s="89">
        <v>301100000000.00006</v>
      </c>
      <c r="Y8" s="89">
        <v>602200000.00000012</v>
      </c>
      <c r="Z8" s="165">
        <f t="shared" si="0"/>
        <v>8.7797407511767407</v>
      </c>
      <c r="AA8" s="165"/>
      <c r="AB8" s="165"/>
      <c r="AC8" s="165"/>
      <c r="AD8" s="165"/>
      <c r="AE8" s="165"/>
      <c r="AF8" s="165" t="s">
        <v>593</v>
      </c>
      <c r="AG8" s="84">
        <f>AD5-AF5</f>
        <v>33.456824038069193</v>
      </c>
    </row>
    <row r="9" spans="1:33" x14ac:dyDescent="0.25">
      <c r="A9" s="105" t="s">
        <v>216</v>
      </c>
      <c r="B9" s="115" t="s">
        <v>205</v>
      </c>
      <c r="C9" s="115" t="s">
        <v>206</v>
      </c>
      <c r="D9" s="115" t="s">
        <v>207</v>
      </c>
      <c r="E9" s="42">
        <v>33.29</v>
      </c>
      <c r="F9" s="165" t="s">
        <v>216</v>
      </c>
      <c r="G9" s="165" t="s">
        <v>205</v>
      </c>
      <c r="H9" s="165" t="s">
        <v>206</v>
      </c>
      <c r="I9" s="165" t="s">
        <v>207</v>
      </c>
      <c r="J9" s="165">
        <v>25.13</v>
      </c>
      <c r="K9" s="165" t="s">
        <v>217</v>
      </c>
      <c r="L9" s="42">
        <v>32.97</v>
      </c>
      <c r="M9" s="165"/>
      <c r="N9" s="165"/>
      <c r="O9" s="165">
        <v>24.84</v>
      </c>
      <c r="P9" s="165"/>
      <c r="Q9" s="165"/>
      <c r="R9" s="165"/>
      <c r="S9" s="165"/>
      <c r="T9" s="165"/>
      <c r="U9" s="165"/>
      <c r="V9" s="165"/>
      <c r="W9" s="165"/>
      <c r="X9" s="89"/>
      <c r="Y9" s="89"/>
      <c r="Z9" s="165"/>
      <c r="AA9" s="165"/>
      <c r="AB9" s="165"/>
      <c r="AC9" s="165"/>
      <c r="AD9" s="165"/>
      <c r="AE9" s="165"/>
      <c r="AF9" s="165"/>
      <c r="AG9" s="165"/>
    </row>
    <row r="10" spans="1:33" x14ac:dyDescent="0.25">
      <c r="A10" s="105" t="s">
        <v>217</v>
      </c>
      <c r="B10" s="115" t="s">
        <v>205</v>
      </c>
      <c r="C10" s="115" t="s">
        <v>206</v>
      </c>
      <c r="D10" s="115" t="s">
        <v>207</v>
      </c>
      <c r="E10" s="42">
        <v>32.97</v>
      </c>
      <c r="F10" s="165" t="s">
        <v>217</v>
      </c>
      <c r="G10" s="165" t="s">
        <v>205</v>
      </c>
      <c r="H10" s="165" t="s">
        <v>206</v>
      </c>
      <c r="I10" s="165" t="s">
        <v>207</v>
      </c>
      <c r="J10" s="165">
        <v>24.84</v>
      </c>
      <c r="K10" s="165" t="s">
        <v>218</v>
      </c>
      <c r="L10" s="42">
        <v>33.1</v>
      </c>
      <c r="M10" s="165"/>
      <c r="N10" s="165"/>
      <c r="O10" s="165">
        <v>24.91</v>
      </c>
      <c r="P10" s="165"/>
      <c r="Q10" s="165"/>
      <c r="R10" s="165"/>
      <c r="S10" s="165"/>
      <c r="T10" s="165"/>
      <c r="U10" s="165"/>
      <c r="V10" s="165"/>
      <c r="W10" s="165"/>
      <c r="X10" s="165"/>
      <c r="Y10" s="165"/>
      <c r="Z10" s="165"/>
      <c r="AA10" s="165"/>
      <c r="AB10" s="165"/>
      <c r="AC10" s="165"/>
      <c r="AD10" s="165"/>
      <c r="AE10" s="165"/>
      <c r="AF10" s="165"/>
      <c r="AG10" s="165"/>
    </row>
    <row r="11" spans="1:33" x14ac:dyDescent="0.25">
      <c r="A11" s="105" t="s">
        <v>218</v>
      </c>
      <c r="B11" s="115" t="s">
        <v>205</v>
      </c>
      <c r="C11" s="115" t="s">
        <v>206</v>
      </c>
      <c r="D11" s="115" t="s">
        <v>207</v>
      </c>
      <c r="E11" s="42">
        <v>33.1</v>
      </c>
      <c r="F11" s="165" t="s">
        <v>218</v>
      </c>
      <c r="G11" s="165" t="s">
        <v>205</v>
      </c>
      <c r="H11" s="165" t="s">
        <v>206</v>
      </c>
      <c r="I11" s="165" t="s">
        <v>207</v>
      </c>
      <c r="J11" s="165">
        <v>24.91</v>
      </c>
      <c r="K11" s="165" t="s">
        <v>219</v>
      </c>
      <c r="L11" s="42">
        <v>33.159999999999997</v>
      </c>
      <c r="M11" s="165"/>
      <c r="N11" s="165"/>
      <c r="O11" s="165">
        <v>24.92</v>
      </c>
      <c r="P11" s="165"/>
      <c r="Q11" s="165"/>
      <c r="R11" s="165"/>
      <c r="S11" s="165"/>
      <c r="T11" s="165"/>
      <c r="U11" s="165"/>
      <c r="V11" s="165"/>
      <c r="W11" s="165"/>
      <c r="X11" s="165"/>
      <c r="Y11" s="165"/>
      <c r="Z11" s="165"/>
      <c r="AA11" s="165"/>
      <c r="AB11" s="165"/>
      <c r="AC11" s="165"/>
      <c r="AD11" s="165"/>
      <c r="AE11" s="165"/>
      <c r="AF11" s="165"/>
      <c r="AG11" s="165"/>
    </row>
    <row r="12" spans="1:33" x14ac:dyDescent="0.25">
      <c r="A12" s="105" t="s">
        <v>219</v>
      </c>
      <c r="B12" s="115" t="s">
        <v>205</v>
      </c>
      <c r="C12" s="115" t="s">
        <v>206</v>
      </c>
      <c r="D12" s="115" t="s">
        <v>207</v>
      </c>
      <c r="E12" s="42">
        <v>33.159999999999997</v>
      </c>
      <c r="F12" s="165" t="s">
        <v>219</v>
      </c>
      <c r="G12" s="165" t="s">
        <v>205</v>
      </c>
      <c r="H12" s="165" t="s">
        <v>206</v>
      </c>
      <c r="I12" s="165" t="s">
        <v>207</v>
      </c>
      <c r="J12" s="165">
        <v>24.92</v>
      </c>
      <c r="K12" s="165" t="s">
        <v>221</v>
      </c>
      <c r="L12" s="42">
        <v>32.869999999999997</v>
      </c>
      <c r="M12" s="165"/>
      <c r="N12" s="165"/>
      <c r="O12" s="165">
        <v>24.82</v>
      </c>
      <c r="P12" s="165"/>
      <c r="Q12" s="165"/>
      <c r="R12" s="165"/>
      <c r="S12" s="165"/>
      <c r="T12" s="165"/>
      <c r="U12" s="165"/>
      <c r="V12" s="165"/>
      <c r="W12" s="165"/>
      <c r="X12" s="165"/>
      <c r="Y12" s="165"/>
      <c r="Z12" s="165"/>
      <c r="AA12" s="165"/>
      <c r="AB12" s="165"/>
      <c r="AC12" s="165"/>
      <c r="AD12" s="165"/>
      <c r="AE12" s="165"/>
      <c r="AF12" s="165"/>
      <c r="AG12" s="165"/>
    </row>
    <row r="13" spans="1:33" x14ac:dyDescent="0.25">
      <c r="A13" s="105" t="s">
        <v>221</v>
      </c>
      <c r="B13" s="115" t="s">
        <v>205</v>
      </c>
      <c r="C13" s="115" t="s">
        <v>206</v>
      </c>
      <c r="D13" s="115" t="s">
        <v>207</v>
      </c>
      <c r="E13" s="42">
        <v>32.869999999999997</v>
      </c>
      <c r="F13" s="165" t="s">
        <v>221</v>
      </c>
      <c r="G13" s="165" t="s">
        <v>205</v>
      </c>
      <c r="H13" s="165" t="s">
        <v>206</v>
      </c>
      <c r="I13" s="165" t="s">
        <v>207</v>
      </c>
      <c r="J13" s="165">
        <v>24.82</v>
      </c>
      <c r="K13" s="165" t="s">
        <v>222</v>
      </c>
      <c r="L13" s="42">
        <v>33.01</v>
      </c>
      <c r="M13" s="165"/>
      <c r="N13" s="165"/>
      <c r="O13" s="165">
        <v>24.85</v>
      </c>
      <c r="P13" s="165"/>
      <c r="Q13" s="165"/>
      <c r="R13" s="165"/>
      <c r="S13" s="165"/>
      <c r="T13" s="165"/>
      <c r="U13" s="165"/>
      <c r="V13" s="165"/>
      <c r="W13" s="165"/>
      <c r="X13" s="165"/>
      <c r="Y13" s="165"/>
      <c r="Z13" s="165"/>
      <c r="AA13" s="165"/>
      <c r="AB13" s="165"/>
      <c r="AC13" s="165"/>
      <c r="AD13" s="165"/>
      <c r="AE13" s="165"/>
      <c r="AF13" s="165"/>
      <c r="AG13" s="165"/>
    </row>
    <row r="14" spans="1:33" x14ac:dyDescent="0.25">
      <c r="A14" s="105" t="s">
        <v>222</v>
      </c>
      <c r="B14" s="115" t="s">
        <v>205</v>
      </c>
      <c r="C14" s="115" t="s">
        <v>206</v>
      </c>
      <c r="D14" s="115" t="s">
        <v>207</v>
      </c>
      <c r="E14" s="42">
        <v>33.01</v>
      </c>
      <c r="F14" s="165" t="s">
        <v>222</v>
      </c>
      <c r="G14" s="165" t="s">
        <v>205</v>
      </c>
      <c r="H14" s="165" t="s">
        <v>206</v>
      </c>
      <c r="I14" s="165" t="s">
        <v>207</v>
      </c>
      <c r="J14" s="165">
        <v>24.85</v>
      </c>
      <c r="K14" s="165" t="s">
        <v>223</v>
      </c>
      <c r="L14" s="42">
        <v>36.840000000000003</v>
      </c>
      <c r="M14" s="165">
        <f>AVERAGE(L15:L25)</f>
        <v>37.22</v>
      </c>
      <c r="N14" s="165">
        <f>STDEV(L15:L25)</f>
        <v>0.3048606238922969</v>
      </c>
      <c r="O14" s="165">
        <v>28.65</v>
      </c>
      <c r="P14" s="165">
        <f>AVERAGE(O15:O25)</f>
        <v>29.482727272727274</v>
      </c>
      <c r="Q14" s="165">
        <f>STDEV(O15:O25)</f>
        <v>0.39240517094174282</v>
      </c>
      <c r="R14" s="165"/>
      <c r="S14" s="165"/>
      <c r="T14" s="165"/>
      <c r="U14" s="165"/>
      <c r="V14" s="165"/>
      <c r="W14" s="165"/>
      <c r="X14" s="165"/>
      <c r="Y14" s="165"/>
      <c r="Z14" s="165"/>
      <c r="AA14" s="165"/>
      <c r="AB14" s="165"/>
      <c r="AC14" s="165"/>
      <c r="AD14" s="165"/>
      <c r="AE14" s="165"/>
      <c r="AF14" s="165"/>
      <c r="AG14" s="165"/>
    </row>
    <row r="15" spans="1:33" x14ac:dyDescent="0.25">
      <c r="A15" s="105" t="s">
        <v>223</v>
      </c>
      <c r="B15" s="115" t="s">
        <v>205</v>
      </c>
      <c r="C15" s="115" t="s">
        <v>206</v>
      </c>
      <c r="D15" s="115" t="s">
        <v>207</v>
      </c>
      <c r="E15" s="42">
        <v>36.840000000000003</v>
      </c>
      <c r="F15" s="165" t="s">
        <v>223</v>
      </c>
      <c r="G15" s="165" t="s">
        <v>205</v>
      </c>
      <c r="H15" s="165" t="s">
        <v>206</v>
      </c>
      <c r="I15" s="165" t="s">
        <v>207</v>
      </c>
      <c r="J15" s="165">
        <v>28.65</v>
      </c>
      <c r="K15" s="165" t="s">
        <v>234</v>
      </c>
      <c r="L15" s="42">
        <v>37.22</v>
      </c>
      <c r="M15" s="165"/>
      <c r="N15" s="165"/>
      <c r="O15" s="165">
        <v>29.22</v>
      </c>
      <c r="P15" s="165"/>
      <c r="Q15" s="165"/>
      <c r="R15" s="165"/>
      <c r="S15" s="165" t="s">
        <v>522</v>
      </c>
      <c r="T15" s="165" t="s">
        <v>523</v>
      </c>
      <c r="U15" s="165" t="s">
        <v>524</v>
      </c>
      <c r="V15" s="165" t="s">
        <v>525</v>
      </c>
      <c r="W15" s="165"/>
      <c r="X15" s="165"/>
      <c r="Y15" s="165"/>
      <c r="Z15" s="165"/>
      <c r="AA15" s="165"/>
      <c r="AB15" s="165"/>
      <c r="AC15" s="165"/>
      <c r="AD15" s="165"/>
      <c r="AE15" s="165"/>
      <c r="AF15" s="165"/>
      <c r="AG15" s="165"/>
    </row>
    <row r="16" spans="1:33" x14ac:dyDescent="0.25">
      <c r="A16" s="105" t="s">
        <v>234</v>
      </c>
      <c r="B16" s="115" t="s">
        <v>205</v>
      </c>
      <c r="C16" s="115" t="s">
        <v>206</v>
      </c>
      <c r="D16" s="115" t="s">
        <v>207</v>
      </c>
      <c r="E16" s="42">
        <v>37.22</v>
      </c>
      <c r="F16" s="165" t="s">
        <v>234</v>
      </c>
      <c r="G16" s="165" t="s">
        <v>205</v>
      </c>
      <c r="H16" s="165" t="s">
        <v>206</v>
      </c>
      <c r="I16" s="165" t="s">
        <v>207</v>
      </c>
      <c r="J16" s="165">
        <v>29.22</v>
      </c>
      <c r="K16" s="165" t="s">
        <v>235</v>
      </c>
      <c r="L16" s="42">
        <v>36.83</v>
      </c>
      <c r="M16" s="165"/>
      <c r="N16" s="165"/>
      <c r="O16" s="165">
        <v>29.32</v>
      </c>
      <c r="P16" s="165"/>
      <c r="Q16" s="165"/>
      <c r="R16" s="165"/>
      <c r="S16" s="89">
        <f>Y3</f>
        <v>12044000000.000002</v>
      </c>
      <c r="T16" s="165" t="s">
        <v>147</v>
      </c>
      <c r="U16" s="89">
        <f>Y5</f>
        <v>3011000000.0000005</v>
      </c>
      <c r="V16" s="165">
        <v>2</v>
      </c>
      <c r="W16" s="165"/>
      <c r="X16" s="165"/>
      <c r="Y16" s="165"/>
      <c r="Z16" s="165"/>
      <c r="AA16" s="165"/>
      <c r="AB16" s="165"/>
      <c r="AC16" s="165"/>
      <c r="AD16" s="165"/>
      <c r="AE16" s="165"/>
      <c r="AF16" s="165"/>
      <c r="AG16" s="165"/>
    </row>
    <row r="17" spans="1:20" x14ac:dyDescent="0.25">
      <c r="A17" s="105" t="s">
        <v>235</v>
      </c>
      <c r="B17" s="115" t="s">
        <v>205</v>
      </c>
      <c r="C17" s="115" t="s">
        <v>206</v>
      </c>
      <c r="D17" s="115" t="s">
        <v>207</v>
      </c>
      <c r="E17" s="42">
        <v>36.83</v>
      </c>
      <c r="F17" s="165" t="s">
        <v>235</v>
      </c>
      <c r="G17" s="165" t="s">
        <v>205</v>
      </c>
      <c r="H17" s="165" t="s">
        <v>206</v>
      </c>
      <c r="I17" s="165" t="s">
        <v>207</v>
      </c>
      <c r="J17" s="165">
        <v>29.32</v>
      </c>
      <c r="K17" s="165" t="s">
        <v>236</v>
      </c>
      <c r="L17" s="42">
        <v>36.79</v>
      </c>
      <c r="M17" s="165"/>
      <c r="N17" s="165"/>
      <c r="O17" s="165">
        <v>29.31</v>
      </c>
      <c r="P17" s="165"/>
      <c r="Q17" s="165"/>
      <c r="R17" s="165"/>
      <c r="S17" s="165"/>
      <c r="T17" s="89">
        <f>U16*V16/S16</f>
        <v>0.5</v>
      </c>
    </row>
    <row r="18" spans="1:20" x14ac:dyDescent="0.25">
      <c r="A18" s="105" t="s">
        <v>236</v>
      </c>
      <c r="B18" s="115" t="s">
        <v>205</v>
      </c>
      <c r="C18" s="115" t="s">
        <v>206</v>
      </c>
      <c r="D18" s="115" t="s">
        <v>207</v>
      </c>
      <c r="E18" s="42">
        <v>36.79</v>
      </c>
      <c r="F18" s="165" t="s">
        <v>236</v>
      </c>
      <c r="G18" s="165" t="s">
        <v>205</v>
      </c>
      <c r="H18" s="165" t="s">
        <v>206</v>
      </c>
      <c r="I18" s="165" t="s">
        <v>207</v>
      </c>
      <c r="J18" s="165">
        <v>29.31</v>
      </c>
      <c r="K18" s="165" t="s">
        <v>237</v>
      </c>
      <c r="L18" s="42">
        <v>37.31</v>
      </c>
      <c r="M18" s="165"/>
      <c r="N18" s="165"/>
      <c r="O18" s="165">
        <v>29.43</v>
      </c>
      <c r="P18" s="165"/>
      <c r="Q18" s="165"/>
      <c r="R18" s="165"/>
      <c r="S18" s="165"/>
      <c r="T18" s="165"/>
    </row>
    <row r="19" spans="1:20" x14ac:dyDescent="0.25">
      <c r="A19" s="105" t="s">
        <v>237</v>
      </c>
      <c r="B19" s="115" t="s">
        <v>205</v>
      </c>
      <c r="C19" s="115" t="s">
        <v>206</v>
      </c>
      <c r="D19" s="115" t="s">
        <v>207</v>
      </c>
      <c r="E19" s="42">
        <v>37.31</v>
      </c>
      <c r="F19" s="165" t="s">
        <v>237</v>
      </c>
      <c r="G19" s="165" t="s">
        <v>205</v>
      </c>
      <c r="H19" s="165" t="s">
        <v>206</v>
      </c>
      <c r="I19" s="165" t="s">
        <v>207</v>
      </c>
      <c r="J19" s="165">
        <v>29.43</v>
      </c>
      <c r="K19" s="165" t="s">
        <v>238</v>
      </c>
      <c r="L19" s="42">
        <v>37.29</v>
      </c>
      <c r="M19" s="165"/>
      <c r="N19" s="165"/>
      <c r="O19" s="165">
        <v>29.51</v>
      </c>
      <c r="P19" s="165"/>
      <c r="Q19" s="165"/>
      <c r="R19" s="165"/>
      <c r="S19" s="165" t="s">
        <v>739</v>
      </c>
      <c r="T19" s="165"/>
    </row>
    <row r="20" spans="1:20" x14ac:dyDescent="0.25">
      <c r="A20" s="105" t="s">
        <v>238</v>
      </c>
      <c r="B20" s="115" t="s">
        <v>205</v>
      </c>
      <c r="C20" s="115" t="s">
        <v>206</v>
      </c>
      <c r="D20" s="115" t="s">
        <v>207</v>
      </c>
      <c r="E20" s="42">
        <v>37.29</v>
      </c>
      <c r="F20" s="165" t="s">
        <v>238</v>
      </c>
      <c r="G20" s="165" t="s">
        <v>205</v>
      </c>
      <c r="H20" s="165" t="s">
        <v>206</v>
      </c>
      <c r="I20" s="165" t="s">
        <v>207</v>
      </c>
      <c r="J20" s="165">
        <v>29.51</v>
      </c>
      <c r="K20" s="165" t="s">
        <v>239</v>
      </c>
      <c r="L20" s="42">
        <v>37.85</v>
      </c>
      <c r="M20" s="165"/>
      <c r="N20" s="165"/>
      <c r="O20" s="165">
        <v>29.53</v>
      </c>
      <c r="P20" s="165"/>
      <c r="Q20" s="165"/>
      <c r="R20" s="165"/>
      <c r="S20" s="165" t="s">
        <v>740</v>
      </c>
      <c r="T20" s="165"/>
    </row>
    <row r="21" spans="1:20" x14ac:dyDescent="0.25">
      <c r="A21" s="105" t="s">
        <v>239</v>
      </c>
      <c r="B21" s="115" t="s">
        <v>205</v>
      </c>
      <c r="C21" s="115" t="s">
        <v>206</v>
      </c>
      <c r="D21" s="115" t="s">
        <v>207</v>
      </c>
      <c r="E21" s="42">
        <v>37.85</v>
      </c>
      <c r="F21" s="165" t="s">
        <v>239</v>
      </c>
      <c r="G21" s="165" t="s">
        <v>205</v>
      </c>
      <c r="H21" s="165" t="s">
        <v>206</v>
      </c>
      <c r="I21" s="165" t="s">
        <v>207</v>
      </c>
      <c r="J21" s="165">
        <v>29.53</v>
      </c>
      <c r="K21" s="165" t="s">
        <v>242</v>
      </c>
      <c r="L21" s="42">
        <v>37.340000000000003</v>
      </c>
      <c r="M21" s="165"/>
      <c r="N21" s="165"/>
      <c r="O21" s="165">
        <v>29.02</v>
      </c>
      <c r="P21" s="165"/>
      <c r="Q21" s="165"/>
      <c r="R21" s="165"/>
      <c r="S21" s="165"/>
      <c r="T21" s="165"/>
    </row>
    <row r="22" spans="1:20" x14ac:dyDescent="0.25">
      <c r="A22" s="105" t="s">
        <v>242</v>
      </c>
      <c r="B22" s="115" t="s">
        <v>205</v>
      </c>
      <c r="C22" s="115" t="s">
        <v>206</v>
      </c>
      <c r="D22" s="115" t="s">
        <v>207</v>
      </c>
      <c r="E22" s="42">
        <v>37.340000000000003</v>
      </c>
      <c r="F22" s="165" t="s">
        <v>242</v>
      </c>
      <c r="G22" s="165" t="s">
        <v>205</v>
      </c>
      <c r="H22" s="165" t="s">
        <v>206</v>
      </c>
      <c r="I22" s="165" t="s">
        <v>207</v>
      </c>
      <c r="J22" s="165">
        <v>29.02</v>
      </c>
      <c r="K22" s="165" t="s">
        <v>243</v>
      </c>
      <c r="L22" s="42">
        <v>36.9</v>
      </c>
      <c r="M22" s="165"/>
      <c r="N22" s="165"/>
      <c r="O22" s="165">
        <v>30.57</v>
      </c>
      <c r="P22" s="165"/>
      <c r="Q22" s="165"/>
      <c r="R22" s="165"/>
      <c r="S22" s="165"/>
      <c r="T22" s="165"/>
    </row>
    <row r="23" spans="1:20" x14ac:dyDescent="0.25">
      <c r="A23" s="105" t="s">
        <v>243</v>
      </c>
      <c r="B23" s="115" t="s">
        <v>205</v>
      </c>
      <c r="C23" s="115" t="s">
        <v>206</v>
      </c>
      <c r="D23" s="115" t="s">
        <v>207</v>
      </c>
      <c r="E23" s="42">
        <v>36.9</v>
      </c>
      <c r="F23" s="165" t="s">
        <v>243</v>
      </c>
      <c r="G23" s="165" t="s">
        <v>205</v>
      </c>
      <c r="H23" s="165" t="s">
        <v>206</v>
      </c>
      <c r="I23" s="165" t="s">
        <v>207</v>
      </c>
      <c r="J23" s="165">
        <v>30.57</v>
      </c>
      <c r="K23" s="165" t="s">
        <v>244</v>
      </c>
      <c r="L23" s="42">
        <v>37.36</v>
      </c>
      <c r="M23" s="165"/>
      <c r="N23" s="165"/>
      <c r="O23" s="165">
        <v>29.4</v>
      </c>
      <c r="P23" s="165"/>
      <c r="Q23" s="165"/>
      <c r="R23" s="165"/>
      <c r="S23" s="165"/>
      <c r="T23" s="165"/>
    </row>
    <row r="24" spans="1:20" x14ac:dyDescent="0.25">
      <c r="A24" s="105" t="s">
        <v>244</v>
      </c>
      <c r="B24" s="115" t="s">
        <v>205</v>
      </c>
      <c r="C24" s="115" t="s">
        <v>206</v>
      </c>
      <c r="D24" s="115" t="s">
        <v>207</v>
      </c>
      <c r="E24" s="42">
        <v>37.36</v>
      </c>
      <c r="F24" s="165" t="s">
        <v>244</v>
      </c>
      <c r="G24" s="165" t="s">
        <v>205</v>
      </c>
      <c r="H24" s="165" t="s">
        <v>206</v>
      </c>
      <c r="I24" s="165" t="s">
        <v>207</v>
      </c>
      <c r="J24" s="165">
        <v>29.4</v>
      </c>
      <c r="K24" s="165" t="s">
        <v>245</v>
      </c>
      <c r="L24" s="42">
        <v>37.409999999999997</v>
      </c>
      <c r="M24" s="165"/>
      <c r="N24" s="165"/>
      <c r="O24" s="165">
        <v>29.55</v>
      </c>
      <c r="P24" s="165"/>
      <c r="Q24" s="165"/>
      <c r="R24" s="165"/>
      <c r="S24" s="165"/>
      <c r="T24" s="165"/>
    </row>
    <row r="25" spans="1:20" x14ac:dyDescent="0.25">
      <c r="A25" s="105" t="s">
        <v>245</v>
      </c>
      <c r="B25" s="115" t="s">
        <v>205</v>
      </c>
      <c r="C25" s="115" t="s">
        <v>206</v>
      </c>
      <c r="D25" s="115" t="s">
        <v>207</v>
      </c>
      <c r="E25" s="42">
        <v>37.409999999999997</v>
      </c>
      <c r="F25" s="165" t="s">
        <v>245</v>
      </c>
      <c r="G25" s="165" t="s">
        <v>205</v>
      </c>
      <c r="H25" s="165" t="s">
        <v>206</v>
      </c>
      <c r="I25" s="165" t="s">
        <v>207</v>
      </c>
      <c r="J25" s="165">
        <v>29.55</v>
      </c>
      <c r="K25" s="165" t="s">
        <v>247</v>
      </c>
      <c r="L25" s="42">
        <v>37.119999999999997</v>
      </c>
      <c r="M25" s="165"/>
      <c r="N25" s="165"/>
      <c r="O25" s="165">
        <v>29.45</v>
      </c>
      <c r="P25" s="165"/>
      <c r="Q25" s="165"/>
      <c r="R25" s="165"/>
      <c r="S25" s="165"/>
      <c r="T25" s="165"/>
    </row>
    <row r="26" spans="1:20" x14ac:dyDescent="0.25">
      <c r="A26" s="105" t="s">
        <v>247</v>
      </c>
      <c r="B26" s="115" t="s">
        <v>205</v>
      </c>
      <c r="C26" s="115" t="s">
        <v>206</v>
      </c>
      <c r="D26" s="115" t="s">
        <v>207</v>
      </c>
      <c r="E26" s="42">
        <v>37.119999999999997</v>
      </c>
      <c r="F26" s="165" t="s">
        <v>247</v>
      </c>
      <c r="G26" s="165" t="s">
        <v>205</v>
      </c>
      <c r="H26" s="165" t="s">
        <v>206</v>
      </c>
      <c r="I26" s="165" t="s">
        <v>207</v>
      </c>
      <c r="J26" s="165">
        <v>29.45</v>
      </c>
      <c r="K26" s="165" t="s">
        <v>248</v>
      </c>
      <c r="L26" s="42">
        <v>38.82</v>
      </c>
      <c r="M26" s="165">
        <f>AVERAGE(L27:L37)</f>
        <v>39.158888888888889</v>
      </c>
      <c r="N26" s="165">
        <f>STDEV(L27:L37)</f>
        <v>0.55777335102271774</v>
      </c>
      <c r="O26" s="165">
        <v>30.22</v>
      </c>
      <c r="P26" s="165">
        <f>AVERAGE(O27:O37)</f>
        <v>31.443636363636358</v>
      </c>
      <c r="Q26" s="165">
        <f>STDEV(O27:O37)</f>
        <v>0.24299270471653017</v>
      </c>
      <c r="R26" s="165"/>
      <c r="S26" s="165"/>
      <c r="T26" s="165"/>
    </row>
    <row r="27" spans="1:20" x14ac:dyDescent="0.25">
      <c r="A27" s="105" t="s">
        <v>248</v>
      </c>
      <c r="B27" s="115" t="s">
        <v>205</v>
      </c>
      <c r="C27" s="115" t="s">
        <v>206</v>
      </c>
      <c r="D27" s="115" t="s">
        <v>207</v>
      </c>
      <c r="E27" s="42">
        <v>38.82</v>
      </c>
      <c r="F27" s="165" t="s">
        <v>248</v>
      </c>
      <c r="G27" s="165" t="s">
        <v>205</v>
      </c>
      <c r="H27" s="165" t="s">
        <v>206</v>
      </c>
      <c r="I27" s="165" t="s">
        <v>207</v>
      </c>
      <c r="J27" s="165">
        <v>30.22</v>
      </c>
      <c r="K27" s="165" t="s">
        <v>249</v>
      </c>
      <c r="L27" s="42">
        <v>39.299999999999997</v>
      </c>
      <c r="M27" s="165"/>
      <c r="N27" s="165"/>
      <c r="O27" s="165">
        <v>31.29</v>
      </c>
      <c r="P27" s="165"/>
      <c r="Q27" s="165"/>
      <c r="R27" s="165"/>
      <c r="S27" s="165"/>
      <c r="T27" s="165"/>
    </row>
    <row r="28" spans="1:20" x14ac:dyDescent="0.25">
      <c r="A28" s="105" t="s">
        <v>249</v>
      </c>
      <c r="B28" s="115" t="s">
        <v>205</v>
      </c>
      <c r="C28" s="115" t="s">
        <v>206</v>
      </c>
      <c r="D28" s="115" t="s">
        <v>207</v>
      </c>
      <c r="E28" s="42">
        <v>39.299999999999997</v>
      </c>
      <c r="F28" s="165" t="s">
        <v>249</v>
      </c>
      <c r="G28" s="165" t="s">
        <v>205</v>
      </c>
      <c r="H28" s="165" t="s">
        <v>206</v>
      </c>
      <c r="I28" s="165" t="s">
        <v>207</v>
      </c>
      <c r="J28" s="165">
        <v>31.29</v>
      </c>
      <c r="K28" s="165" t="s">
        <v>250</v>
      </c>
      <c r="L28" s="42">
        <v>38.97</v>
      </c>
      <c r="M28" s="165"/>
      <c r="N28" s="165"/>
      <c r="O28" s="165">
        <v>31.57</v>
      </c>
      <c r="P28" s="165"/>
      <c r="Q28" s="165"/>
      <c r="R28" s="165"/>
      <c r="S28" s="165"/>
      <c r="T28" s="165"/>
    </row>
    <row r="29" spans="1:20" x14ac:dyDescent="0.25">
      <c r="A29" s="105" t="s">
        <v>250</v>
      </c>
      <c r="B29" s="115" t="s">
        <v>205</v>
      </c>
      <c r="C29" s="115" t="s">
        <v>206</v>
      </c>
      <c r="D29" s="115" t="s">
        <v>207</v>
      </c>
      <c r="E29" s="42">
        <v>38.97</v>
      </c>
      <c r="F29" s="165" t="s">
        <v>250</v>
      </c>
      <c r="G29" s="165" t="s">
        <v>205</v>
      </c>
      <c r="H29" s="165" t="s">
        <v>206</v>
      </c>
      <c r="I29" s="165" t="s">
        <v>207</v>
      </c>
      <c r="J29" s="165">
        <v>31.57</v>
      </c>
      <c r="K29" s="165" t="s">
        <v>251</v>
      </c>
      <c r="L29" s="42">
        <v>38.590000000000003</v>
      </c>
      <c r="M29" s="165"/>
      <c r="N29" s="165"/>
      <c r="O29" s="165">
        <v>31.41</v>
      </c>
      <c r="P29" s="165"/>
      <c r="Q29" s="165"/>
      <c r="R29" s="165"/>
      <c r="S29" s="165"/>
      <c r="T29" s="165"/>
    </row>
    <row r="30" spans="1:20" x14ac:dyDescent="0.25">
      <c r="A30" s="105" t="s">
        <v>251</v>
      </c>
      <c r="B30" s="115" t="s">
        <v>205</v>
      </c>
      <c r="C30" s="115" t="s">
        <v>206</v>
      </c>
      <c r="D30" s="115" t="s">
        <v>207</v>
      </c>
      <c r="E30" s="42">
        <v>38.590000000000003</v>
      </c>
      <c r="F30" s="165" t="s">
        <v>251</v>
      </c>
      <c r="G30" s="165" t="s">
        <v>205</v>
      </c>
      <c r="H30" s="165" t="s">
        <v>206</v>
      </c>
      <c r="I30" s="165" t="s">
        <v>207</v>
      </c>
      <c r="J30" s="165">
        <v>31.41</v>
      </c>
      <c r="K30" s="165" t="s">
        <v>252</v>
      </c>
      <c r="L30" s="42">
        <v>38.33</v>
      </c>
      <c r="M30" s="165"/>
      <c r="N30" s="165"/>
      <c r="O30" s="165">
        <v>31.81</v>
      </c>
      <c r="P30" s="165"/>
      <c r="Q30" s="165"/>
      <c r="R30" s="165"/>
      <c r="S30" s="165"/>
      <c r="T30" s="165"/>
    </row>
    <row r="31" spans="1:20" x14ac:dyDescent="0.25">
      <c r="A31" s="105" t="s">
        <v>252</v>
      </c>
      <c r="B31" s="115" t="s">
        <v>205</v>
      </c>
      <c r="C31" s="115" t="s">
        <v>206</v>
      </c>
      <c r="D31" s="115" t="s">
        <v>207</v>
      </c>
      <c r="E31" s="42">
        <v>38.33</v>
      </c>
      <c r="F31" s="165" t="s">
        <v>252</v>
      </c>
      <c r="G31" s="165" t="s">
        <v>205</v>
      </c>
      <c r="H31" s="165" t="s">
        <v>206</v>
      </c>
      <c r="I31" s="165" t="s">
        <v>207</v>
      </c>
      <c r="J31" s="165">
        <v>31.81</v>
      </c>
      <c r="K31" s="165" t="s">
        <v>253</v>
      </c>
      <c r="L31" s="42">
        <v>39.78</v>
      </c>
      <c r="M31" s="165"/>
      <c r="N31" s="165"/>
      <c r="O31" s="165">
        <v>31.52</v>
      </c>
      <c r="P31" s="165"/>
      <c r="Q31" s="165"/>
      <c r="R31" s="165"/>
      <c r="S31" s="165"/>
      <c r="T31" s="165"/>
    </row>
    <row r="32" spans="1:20" x14ac:dyDescent="0.25">
      <c r="A32" s="105" t="s">
        <v>253</v>
      </c>
      <c r="B32" s="115" t="s">
        <v>205</v>
      </c>
      <c r="C32" s="115" t="s">
        <v>206</v>
      </c>
      <c r="D32" s="115" t="s">
        <v>207</v>
      </c>
      <c r="E32" s="42">
        <v>39.78</v>
      </c>
      <c r="F32" s="165" t="s">
        <v>253</v>
      </c>
      <c r="G32" s="165" t="s">
        <v>205</v>
      </c>
      <c r="H32" s="165" t="s">
        <v>206</v>
      </c>
      <c r="I32" s="165" t="s">
        <v>207</v>
      </c>
      <c r="J32" s="165">
        <v>31.52</v>
      </c>
      <c r="K32" s="165" t="s">
        <v>254</v>
      </c>
      <c r="L32" s="42" t="s">
        <v>220</v>
      </c>
      <c r="M32" s="165"/>
      <c r="N32" s="165"/>
      <c r="O32" s="165">
        <v>31.67</v>
      </c>
      <c r="P32" s="165"/>
      <c r="Q32" s="165"/>
      <c r="R32" s="165"/>
      <c r="S32" s="165"/>
      <c r="T32" s="165"/>
    </row>
    <row r="33" spans="1:27" ht="45" x14ac:dyDescent="0.25">
      <c r="A33" s="105" t="s">
        <v>254</v>
      </c>
      <c r="B33" s="115" t="s">
        <v>205</v>
      </c>
      <c r="C33" s="115" t="s">
        <v>206</v>
      </c>
      <c r="D33" s="115" t="s">
        <v>207</v>
      </c>
      <c r="E33" s="42" t="s">
        <v>220</v>
      </c>
      <c r="F33" s="165" t="s">
        <v>254</v>
      </c>
      <c r="G33" s="165" t="s">
        <v>205</v>
      </c>
      <c r="H33" s="165" t="s">
        <v>206</v>
      </c>
      <c r="I33" s="165" t="s">
        <v>207</v>
      </c>
      <c r="J33" s="165">
        <v>31.67</v>
      </c>
      <c r="K33" s="165" t="s">
        <v>255</v>
      </c>
      <c r="L33" s="42">
        <v>39.770000000000003</v>
      </c>
      <c r="M33" s="165"/>
      <c r="N33" s="165"/>
      <c r="O33" s="165">
        <v>31.39</v>
      </c>
      <c r="P33" s="165"/>
      <c r="Q33" s="165"/>
      <c r="R33" s="165"/>
      <c r="S33" s="90" t="s">
        <v>20</v>
      </c>
      <c r="T33" s="90" t="s">
        <v>25</v>
      </c>
      <c r="U33" s="90" t="s">
        <v>736</v>
      </c>
      <c r="V33" s="110" t="s">
        <v>731</v>
      </c>
      <c r="W33" s="110" t="s">
        <v>732</v>
      </c>
      <c r="X33" s="110" t="s">
        <v>737</v>
      </c>
      <c r="Y33" s="110" t="s">
        <v>734</v>
      </c>
      <c r="Z33" s="110" t="s">
        <v>735</v>
      </c>
      <c r="AA33" s="110" t="s">
        <v>737</v>
      </c>
    </row>
    <row r="34" spans="1:27" x14ac:dyDescent="0.25">
      <c r="A34" s="105" t="s">
        <v>255</v>
      </c>
      <c r="B34" s="115" t="s">
        <v>205</v>
      </c>
      <c r="C34" s="115" t="s">
        <v>206</v>
      </c>
      <c r="D34" s="115" t="s">
        <v>207</v>
      </c>
      <c r="E34" s="42">
        <v>39.770000000000003</v>
      </c>
      <c r="F34" s="165" t="s">
        <v>255</v>
      </c>
      <c r="G34" s="165" t="s">
        <v>205</v>
      </c>
      <c r="H34" s="165" t="s">
        <v>206</v>
      </c>
      <c r="I34" s="165" t="s">
        <v>207</v>
      </c>
      <c r="J34" s="165">
        <v>31.39</v>
      </c>
      <c r="K34" s="165" t="s">
        <v>256</v>
      </c>
      <c r="L34" s="42">
        <v>39.880000000000003</v>
      </c>
      <c r="M34" s="165"/>
      <c r="N34" s="165"/>
      <c r="O34" s="165">
        <v>31.39</v>
      </c>
      <c r="P34" s="165"/>
      <c r="Q34" s="165"/>
      <c r="R34" s="165"/>
      <c r="S34" s="89" t="s">
        <v>30</v>
      </c>
      <c r="T34" s="89">
        <v>120440000000.00002</v>
      </c>
      <c r="U34" s="165">
        <v>11.080770746840722</v>
      </c>
      <c r="V34" s="165">
        <v>31.544545454545457</v>
      </c>
      <c r="W34" s="165">
        <v>0.9596078744608515</v>
      </c>
      <c r="X34" s="165">
        <f>2*W34</f>
        <v>1.919215748921703</v>
      </c>
      <c r="Y34" s="165">
        <v>28.630909090909096</v>
      </c>
      <c r="Z34" s="165">
        <v>0.19159616621710113</v>
      </c>
      <c r="AA34" s="165">
        <f>2*Z34</f>
        <v>0.38319233243420225</v>
      </c>
    </row>
    <row r="35" spans="1:27" x14ac:dyDescent="0.25">
      <c r="A35" s="105" t="s">
        <v>256</v>
      </c>
      <c r="B35" s="115" t="s">
        <v>205</v>
      </c>
      <c r="C35" s="115" t="s">
        <v>206</v>
      </c>
      <c r="D35" s="115" t="s">
        <v>207</v>
      </c>
      <c r="E35" s="42">
        <v>39.880000000000003</v>
      </c>
      <c r="F35" s="165" t="s">
        <v>256</v>
      </c>
      <c r="G35" s="165" t="s">
        <v>205</v>
      </c>
      <c r="H35" s="165" t="s">
        <v>206</v>
      </c>
      <c r="I35" s="165" t="s">
        <v>207</v>
      </c>
      <c r="J35" s="165">
        <v>31.39</v>
      </c>
      <c r="K35" s="165" t="s">
        <v>257</v>
      </c>
      <c r="L35" s="42" t="s">
        <v>220</v>
      </c>
      <c r="M35" s="165"/>
      <c r="N35" s="165"/>
      <c r="O35" s="165">
        <v>31.69</v>
      </c>
      <c r="P35" s="165"/>
      <c r="Q35" s="165"/>
      <c r="R35" s="165"/>
      <c r="S35" s="165" t="s">
        <v>31</v>
      </c>
      <c r="T35" s="89">
        <v>12044000000.000002</v>
      </c>
      <c r="U35" s="165">
        <v>10.080770746840722</v>
      </c>
      <c r="V35" s="165">
        <v>34.018181818181823</v>
      </c>
      <c r="W35" s="165">
        <v>1.5514690985115891</v>
      </c>
      <c r="X35" s="165">
        <f t="shared" ref="X35:X39" si="3">2*W35</f>
        <v>3.1029381970231782</v>
      </c>
      <c r="Y35" s="165">
        <v>28.786363636363635</v>
      </c>
      <c r="Z35" s="165">
        <v>0.36805631980099868</v>
      </c>
      <c r="AA35" s="165">
        <f t="shared" ref="AA35:AA39" si="4">2*Z35</f>
        <v>0.73611263960199735</v>
      </c>
    </row>
    <row r="36" spans="1:27" x14ac:dyDescent="0.25">
      <c r="A36" s="105" t="s">
        <v>257</v>
      </c>
      <c r="B36" s="115" t="s">
        <v>205</v>
      </c>
      <c r="C36" s="115" t="s">
        <v>206</v>
      </c>
      <c r="D36" s="115" t="s">
        <v>207</v>
      </c>
      <c r="E36" s="42" t="s">
        <v>220</v>
      </c>
      <c r="F36" s="165" t="s">
        <v>257</v>
      </c>
      <c r="G36" s="165" t="s">
        <v>205</v>
      </c>
      <c r="H36" s="165" t="s">
        <v>206</v>
      </c>
      <c r="I36" s="165" t="s">
        <v>207</v>
      </c>
      <c r="J36" s="165">
        <v>31.69</v>
      </c>
      <c r="K36" s="165" t="s">
        <v>258</v>
      </c>
      <c r="L36" s="42">
        <v>38.99</v>
      </c>
      <c r="M36" s="165"/>
      <c r="N36" s="165"/>
      <c r="O36" s="165">
        <v>31.15</v>
      </c>
      <c r="P36" s="165"/>
      <c r="Q36" s="165"/>
      <c r="R36" s="165"/>
      <c r="S36" s="165" t="s">
        <v>560</v>
      </c>
      <c r="T36" s="89">
        <v>6022000000.000001</v>
      </c>
      <c r="U36" s="165">
        <v>9.7797407511767407</v>
      </c>
      <c r="V36" s="165">
        <v>34.040909090909089</v>
      </c>
      <c r="W36" s="165">
        <v>1.1302694771199882</v>
      </c>
      <c r="X36" s="165">
        <f t="shared" si="3"/>
        <v>2.2605389542399763</v>
      </c>
      <c r="Y36" s="165">
        <v>28.632727272727276</v>
      </c>
      <c r="Z36" s="165">
        <v>0.15447271015237043</v>
      </c>
      <c r="AA36" s="165">
        <f t="shared" si="4"/>
        <v>0.30894542030474087</v>
      </c>
    </row>
    <row r="37" spans="1:27" x14ac:dyDescent="0.25">
      <c r="A37" s="105" t="s">
        <v>258</v>
      </c>
      <c r="B37" s="115" t="s">
        <v>205</v>
      </c>
      <c r="C37" s="115" t="s">
        <v>206</v>
      </c>
      <c r="D37" s="115" t="s">
        <v>207</v>
      </c>
      <c r="E37" s="42">
        <v>38.99</v>
      </c>
      <c r="F37" s="165" t="s">
        <v>258</v>
      </c>
      <c r="G37" s="165" t="s">
        <v>205</v>
      </c>
      <c r="H37" s="165" t="s">
        <v>206</v>
      </c>
      <c r="I37" s="165" t="s">
        <v>207</v>
      </c>
      <c r="J37" s="165">
        <v>31.15</v>
      </c>
      <c r="K37" s="165" t="s">
        <v>259</v>
      </c>
      <c r="L37" s="42">
        <v>38.82</v>
      </c>
      <c r="M37" s="165"/>
      <c r="N37" s="165"/>
      <c r="O37" s="165">
        <v>30.99</v>
      </c>
      <c r="P37" s="165"/>
      <c r="Q37" s="165"/>
      <c r="R37" s="165"/>
      <c r="S37" s="165" t="s">
        <v>562</v>
      </c>
      <c r="T37" s="89">
        <v>3011000000.0000005</v>
      </c>
      <c r="U37" s="165">
        <v>9.4787107555127594</v>
      </c>
      <c r="V37" s="165">
        <v>33.417272727272724</v>
      </c>
      <c r="W37" s="165">
        <v>0.87372868682550331</v>
      </c>
      <c r="X37" s="165">
        <f t="shared" si="3"/>
        <v>1.7474573736510066</v>
      </c>
      <c r="Y37" s="165">
        <v>28.566363636363633</v>
      </c>
      <c r="Z37" s="165">
        <v>0.21855309319580579</v>
      </c>
      <c r="AA37" s="165">
        <f t="shared" si="4"/>
        <v>0.43710618639161158</v>
      </c>
    </row>
    <row r="38" spans="1:27" x14ac:dyDescent="0.25">
      <c r="A38" s="105" t="s">
        <v>259</v>
      </c>
      <c r="B38" s="115" t="s">
        <v>205</v>
      </c>
      <c r="C38" s="115" t="s">
        <v>206</v>
      </c>
      <c r="D38" s="115" t="s">
        <v>207</v>
      </c>
      <c r="E38" s="42">
        <v>38.82</v>
      </c>
      <c r="F38" s="165" t="s">
        <v>259</v>
      </c>
      <c r="G38" s="165" t="s">
        <v>205</v>
      </c>
      <c r="H38" s="165" t="s">
        <v>206</v>
      </c>
      <c r="I38" s="165" t="s">
        <v>207</v>
      </c>
      <c r="J38" s="165">
        <v>30.99</v>
      </c>
      <c r="K38" s="165" t="s">
        <v>260</v>
      </c>
      <c r="L38" s="42" t="s">
        <v>220</v>
      </c>
      <c r="M38" s="165" t="e">
        <f>AVERAGE(L39:L49)</f>
        <v>#DIV/0!</v>
      </c>
      <c r="N38" s="165" t="e">
        <f>STDEV(L39:L49)</f>
        <v>#DIV/0!</v>
      </c>
      <c r="O38" s="165">
        <v>32.909999999999997</v>
      </c>
      <c r="P38" s="165">
        <f>AVERAGE(O39:O49)</f>
        <v>35.337272727272726</v>
      </c>
      <c r="Q38" s="165">
        <f>STDEV(O39:O49)</f>
        <v>0.94022434460176507</v>
      </c>
      <c r="R38" s="165"/>
      <c r="S38" s="165" t="s">
        <v>32</v>
      </c>
      <c r="T38" s="89">
        <v>1204400000.0000002</v>
      </c>
      <c r="U38" s="165">
        <v>9.0807707468407219</v>
      </c>
      <c r="V38" s="165">
        <v>33.227272727272734</v>
      </c>
      <c r="W38" s="165">
        <v>0.85107098304537299</v>
      </c>
      <c r="X38" s="165">
        <f t="shared" si="3"/>
        <v>1.702141966090746</v>
      </c>
      <c r="Y38" s="165">
        <v>28.446363636363639</v>
      </c>
      <c r="Z38" s="165">
        <v>0.13654835973183507</v>
      </c>
      <c r="AA38" s="165">
        <f t="shared" si="4"/>
        <v>0.27309671946367015</v>
      </c>
    </row>
    <row r="39" spans="1:27" x14ac:dyDescent="0.25">
      <c r="A39" s="105" t="s">
        <v>260</v>
      </c>
      <c r="B39" s="115" t="s">
        <v>205</v>
      </c>
      <c r="C39" s="115" t="s">
        <v>206</v>
      </c>
      <c r="D39" s="115" t="s">
        <v>207</v>
      </c>
      <c r="E39" s="42" t="s">
        <v>220</v>
      </c>
      <c r="F39" s="165" t="s">
        <v>260</v>
      </c>
      <c r="G39" s="165" t="s">
        <v>205</v>
      </c>
      <c r="H39" s="165" t="s">
        <v>206</v>
      </c>
      <c r="I39" s="165" t="s">
        <v>207</v>
      </c>
      <c r="J39" s="165">
        <v>32.909999999999997</v>
      </c>
      <c r="K39" s="165" t="s">
        <v>261</v>
      </c>
      <c r="L39" s="42" t="s">
        <v>220</v>
      </c>
      <c r="M39" s="165"/>
      <c r="N39" s="165"/>
      <c r="O39" s="165">
        <v>36.11</v>
      </c>
      <c r="P39" s="165"/>
      <c r="Q39" s="165"/>
      <c r="R39" s="165"/>
      <c r="S39" s="165" t="s">
        <v>33</v>
      </c>
      <c r="T39" s="89">
        <v>602200000.00000012</v>
      </c>
      <c r="U39" s="165">
        <v>8.7797407511767407</v>
      </c>
      <c r="V39" s="165">
        <v>33.116363636363637</v>
      </c>
      <c r="W39" s="165">
        <v>1.0791410725875716</v>
      </c>
      <c r="X39" s="165">
        <f t="shared" si="3"/>
        <v>2.1582821451751433</v>
      </c>
      <c r="Y39" s="165">
        <v>28.345454545454547</v>
      </c>
      <c r="Z39" s="165">
        <v>0.151747397761124</v>
      </c>
      <c r="AA39" s="165">
        <f t="shared" si="4"/>
        <v>0.30349479552224801</v>
      </c>
    </row>
    <row r="40" spans="1:27" x14ac:dyDescent="0.25">
      <c r="A40" s="105" t="s">
        <v>261</v>
      </c>
      <c r="B40" s="115" t="s">
        <v>205</v>
      </c>
      <c r="C40" s="115" t="s">
        <v>206</v>
      </c>
      <c r="D40" s="115" t="s">
        <v>207</v>
      </c>
      <c r="E40" s="42" t="s">
        <v>220</v>
      </c>
      <c r="F40" s="165" t="s">
        <v>261</v>
      </c>
      <c r="G40" s="165" t="s">
        <v>205</v>
      </c>
      <c r="H40" s="165" t="s">
        <v>206</v>
      </c>
      <c r="I40" s="165" t="s">
        <v>207</v>
      </c>
      <c r="J40" s="165">
        <v>36.11</v>
      </c>
      <c r="K40" s="165" t="s">
        <v>262</v>
      </c>
      <c r="L40" s="42" t="s">
        <v>220</v>
      </c>
      <c r="M40" s="165"/>
      <c r="N40" s="165"/>
      <c r="O40" s="165">
        <v>35.36</v>
      </c>
      <c r="P40" s="165"/>
      <c r="Q40" s="165"/>
      <c r="R40" s="165"/>
      <c r="S40" s="165"/>
      <c r="T40" s="165"/>
      <c r="U40" s="165"/>
      <c r="V40" s="165"/>
      <c r="W40" s="165"/>
      <c r="X40" s="165"/>
      <c r="Y40" s="165"/>
      <c r="Z40" s="165"/>
      <c r="AA40" s="165"/>
    </row>
    <row r="41" spans="1:27" x14ac:dyDescent="0.25">
      <c r="A41" s="105" t="s">
        <v>262</v>
      </c>
      <c r="B41" s="115" t="s">
        <v>205</v>
      </c>
      <c r="C41" s="115" t="s">
        <v>206</v>
      </c>
      <c r="D41" s="115" t="s">
        <v>207</v>
      </c>
      <c r="E41" s="42" t="s">
        <v>220</v>
      </c>
      <c r="F41" s="165" t="s">
        <v>262</v>
      </c>
      <c r="G41" s="165" t="s">
        <v>205</v>
      </c>
      <c r="H41" s="165" t="s">
        <v>206</v>
      </c>
      <c r="I41" s="165" t="s">
        <v>207</v>
      </c>
      <c r="J41" s="165">
        <v>35.36</v>
      </c>
      <c r="K41" s="165" t="s">
        <v>263</v>
      </c>
      <c r="L41" s="42" t="s">
        <v>220</v>
      </c>
      <c r="M41" s="165"/>
      <c r="N41" s="165"/>
      <c r="O41" s="165">
        <v>37.21</v>
      </c>
      <c r="P41" s="165"/>
      <c r="Q41" s="165"/>
      <c r="R41" s="165"/>
      <c r="S41" s="165"/>
      <c r="T41" s="165"/>
      <c r="U41" s="165"/>
      <c r="V41" s="165"/>
      <c r="W41" s="165"/>
      <c r="X41" s="165"/>
      <c r="Y41" s="165"/>
      <c r="Z41" s="165"/>
      <c r="AA41" s="165"/>
    </row>
    <row r="42" spans="1:27" x14ac:dyDescent="0.25">
      <c r="A42" s="105" t="s">
        <v>263</v>
      </c>
      <c r="B42" s="115" t="s">
        <v>205</v>
      </c>
      <c r="C42" s="115" t="s">
        <v>206</v>
      </c>
      <c r="D42" s="115" t="s">
        <v>207</v>
      </c>
      <c r="E42" s="42" t="s">
        <v>220</v>
      </c>
      <c r="F42" s="165" t="s">
        <v>263</v>
      </c>
      <c r="G42" s="165" t="s">
        <v>205</v>
      </c>
      <c r="H42" s="165" t="s">
        <v>206</v>
      </c>
      <c r="I42" s="165" t="s">
        <v>207</v>
      </c>
      <c r="J42" s="165">
        <v>37.21</v>
      </c>
      <c r="K42" s="165" t="s">
        <v>264</v>
      </c>
      <c r="L42" s="42" t="s">
        <v>220</v>
      </c>
      <c r="M42" s="165"/>
      <c r="N42" s="165"/>
      <c r="O42" s="165">
        <v>35.409999999999997</v>
      </c>
      <c r="P42" s="165"/>
      <c r="Q42" s="165"/>
      <c r="R42" s="165"/>
      <c r="S42" s="165" t="s">
        <v>741</v>
      </c>
      <c r="T42" s="165"/>
      <c r="U42" s="165"/>
      <c r="V42" s="165"/>
      <c r="W42" s="165"/>
      <c r="X42" s="165"/>
      <c r="Y42" s="165"/>
      <c r="Z42" s="165"/>
      <c r="AA42" s="165"/>
    </row>
    <row r="43" spans="1:27" x14ac:dyDescent="0.25">
      <c r="A43" s="105" t="s">
        <v>264</v>
      </c>
      <c r="B43" s="115" t="s">
        <v>205</v>
      </c>
      <c r="C43" s="115" t="s">
        <v>206</v>
      </c>
      <c r="D43" s="115" t="s">
        <v>207</v>
      </c>
      <c r="E43" s="42" t="s">
        <v>220</v>
      </c>
      <c r="F43" s="165" t="s">
        <v>264</v>
      </c>
      <c r="G43" s="165" t="s">
        <v>205</v>
      </c>
      <c r="H43" s="165" t="s">
        <v>206</v>
      </c>
      <c r="I43" s="165" t="s">
        <v>207</v>
      </c>
      <c r="J43" s="165">
        <v>35.409999999999997</v>
      </c>
      <c r="K43" s="165" t="s">
        <v>265</v>
      </c>
      <c r="L43" s="42" t="s">
        <v>220</v>
      </c>
      <c r="M43" s="165"/>
      <c r="N43" s="165"/>
      <c r="O43" s="165">
        <v>34.89</v>
      </c>
      <c r="P43" s="165"/>
      <c r="Q43" s="165"/>
      <c r="R43" s="165"/>
      <c r="S43" s="44" t="s">
        <v>554</v>
      </c>
      <c r="T43" s="44" t="s">
        <v>21</v>
      </c>
      <c r="U43" s="44" t="s">
        <v>23</v>
      </c>
      <c r="V43" s="44" t="s">
        <v>742</v>
      </c>
      <c r="W43" s="165"/>
      <c r="X43" s="165"/>
      <c r="Y43" s="165"/>
      <c r="Z43" s="165"/>
      <c r="AA43" s="165"/>
    </row>
    <row r="44" spans="1:27" x14ac:dyDescent="0.25">
      <c r="A44" s="105" t="s">
        <v>265</v>
      </c>
      <c r="B44" s="115" t="s">
        <v>205</v>
      </c>
      <c r="C44" s="115" t="s">
        <v>206</v>
      </c>
      <c r="D44" s="115" t="s">
        <v>207</v>
      </c>
      <c r="E44" s="42" t="s">
        <v>220</v>
      </c>
      <c r="F44" s="165" t="s">
        <v>265</v>
      </c>
      <c r="G44" s="165" t="s">
        <v>205</v>
      </c>
      <c r="H44" s="165" t="s">
        <v>206</v>
      </c>
      <c r="I44" s="165" t="s">
        <v>207</v>
      </c>
      <c r="J44" s="165">
        <v>34.89</v>
      </c>
      <c r="K44" s="165" t="s">
        <v>266</v>
      </c>
      <c r="L44" s="42" t="s">
        <v>220</v>
      </c>
      <c r="M44" s="165"/>
      <c r="N44" s="165"/>
      <c r="O44" s="165">
        <v>35.51</v>
      </c>
      <c r="P44" s="165"/>
      <c r="Q44" s="165"/>
      <c r="R44" s="165"/>
      <c r="S44" s="89" t="s">
        <v>743</v>
      </c>
      <c r="T44" s="165">
        <v>100</v>
      </c>
      <c r="U44" s="89">
        <f>T44*0.00004/1000000*6.022E+23</f>
        <v>2408800000000000.5</v>
      </c>
      <c r="V44" s="89">
        <f>U44/40*2</f>
        <v>120440000000000.03</v>
      </c>
      <c r="W44" s="165"/>
      <c r="X44" s="165"/>
      <c r="Y44" s="165"/>
      <c r="Z44" s="165"/>
      <c r="AA44" s="165"/>
    </row>
    <row r="45" spans="1:27" x14ac:dyDescent="0.25">
      <c r="A45" s="105" t="s">
        <v>266</v>
      </c>
      <c r="B45" s="115" t="s">
        <v>205</v>
      </c>
      <c r="C45" s="115" t="s">
        <v>206</v>
      </c>
      <c r="D45" s="115" t="s">
        <v>207</v>
      </c>
      <c r="E45" s="42" t="s">
        <v>220</v>
      </c>
      <c r="F45" s="165" t="s">
        <v>266</v>
      </c>
      <c r="G45" s="165" t="s">
        <v>205</v>
      </c>
      <c r="H45" s="165" t="s">
        <v>206</v>
      </c>
      <c r="I45" s="165" t="s">
        <v>207</v>
      </c>
      <c r="J45" s="165">
        <v>35.51</v>
      </c>
      <c r="K45" s="165" t="s">
        <v>267</v>
      </c>
      <c r="L45" s="42" t="s">
        <v>220</v>
      </c>
      <c r="M45" s="165"/>
      <c r="N45" s="165"/>
      <c r="O45" s="165">
        <v>35.299999999999997</v>
      </c>
      <c r="P45" s="165"/>
      <c r="Q45" s="165"/>
      <c r="R45" s="165"/>
      <c r="S45" s="89" t="s">
        <v>744</v>
      </c>
      <c r="T45" s="165">
        <f>T44/100</f>
        <v>1</v>
      </c>
      <c r="U45" s="89">
        <f>T44*0.00001/1000000*6.022E+23</f>
        <v>602200000000000.13</v>
      </c>
      <c r="V45" s="89">
        <f>U45/1000*2</f>
        <v>1204400000000.0002</v>
      </c>
      <c r="W45" s="165"/>
      <c r="X45" s="165"/>
      <c r="Y45" s="165"/>
      <c r="Z45" s="165"/>
      <c r="AA45" s="165"/>
    </row>
    <row r="46" spans="1:27" x14ac:dyDescent="0.25">
      <c r="A46" s="105" t="s">
        <v>267</v>
      </c>
      <c r="B46" s="115" t="s">
        <v>205</v>
      </c>
      <c r="C46" s="115" t="s">
        <v>206</v>
      </c>
      <c r="D46" s="115" t="s">
        <v>207</v>
      </c>
      <c r="E46" s="42" t="s">
        <v>220</v>
      </c>
      <c r="F46" s="165" t="s">
        <v>267</v>
      </c>
      <c r="G46" s="165" t="s">
        <v>205</v>
      </c>
      <c r="H46" s="165" t="s">
        <v>206</v>
      </c>
      <c r="I46" s="165" t="s">
        <v>207</v>
      </c>
      <c r="J46" s="165">
        <v>35.299999999999997</v>
      </c>
      <c r="K46" s="165" t="s">
        <v>268</v>
      </c>
      <c r="L46" s="42" t="s">
        <v>220</v>
      </c>
      <c r="M46" s="165"/>
      <c r="N46" s="165"/>
      <c r="O46" s="165">
        <v>35.4</v>
      </c>
      <c r="P46" s="165"/>
      <c r="Q46" s="165"/>
      <c r="R46" s="165"/>
      <c r="S46" s="89" t="s">
        <v>30</v>
      </c>
      <c r="T46" s="165">
        <f>T45/100</f>
        <v>0.01</v>
      </c>
      <c r="U46" s="89">
        <f>U45/100</f>
        <v>6022000000000.001</v>
      </c>
      <c r="V46" s="89">
        <f>U46/1000*2</f>
        <v>12044000000.000002</v>
      </c>
      <c r="W46" s="165"/>
      <c r="X46" s="165"/>
      <c r="Y46" s="165"/>
      <c r="Z46" s="165"/>
      <c r="AA46" s="165"/>
    </row>
    <row r="47" spans="1:27" x14ac:dyDescent="0.25">
      <c r="A47" s="105" t="s">
        <v>268</v>
      </c>
      <c r="B47" s="115" t="s">
        <v>205</v>
      </c>
      <c r="C47" s="115" t="s">
        <v>206</v>
      </c>
      <c r="D47" s="115" t="s">
        <v>207</v>
      </c>
      <c r="E47" s="42" t="s">
        <v>220</v>
      </c>
      <c r="F47" s="165" t="s">
        <v>268</v>
      </c>
      <c r="G47" s="165" t="s">
        <v>205</v>
      </c>
      <c r="H47" s="165" t="s">
        <v>206</v>
      </c>
      <c r="I47" s="165" t="s">
        <v>207</v>
      </c>
      <c r="J47" s="165">
        <v>35.4</v>
      </c>
      <c r="K47" s="165" t="s">
        <v>270</v>
      </c>
      <c r="L47" s="42" t="s">
        <v>220</v>
      </c>
      <c r="M47" s="165"/>
      <c r="N47" s="165"/>
      <c r="O47" s="165">
        <v>34</v>
      </c>
      <c r="P47" s="165"/>
      <c r="Q47" s="165"/>
      <c r="R47" s="165"/>
      <c r="S47" s="89" t="s">
        <v>31</v>
      </c>
      <c r="T47" s="165">
        <f t="shared" ref="T47:U60" si="5">T46/10</f>
        <v>1E-3</v>
      </c>
      <c r="U47" s="89">
        <f t="shared" si="5"/>
        <v>602200000000.00012</v>
      </c>
      <c r="V47" s="89">
        <f t="shared" ref="V47:V60" si="6">U47/1000*2</f>
        <v>1204400000.0000002</v>
      </c>
      <c r="W47" s="165"/>
      <c r="X47" s="165"/>
      <c r="Y47" s="165"/>
      <c r="Z47" s="165"/>
      <c r="AA47" s="165"/>
    </row>
    <row r="48" spans="1:27" x14ac:dyDescent="0.25">
      <c r="A48" s="105" t="s">
        <v>270</v>
      </c>
      <c r="B48" s="115" t="s">
        <v>205</v>
      </c>
      <c r="C48" s="115" t="s">
        <v>206</v>
      </c>
      <c r="D48" s="115" t="s">
        <v>207</v>
      </c>
      <c r="E48" s="42" t="s">
        <v>220</v>
      </c>
      <c r="F48" s="165" t="s">
        <v>270</v>
      </c>
      <c r="G48" s="165" t="s">
        <v>205</v>
      </c>
      <c r="H48" s="165" t="s">
        <v>206</v>
      </c>
      <c r="I48" s="165" t="s">
        <v>207</v>
      </c>
      <c r="J48" s="165">
        <v>34</v>
      </c>
      <c r="K48" s="165" t="s">
        <v>272</v>
      </c>
      <c r="L48" s="42" t="s">
        <v>220</v>
      </c>
      <c r="M48" s="165"/>
      <c r="N48" s="165"/>
      <c r="O48" s="165">
        <v>35.770000000000003</v>
      </c>
      <c r="P48" s="165"/>
      <c r="Q48" s="165"/>
      <c r="R48" s="165"/>
      <c r="S48" s="89" t="s">
        <v>32</v>
      </c>
      <c r="T48" s="165">
        <f t="shared" si="5"/>
        <v>1E-4</v>
      </c>
      <c r="U48" s="89">
        <f t="shared" si="5"/>
        <v>60220000000.000015</v>
      </c>
      <c r="V48" s="89">
        <f t="shared" si="6"/>
        <v>120440000.00000003</v>
      </c>
      <c r="W48" s="165"/>
      <c r="X48" s="165"/>
      <c r="Y48" s="165"/>
      <c r="Z48" s="165"/>
      <c r="AA48" s="165"/>
    </row>
    <row r="49" spans="1:22" x14ac:dyDescent="0.25">
      <c r="A49" s="105" t="s">
        <v>272</v>
      </c>
      <c r="B49" s="115" t="s">
        <v>205</v>
      </c>
      <c r="C49" s="115" t="s">
        <v>206</v>
      </c>
      <c r="D49" s="115" t="s">
        <v>207</v>
      </c>
      <c r="E49" s="42" t="s">
        <v>220</v>
      </c>
      <c r="F49" s="165" t="s">
        <v>272</v>
      </c>
      <c r="G49" s="165" t="s">
        <v>205</v>
      </c>
      <c r="H49" s="165" t="s">
        <v>206</v>
      </c>
      <c r="I49" s="165" t="s">
        <v>207</v>
      </c>
      <c r="J49" s="165">
        <v>35.770000000000003</v>
      </c>
      <c r="K49" s="165" t="s">
        <v>273</v>
      </c>
      <c r="L49" s="42" t="s">
        <v>220</v>
      </c>
      <c r="M49" s="165"/>
      <c r="N49" s="165"/>
      <c r="O49" s="165">
        <v>33.75</v>
      </c>
      <c r="P49" s="165"/>
      <c r="Q49" s="165"/>
      <c r="R49" s="165"/>
      <c r="S49" s="89" t="s">
        <v>33</v>
      </c>
      <c r="T49" s="165">
        <f t="shared" si="5"/>
        <v>1.0000000000000001E-5</v>
      </c>
      <c r="U49" s="89">
        <f t="shared" si="5"/>
        <v>6022000000.0000019</v>
      </c>
      <c r="V49" s="89">
        <f t="shared" si="6"/>
        <v>12044000.000000004</v>
      </c>
    </row>
    <row r="50" spans="1:22" x14ac:dyDescent="0.25">
      <c r="A50" s="105" t="s">
        <v>273</v>
      </c>
      <c r="B50" s="115" t="s">
        <v>205</v>
      </c>
      <c r="C50" s="115" t="s">
        <v>206</v>
      </c>
      <c r="D50" s="115" t="s">
        <v>207</v>
      </c>
      <c r="E50" s="42" t="s">
        <v>220</v>
      </c>
      <c r="F50" s="165" t="s">
        <v>273</v>
      </c>
      <c r="G50" s="165" t="s">
        <v>205</v>
      </c>
      <c r="H50" s="165" t="s">
        <v>206</v>
      </c>
      <c r="I50" s="165" t="s">
        <v>207</v>
      </c>
      <c r="J50" s="165">
        <v>33.75</v>
      </c>
      <c r="K50" s="165" t="s">
        <v>274</v>
      </c>
      <c r="L50" s="42" t="s">
        <v>220</v>
      </c>
      <c r="M50" s="165"/>
      <c r="N50" s="165"/>
      <c r="O50" s="165" t="s">
        <v>220</v>
      </c>
      <c r="P50" s="165"/>
      <c r="Q50" s="165"/>
      <c r="R50" s="165"/>
      <c r="S50" s="89" t="s">
        <v>34</v>
      </c>
      <c r="T50" s="165">
        <f t="shared" si="5"/>
        <v>1.0000000000000002E-6</v>
      </c>
      <c r="U50" s="89">
        <f t="shared" si="5"/>
        <v>602200000.00000024</v>
      </c>
      <c r="V50" s="89">
        <f t="shared" si="6"/>
        <v>1204400.0000000005</v>
      </c>
    </row>
    <row r="51" spans="1:22" x14ac:dyDescent="0.25">
      <c r="A51" s="105" t="s">
        <v>274</v>
      </c>
      <c r="B51" s="115" t="s">
        <v>205</v>
      </c>
      <c r="C51" s="115" t="s">
        <v>206</v>
      </c>
      <c r="D51" s="115" t="s">
        <v>207</v>
      </c>
      <c r="E51" s="42" t="s">
        <v>220</v>
      </c>
      <c r="F51" s="165" t="s">
        <v>274</v>
      </c>
      <c r="G51" s="165" t="s">
        <v>205</v>
      </c>
      <c r="H51" s="165" t="s">
        <v>206</v>
      </c>
      <c r="I51" s="165" t="s">
        <v>207</v>
      </c>
      <c r="J51" s="165" t="s">
        <v>220</v>
      </c>
      <c r="K51" s="165" t="s">
        <v>275</v>
      </c>
      <c r="L51" s="42" t="s">
        <v>220</v>
      </c>
      <c r="M51" s="165"/>
      <c r="N51" s="165"/>
      <c r="O51" s="165" t="s">
        <v>220</v>
      </c>
      <c r="P51" s="165"/>
      <c r="Q51" s="165"/>
      <c r="R51" s="165"/>
      <c r="S51" s="89" t="s">
        <v>35</v>
      </c>
      <c r="T51" s="165">
        <f t="shared" si="5"/>
        <v>1.0000000000000002E-7</v>
      </c>
      <c r="U51" s="89">
        <f t="shared" si="5"/>
        <v>60220000.000000022</v>
      </c>
      <c r="V51" s="89">
        <f t="shared" si="6"/>
        <v>120440.00000000004</v>
      </c>
    </row>
    <row r="52" spans="1:22" x14ac:dyDescent="0.25">
      <c r="A52" s="105" t="s">
        <v>275</v>
      </c>
      <c r="B52" s="115" t="s">
        <v>205</v>
      </c>
      <c r="C52" s="115" t="s">
        <v>206</v>
      </c>
      <c r="D52" s="115" t="s">
        <v>207</v>
      </c>
      <c r="E52" s="42" t="s">
        <v>220</v>
      </c>
      <c r="F52" s="165" t="s">
        <v>275</v>
      </c>
      <c r="G52" s="165" t="s">
        <v>205</v>
      </c>
      <c r="H52" s="165" t="s">
        <v>206</v>
      </c>
      <c r="I52" s="165" t="s">
        <v>207</v>
      </c>
      <c r="J52" s="165" t="s">
        <v>220</v>
      </c>
      <c r="K52" s="165" t="s">
        <v>276</v>
      </c>
      <c r="L52" s="42" t="s">
        <v>220</v>
      </c>
      <c r="M52" s="165"/>
      <c r="N52" s="165"/>
      <c r="O52" s="165" t="s">
        <v>220</v>
      </c>
      <c r="P52" s="165"/>
      <c r="Q52" s="165"/>
      <c r="R52" s="165"/>
      <c r="S52" s="89" t="s">
        <v>36</v>
      </c>
      <c r="T52" s="165">
        <f t="shared" si="5"/>
        <v>1.0000000000000002E-8</v>
      </c>
      <c r="U52" s="89">
        <f t="shared" si="5"/>
        <v>6022000.0000000019</v>
      </c>
      <c r="V52" s="89">
        <f t="shared" si="6"/>
        <v>12044.000000000004</v>
      </c>
    </row>
    <row r="53" spans="1:22" x14ac:dyDescent="0.25">
      <c r="A53" s="105" t="s">
        <v>276</v>
      </c>
      <c r="B53" s="115" t="s">
        <v>205</v>
      </c>
      <c r="C53" s="115" t="s">
        <v>206</v>
      </c>
      <c r="D53" s="115" t="s">
        <v>207</v>
      </c>
      <c r="E53" s="42" t="s">
        <v>220</v>
      </c>
      <c r="F53" s="165" t="s">
        <v>276</v>
      </c>
      <c r="G53" s="165" t="s">
        <v>205</v>
      </c>
      <c r="H53" s="165" t="s">
        <v>206</v>
      </c>
      <c r="I53" s="165" t="s">
        <v>207</v>
      </c>
      <c r="J53" s="165" t="s">
        <v>220</v>
      </c>
      <c r="K53" s="165" t="s">
        <v>277</v>
      </c>
      <c r="L53" s="42" t="s">
        <v>220</v>
      </c>
      <c r="M53" s="165"/>
      <c r="N53" s="165"/>
      <c r="O53" s="165" t="s">
        <v>220</v>
      </c>
      <c r="P53" s="165"/>
      <c r="Q53" s="165"/>
      <c r="R53" s="165"/>
      <c r="S53" s="89" t="s">
        <v>37</v>
      </c>
      <c r="T53" s="165">
        <f t="shared" si="5"/>
        <v>1.0000000000000003E-9</v>
      </c>
      <c r="U53" s="89">
        <f t="shared" si="5"/>
        <v>602200.00000000023</v>
      </c>
      <c r="V53" s="89">
        <f t="shared" si="6"/>
        <v>1204.4000000000005</v>
      </c>
    </row>
    <row r="54" spans="1:22" x14ac:dyDescent="0.25">
      <c r="A54" s="105" t="s">
        <v>277</v>
      </c>
      <c r="B54" s="115" t="s">
        <v>205</v>
      </c>
      <c r="C54" s="115" t="s">
        <v>206</v>
      </c>
      <c r="D54" s="115" t="s">
        <v>207</v>
      </c>
      <c r="E54" s="42" t="s">
        <v>220</v>
      </c>
      <c r="F54" s="165" t="s">
        <v>277</v>
      </c>
      <c r="G54" s="165" t="s">
        <v>205</v>
      </c>
      <c r="H54" s="165" t="s">
        <v>206</v>
      </c>
      <c r="I54" s="165" t="s">
        <v>207</v>
      </c>
      <c r="J54" s="165" t="s">
        <v>220</v>
      </c>
      <c r="K54" s="165" t="s">
        <v>278</v>
      </c>
      <c r="L54" s="42" t="s">
        <v>220</v>
      </c>
      <c r="M54" s="165"/>
      <c r="N54" s="165"/>
      <c r="O54" s="165" t="s">
        <v>220</v>
      </c>
      <c r="P54" s="165"/>
      <c r="Q54" s="165"/>
      <c r="R54" s="165"/>
      <c r="S54" s="89" t="s">
        <v>38</v>
      </c>
      <c r="T54" s="165">
        <f t="shared" si="5"/>
        <v>1.0000000000000003E-10</v>
      </c>
      <c r="U54" s="89">
        <f t="shared" si="5"/>
        <v>60220.000000000022</v>
      </c>
      <c r="V54" s="89">
        <f t="shared" si="6"/>
        <v>120.44000000000004</v>
      </c>
    </row>
    <row r="55" spans="1:22" x14ac:dyDescent="0.25">
      <c r="A55" s="105" t="s">
        <v>278</v>
      </c>
      <c r="B55" s="115" t="s">
        <v>205</v>
      </c>
      <c r="C55" s="115" t="s">
        <v>206</v>
      </c>
      <c r="D55" s="115" t="s">
        <v>207</v>
      </c>
      <c r="E55" s="42" t="s">
        <v>220</v>
      </c>
      <c r="F55" s="165" t="s">
        <v>278</v>
      </c>
      <c r="G55" s="165" t="s">
        <v>205</v>
      </c>
      <c r="H55" s="165" t="s">
        <v>206</v>
      </c>
      <c r="I55" s="165" t="s">
        <v>207</v>
      </c>
      <c r="J55" s="165" t="s">
        <v>220</v>
      </c>
      <c r="K55" s="165" t="s">
        <v>279</v>
      </c>
      <c r="L55" s="42" t="s">
        <v>220</v>
      </c>
      <c r="M55" s="165"/>
      <c r="N55" s="165"/>
      <c r="O55" s="165" t="s">
        <v>220</v>
      </c>
      <c r="P55" s="165"/>
      <c r="Q55" s="165"/>
      <c r="R55" s="165"/>
      <c r="S55" s="89" t="s">
        <v>39</v>
      </c>
      <c r="T55" s="165">
        <f t="shared" si="5"/>
        <v>1.0000000000000003E-11</v>
      </c>
      <c r="U55" s="89">
        <f t="shared" si="5"/>
        <v>6022.0000000000018</v>
      </c>
      <c r="V55" s="89">
        <f t="shared" si="6"/>
        <v>12.044000000000004</v>
      </c>
    </row>
    <row r="56" spans="1:22" x14ac:dyDescent="0.25">
      <c r="A56" s="105" t="s">
        <v>279</v>
      </c>
      <c r="B56" s="115" t="s">
        <v>205</v>
      </c>
      <c r="C56" s="115" t="s">
        <v>206</v>
      </c>
      <c r="D56" s="115" t="s">
        <v>207</v>
      </c>
      <c r="E56" s="42" t="s">
        <v>220</v>
      </c>
      <c r="F56" s="165" t="s">
        <v>279</v>
      </c>
      <c r="G56" s="165" t="s">
        <v>205</v>
      </c>
      <c r="H56" s="165" t="s">
        <v>206</v>
      </c>
      <c r="I56" s="165" t="s">
        <v>207</v>
      </c>
      <c r="J56" s="165" t="s">
        <v>220</v>
      </c>
      <c r="K56" s="165" t="s">
        <v>280</v>
      </c>
      <c r="L56" s="42" t="s">
        <v>220</v>
      </c>
      <c r="M56" s="165"/>
      <c r="N56" s="165"/>
      <c r="O56" s="165" t="s">
        <v>220</v>
      </c>
      <c r="P56" s="165"/>
      <c r="Q56" s="165"/>
      <c r="R56" s="165"/>
      <c r="S56" s="89" t="s">
        <v>40</v>
      </c>
      <c r="T56" s="165">
        <f t="shared" si="5"/>
        <v>1.0000000000000002E-12</v>
      </c>
      <c r="U56" s="89">
        <f t="shared" si="5"/>
        <v>602.20000000000016</v>
      </c>
      <c r="V56" s="89">
        <f t="shared" si="6"/>
        <v>1.2044000000000004</v>
      </c>
    </row>
    <row r="57" spans="1:22" x14ac:dyDescent="0.25">
      <c r="A57" s="105" t="s">
        <v>280</v>
      </c>
      <c r="B57" s="115" t="s">
        <v>205</v>
      </c>
      <c r="C57" s="115" t="s">
        <v>206</v>
      </c>
      <c r="D57" s="115" t="s">
        <v>207</v>
      </c>
      <c r="E57" s="42" t="s">
        <v>220</v>
      </c>
      <c r="F57" s="165" t="s">
        <v>280</v>
      </c>
      <c r="G57" s="165" t="s">
        <v>205</v>
      </c>
      <c r="H57" s="165" t="s">
        <v>206</v>
      </c>
      <c r="I57" s="165" t="s">
        <v>207</v>
      </c>
      <c r="J57" s="165" t="s">
        <v>220</v>
      </c>
      <c r="K57" s="165" t="s">
        <v>281</v>
      </c>
      <c r="L57" s="42" t="s">
        <v>220</v>
      </c>
      <c r="M57" s="165"/>
      <c r="N57" s="165"/>
      <c r="O57" s="165" t="s">
        <v>220</v>
      </c>
      <c r="P57" s="165"/>
      <c r="Q57" s="165"/>
      <c r="R57" s="165"/>
      <c r="S57" s="89" t="s">
        <v>41</v>
      </c>
      <c r="T57" s="165">
        <f t="shared" si="5"/>
        <v>1.0000000000000002E-13</v>
      </c>
      <c r="U57" s="89">
        <f t="shared" si="5"/>
        <v>60.220000000000013</v>
      </c>
      <c r="V57" s="89">
        <f t="shared" si="6"/>
        <v>0.12044000000000002</v>
      </c>
    </row>
    <row r="58" spans="1:22" x14ac:dyDescent="0.25">
      <c r="A58" s="105" t="s">
        <v>281</v>
      </c>
      <c r="B58" s="115" t="s">
        <v>205</v>
      </c>
      <c r="C58" s="115" t="s">
        <v>206</v>
      </c>
      <c r="D58" s="115" t="s">
        <v>207</v>
      </c>
      <c r="E58" s="42" t="s">
        <v>220</v>
      </c>
      <c r="F58" s="165" t="s">
        <v>281</v>
      </c>
      <c r="G58" s="165" t="s">
        <v>205</v>
      </c>
      <c r="H58" s="165" t="s">
        <v>206</v>
      </c>
      <c r="I58" s="165" t="s">
        <v>207</v>
      </c>
      <c r="J58" s="165" t="s">
        <v>220</v>
      </c>
      <c r="K58" s="165" t="s">
        <v>282</v>
      </c>
      <c r="L58" s="42" t="s">
        <v>220</v>
      </c>
      <c r="M58" s="165"/>
      <c r="N58" s="165"/>
      <c r="O58" s="165" t="s">
        <v>220</v>
      </c>
      <c r="P58" s="165"/>
      <c r="Q58" s="165"/>
      <c r="R58" s="165"/>
      <c r="S58" s="89" t="s">
        <v>42</v>
      </c>
      <c r="T58" s="165">
        <f t="shared" si="5"/>
        <v>1.0000000000000002E-14</v>
      </c>
      <c r="U58" s="89">
        <f t="shared" si="5"/>
        <v>6.0220000000000011</v>
      </c>
      <c r="V58" s="89">
        <f t="shared" si="6"/>
        <v>1.2044000000000003E-2</v>
      </c>
    </row>
    <row r="59" spans="1:22" x14ac:dyDescent="0.25">
      <c r="A59" s="105" t="s">
        <v>282</v>
      </c>
      <c r="B59" s="115" t="s">
        <v>205</v>
      </c>
      <c r="C59" s="115" t="s">
        <v>206</v>
      </c>
      <c r="D59" s="115" t="s">
        <v>207</v>
      </c>
      <c r="E59" s="42" t="s">
        <v>220</v>
      </c>
      <c r="F59" s="165" t="s">
        <v>282</v>
      </c>
      <c r="G59" s="165" t="s">
        <v>205</v>
      </c>
      <c r="H59" s="165" t="s">
        <v>206</v>
      </c>
      <c r="I59" s="165" t="s">
        <v>207</v>
      </c>
      <c r="J59" s="165" t="s">
        <v>220</v>
      </c>
      <c r="K59" s="165" t="s">
        <v>283</v>
      </c>
      <c r="L59" s="42" t="s">
        <v>220</v>
      </c>
      <c r="M59" s="165"/>
      <c r="N59" s="165"/>
      <c r="O59" s="165" t="s">
        <v>220</v>
      </c>
      <c r="P59" s="165"/>
      <c r="Q59" s="165"/>
      <c r="R59" s="165"/>
      <c r="S59" s="89" t="s">
        <v>43</v>
      </c>
      <c r="T59" s="165">
        <f t="shared" si="5"/>
        <v>1.0000000000000001E-15</v>
      </c>
      <c r="U59" s="89">
        <f t="shared" si="5"/>
        <v>0.60220000000000007</v>
      </c>
      <c r="V59" s="89">
        <f t="shared" si="6"/>
        <v>1.2044000000000002E-3</v>
      </c>
    </row>
    <row r="60" spans="1:22" x14ac:dyDescent="0.25">
      <c r="A60" s="105" t="s">
        <v>283</v>
      </c>
      <c r="B60" s="115" t="s">
        <v>205</v>
      </c>
      <c r="C60" s="115" t="s">
        <v>206</v>
      </c>
      <c r="D60" s="115" t="s">
        <v>207</v>
      </c>
      <c r="E60" s="42" t="s">
        <v>220</v>
      </c>
      <c r="F60" s="165" t="s">
        <v>283</v>
      </c>
      <c r="G60" s="165" t="s">
        <v>205</v>
      </c>
      <c r="H60" s="165" t="s">
        <v>206</v>
      </c>
      <c r="I60" s="165" t="s">
        <v>207</v>
      </c>
      <c r="J60" s="165" t="s">
        <v>220</v>
      </c>
      <c r="K60" s="165" t="s">
        <v>284</v>
      </c>
      <c r="L60" s="42" t="s">
        <v>220</v>
      </c>
      <c r="M60" s="165"/>
      <c r="N60" s="165"/>
      <c r="O60" s="165" t="s">
        <v>220</v>
      </c>
      <c r="P60" s="165"/>
      <c r="Q60" s="165"/>
      <c r="R60" s="165"/>
      <c r="S60" s="89" t="s">
        <v>44</v>
      </c>
      <c r="T60" s="165">
        <f t="shared" si="5"/>
        <v>1.0000000000000001E-16</v>
      </c>
      <c r="U60" s="89">
        <f t="shared" si="5"/>
        <v>6.022000000000001E-2</v>
      </c>
      <c r="V60" s="89">
        <f t="shared" si="6"/>
        <v>1.2044000000000002E-4</v>
      </c>
    </row>
    <row r="61" spans="1:22" x14ac:dyDescent="0.25">
      <c r="A61" s="105" t="s">
        <v>284</v>
      </c>
      <c r="B61" s="115" t="s">
        <v>205</v>
      </c>
      <c r="C61" s="115" t="s">
        <v>206</v>
      </c>
      <c r="D61" s="115" t="s">
        <v>207</v>
      </c>
      <c r="E61" s="42" t="s">
        <v>220</v>
      </c>
      <c r="F61" s="165" t="s">
        <v>284</v>
      </c>
      <c r="G61" s="165" t="s">
        <v>205</v>
      </c>
      <c r="H61" s="165" t="s">
        <v>206</v>
      </c>
      <c r="I61" s="165" t="s">
        <v>207</v>
      </c>
      <c r="J61" s="165" t="s">
        <v>220</v>
      </c>
      <c r="K61" s="165" t="s">
        <v>285</v>
      </c>
      <c r="L61" s="42" t="s">
        <v>220</v>
      </c>
      <c r="M61" s="165"/>
      <c r="N61" s="165"/>
      <c r="O61" s="165" t="s">
        <v>220</v>
      </c>
      <c r="P61" s="165"/>
      <c r="Q61" s="165"/>
      <c r="R61" s="165"/>
      <c r="S61" s="165"/>
      <c r="T61" s="165"/>
      <c r="U61" s="165"/>
      <c r="V61" s="165"/>
    </row>
    <row r="62" spans="1:22" x14ac:dyDescent="0.25">
      <c r="A62" s="105" t="s">
        <v>285</v>
      </c>
      <c r="B62" s="115" t="s">
        <v>205</v>
      </c>
      <c r="C62" s="115" t="s">
        <v>206</v>
      </c>
      <c r="D62" s="115" t="s">
        <v>207</v>
      </c>
      <c r="E62" s="42" t="s">
        <v>220</v>
      </c>
      <c r="F62" s="165" t="s">
        <v>285</v>
      </c>
      <c r="G62" s="165" t="s">
        <v>205</v>
      </c>
      <c r="H62" s="165" t="s">
        <v>206</v>
      </c>
      <c r="I62" s="165" t="s">
        <v>207</v>
      </c>
      <c r="J62" s="165" t="s">
        <v>220</v>
      </c>
      <c r="K62" s="165" t="s">
        <v>286</v>
      </c>
      <c r="L62" s="42" t="s">
        <v>220</v>
      </c>
      <c r="M62" s="165"/>
      <c r="N62" s="165"/>
      <c r="O62" s="165" t="s">
        <v>220</v>
      </c>
      <c r="P62" s="165"/>
      <c r="Q62" s="165"/>
      <c r="R62" s="165"/>
      <c r="S62" s="165"/>
      <c r="T62" s="165"/>
      <c r="U62" s="165"/>
      <c r="V62" s="165"/>
    </row>
    <row r="63" spans="1:22" x14ac:dyDescent="0.25">
      <c r="A63" s="105" t="s">
        <v>286</v>
      </c>
      <c r="B63" s="115" t="s">
        <v>205</v>
      </c>
      <c r="C63" s="115" t="s">
        <v>206</v>
      </c>
      <c r="D63" s="115" t="s">
        <v>207</v>
      </c>
      <c r="E63" s="42" t="s">
        <v>220</v>
      </c>
      <c r="F63" s="165" t="s">
        <v>286</v>
      </c>
      <c r="G63" s="165" t="s">
        <v>205</v>
      </c>
      <c r="H63" s="165" t="s">
        <v>206</v>
      </c>
      <c r="I63" s="165" t="s">
        <v>207</v>
      </c>
      <c r="J63" s="165" t="s">
        <v>220</v>
      </c>
      <c r="K63" s="165" t="s">
        <v>287</v>
      </c>
      <c r="L63" s="42" t="s">
        <v>220</v>
      </c>
      <c r="M63" s="165"/>
      <c r="N63" s="165"/>
      <c r="O63" s="165" t="s">
        <v>220</v>
      </c>
      <c r="P63" s="165"/>
      <c r="Q63" s="165"/>
      <c r="R63" s="165"/>
      <c r="S63" s="165"/>
      <c r="T63" s="165"/>
      <c r="U63" s="165"/>
      <c r="V63" s="165"/>
    </row>
    <row r="64" spans="1:22" x14ac:dyDescent="0.25">
      <c r="A64" s="105" t="s">
        <v>287</v>
      </c>
      <c r="B64" s="115" t="s">
        <v>205</v>
      </c>
      <c r="C64" s="115" t="s">
        <v>206</v>
      </c>
      <c r="D64" s="115" t="s">
        <v>207</v>
      </c>
      <c r="E64" s="42" t="s">
        <v>220</v>
      </c>
      <c r="F64" s="165" t="s">
        <v>287</v>
      </c>
      <c r="G64" s="165" t="s">
        <v>205</v>
      </c>
      <c r="H64" s="165" t="s">
        <v>206</v>
      </c>
      <c r="I64" s="165" t="s">
        <v>207</v>
      </c>
      <c r="J64" s="165" t="s">
        <v>220</v>
      </c>
      <c r="K64" s="165" t="s">
        <v>288</v>
      </c>
      <c r="L64" s="42" t="s">
        <v>220</v>
      </c>
      <c r="M64" s="165"/>
      <c r="N64" s="165"/>
      <c r="O64" s="165" t="s">
        <v>220</v>
      </c>
      <c r="P64" s="165"/>
      <c r="Q64" s="165"/>
      <c r="R64" s="165"/>
      <c r="S64" s="165"/>
      <c r="T64" s="165"/>
      <c r="U64" s="165"/>
      <c r="V64" s="165"/>
    </row>
    <row r="65" spans="1:35" x14ac:dyDescent="0.25">
      <c r="A65" s="105" t="s">
        <v>288</v>
      </c>
      <c r="B65" s="115" t="s">
        <v>205</v>
      </c>
      <c r="C65" s="115" t="s">
        <v>206</v>
      </c>
      <c r="D65" s="115" t="s">
        <v>207</v>
      </c>
      <c r="E65" s="42" t="s">
        <v>220</v>
      </c>
      <c r="F65" s="165" t="s">
        <v>288</v>
      </c>
      <c r="G65" s="165" t="s">
        <v>205</v>
      </c>
      <c r="H65" s="165" t="s">
        <v>206</v>
      </c>
      <c r="I65" s="165" t="s">
        <v>207</v>
      </c>
      <c r="J65" s="165" t="s">
        <v>220</v>
      </c>
      <c r="K65" s="165" t="s">
        <v>289</v>
      </c>
      <c r="L65" s="42" t="s">
        <v>220</v>
      </c>
      <c r="M65" s="165"/>
      <c r="N65" s="165"/>
      <c r="O65" s="165" t="s">
        <v>220</v>
      </c>
      <c r="P65" s="165"/>
      <c r="Q65" s="165"/>
      <c r="R65" s="165"/>
      <c r="S65" s="165"/>
      <c r="T65" s="165"/>
      <c r="U65" s="165"/>
      <c r="V65" s="165"/>
      <c r="W65" s="165"/>
      <c r="X65" s="165"/>
      <c r="Y65" s="165"/>
      <c r="Z65" s="165"/>
      <c r="AA65" s="165"/>
      <c r="AB65" s="165"/>
      <c r="AC65" s="165"/>
      <c r="AD65" s="165"/>
      <c r="AE65" s="165"/>
      <c r="AF65" s="165"/>
      <c r="AG65" s="165"/>
      <c r="AH65" s="165"/>
      <c r="AI65" s="165"/>
    </row>
    <row r="66" spans="1:35" x14ac:dyDescent="0.25">
      <c r="A66" s="105" t="s">
        <v>289</v>
      </c>
      <c r="B66" s="115" t="s">
        <v>205</v>
      </c>
      <c r="C66" s="115" t="s">
        <v>206</v>
      </c>
      <c r="D66" s="115" t="s">
        <v>207</v>
      </c>
      <c r="E66" s="42" t="s">
        <v>220</v>
      </c>
      <c r="F66" s="165" t="s">
        <v>289</v>
      </c>
      <c r="G66" s="165" t="s">
        <v>205</v>
      </c>
      <c r="H66" s="165" t="s">
        <v>206</v>
      </c>
      <c r="I66" s="165" t="s">
        <v>207</v>
      </c>
      <c r="J66" s="165" t="s">
        <v>220</v>
      </c>
      <c r="K66" s="165" t="s">
        <v>290</v>
      </c>
      <c r="L66" s="42" t="s">
        <v>220</v>
      </c>
      <c r="M66" s="165"/>
      <c r="N66" s="165"/>
      <c r="O66" s="165" t="s">
        <v>220</v>
      </c>
      <c r="P66" s="165"/>
      <c r="Q66" s="165"/>
      <c r="R66" s="165"/>
      <c r="S66" s="165"/>
      <c r="T66" s="165"/>
      <c r="U66" s="165"/>
      <c r="V66" s="165"/>
      <c r="W66" s="165"/>
      <c r="X66" s="165"/>
      <c r="Y66" s="165"/>
      <c r="Z66" s="165"/>
      <c r="AA66" s="165"/>
      <c r="AB66" s="165"/>
      <c r="AC66" s="165"/>
      <c r="AD66" s="165"/>
      <c r="AE66" s="165"/>
      <c r="AF66" s="165"/>
      <c r="AG66" s="165"/>
      <c r="AH66" s="165"/>
      <c r="AI66" s="165"/>
    </row>
    <row r="67" spans="1:35" x14ac:dyDescent="0.25">
      <c r="A67" s="105" t="s">
        <v>290</v>
      </c>
      <c r="B67" s="115" t="s">
        <v>205</v>
      </c>
      <c r="C67" s="115" t="s">
        <v>206</v>
      </c>
      <c r="D67" s="115" t="s">
        <v>207</v>
      </c>
      <c r="E67" s="42" t="s">
        <v>220</v>
      </c>
      <c r="F67" s="165" t="s">
        <v>290</v>
      </c>
      <c r="G67" s="165" t="s">
        <v>205</v>
      </c>
      <c r="H67" s="165" t="s">
        <v>206</v>
      </c>
      <c r="I67" s="165" t="s">
        <v>207</v>
      </c>
      <c r="J67" s="165" t="s">
        <v>220</v>
      </c>
      <c r="K67" s="165" t="s">
        <v>291</v>
      </c>
      <c r="L67" s="42" t="s">
        <v>220</v>
      </c>
      <c r="M67" s="165"/>
      <c r="N67" s="165"/>
      <c r="O67" s="165" t="s">
        <v>220</v>
      </c>
      <c r="P67" s="165"/>
      <c r="Q67" s="165"/>
      <c r="R67" s="165"/>
      <c r="S67" s="165"/>
      <c r="T67" s="165"/>
      <c r="U67" s="165"/>
      <c r="V67" s="165"/>
      <c r="W67" s="165"/>
      <c r="X67" s="165"/>
      <c r="Y67" s="165"/>
      <c r="Z67" s="165"/>
      <c r="AA67" s="165"/>
      <c r="AB67" s="165"/>
      <c r="AC67" s="165"/>
      <c r="AD67" s="165"/>
      <c r="AE67" s="165"/>
      <c r="AF67" s="165"/>
      <c r="AG67" s="165"/>
      <c r="AH67" s="165"/>
      <c r="AI67" s="165"/>
    </row>
    <row r="68" spans="1:35" x14ac:dyDescent="0.25">
      <c r="A68" s="105" t="s">
        <v>291</v>
      </c>
      <c r="B68" s="115" t="s">
        <v>205</v>
      </c>
      <c r="C68" s="115" t="s">
        <v>206</v>
      </c>
      <c r="D68" s="115" t="s">
        <v>207</v>
      </c>
      <c r="E68" s="42" t="s">
        <v>220</v>
      </c>
      <c r="F68" s="165" t="s">
        <v>291</v>
      </c>
      <c r="G68" s="165" t="s">
        <v>205</v>
      </c>
      <c r="H68" s="165" t="s">
        <v>206</v>
      </c>
      <c r="I68" s="165" t="s">
        <v>207</v>
      </c>
      <c r="J68" s="165" t="s">
        <v>220</v>
      </c>
      <c r="K68" s="165" t="s">
        <v>292</v>
      </c>
      <c r="L68" s="42" t="s">
        <v>220</v>
      </c>
      <c r="M68" s="165"/>
      <c r="N68" s="165"/>
      <c r="O68" s="165" t="s">
        <v>220</v>
      </c>
      <c r="P68" s="165"/>
      <c r="Q68" s="165"/>
      <c r="R68" s="165"/>
      <c r="S68" s="165"/>
      <c r="T68" s="165"/>
      <c r="U68" s="165"/>
      <c r="V68" s="165"/>
      <c r="W68" s="165"/>
      <c r="X68" s="165"/>
      <c r="Y68" s="165"/>
      <c r="Z68" s="165"/>
      <c r="AA68" s="165"/>
      <c r="AB68" s="165"/>
      <c r="AC68" s="165"/>
      <c r="AD68" s="165"/>
      <c r="AE68" s="165"/>
      <c r="AF68" s="165"/>
      <c r="AG68" s="165" t="s">
        <v>745</v>
      </c>
      <c r="AH68" s="165"/>
      <c r="AI68" s="165" t="s">
        <v>746</v>
      </c>
    </row>
    <row r="69" spans="1:35" ht="30" x14ac:dyDescent="0.25">
      <c r="A69" s="105" t="s">
        <v>292</v>
      </c>
      <c r="B69" s="115" t="s">
        <v>205</v>
      </c>
      <c r="C69" s="115" t="s">
        <v>206</v>
      </c>
      <c r="D69" s="115" t="s">
        <v>207</v>
      </c>
      <c r="E69" s="42" t="s">
        <v>220</v>
      </c>
      <c r="F69" s="165" t="s">
        <v>292</v>
      </c>
      <c r="G69" s="165" t="s">
        <v>205</v>
      </c>
      <c r="H69" s="165" t="s">
        <v>206</v>
      </c>
      <c r="I69" s="165" t="s">
        <v>207</v>
      </c>
      <c r="J69" s="165" t="s">
        <v>220</v>
      </c>
      <c r="K69" s="165" t="s">
        <v>293</v>
      </c>
      <c r="L69" s="42" t="s">
        <v>220</v>
      </c>
      <c r="M69" s="165"/>
      <c r="N69" s="165"/>
      <c r="O69" s="165" t="s">
        <v>220</v>
      </c>
      <c r="P69" s="165"/>
      <c r="Q69" s="165"/>
      <c r="R69" s="165"/>
      <c r="S69" s="165"/>
      <c r="T69" s="90" t="s">
        <v>20</v>
      </c>
      <c r="U69" s="89" t="s">
        <v>30</v>
      </c>
      <c r="V69" s="165" t="s">
        <v>31</v>
      </c>
      <c r="W69" s="165" t="s">
        <v>560</v>
      </c>
      <c r="X69" s="165" t="s">
        <v>562</v>
      </c>
      <c r="Y69" s="165" t="s">
        <v>32</v>
      </c>
      <c r="Z69" s="165" t="s">
        <v>33</v>
      </c>
      <c r="AA69" s="165"/>
      <c r="AB69" s="165"/>
      <c r="AC69" s="165"/>
      <c r="AD69" s="165"/>
      <c r="AE69" s="165"/>
      <c r="AF69" s="165"/>
      <c r="AG69" s="165" t="s">
        <v>747</v>
      </c>
      <c r="AH69" s="165"/>
      <c r="AI69" s="165"/>
    </row>
    <row r="70" spans="1:35" x14ac:dyDescent="0.25">
      <c r="A70" s="105" t="s">
        <v>293</v>
      </c>
      <c r="B70" s="115" t="s">
        <v>205</v>
      </c>
      <c r="C70" s="115" t="s">
        <v>206</v>
      </c>
      <c r="D70" s="115" t="s">
        <v>207</v>
      </c>
      <c r="E70" s="42" t="s">
        <v>220</v>
      </c>
      <c r="F70" s="165" t="s">
        <v>293</v>
      </c>
      <c r="G70" s="165" t="s">
        <v>205</v>
      </c>
      <c r="H70" s="165" t="s">
        <v>206</v>
      </c>
      <c r="I70" s="165" t="s">
        <v>207</v>
      </c>
      <c r="J70" s="165" t="s">
        <v>220</v>
      </c>
      <c r="K70" s="165" t="s">
        <v>294</v>
      </c>
      <c r="L70" s="42" t="s">
        <v>220</v>
      </c>
      <c r="M70" s="165"/>
      <c r="N70" s="165"/>
      <c r="O70" s="165" t="s">
        <v>220</v>
      </c>
      <c r="P70" s="165"/>
      <c r="Q70" s="165"/>
      <c r="R70" s="165"/>
      <c r="S70" s="165"/>
      <c r="T70" s="165" t="s">
        <v>728</v>
      </c>
      <c r="U70" s="42">
        <v>32.51</v>
      </c>
      <c r="V70" s="42">
        <v>32.57</v>
      </c>
      <c r="W70" s="42">
        <v>33.01</v>
      </c>
      <c r="X70" s="42">
        <v>33.49</v>
      </c>
      <c r="Y70" s="42">
        <v>33.69</v>
      </c>
      <c r="Z70" s="42">
        <v>32.89</v>
      </c>
      <c r="AA70" s="165"/>
      <c r="AB70" s="165"/>
      <c r="AC70" s="165"/>
      <c r="AD70" s="165"/>
      <c r="AE70" s="165"/>
      <c r="AF70" s="165"/>
      <c r="AG70" s="165" t="s">
        <v>748</v>
      </c>
      <c r="AH70" s="165" t="s">
        <v>749</v>
      </c>
      <c r="AI70" s="165" t="s">
        <v>750</v>
      </c>
    </row>
    <row r="71" spans="1:35" x14ac:dyDescent="0.25">
      <c r="A71" s="105" t="s">
        <v>294</v>
      </c>
      <c r="B71" s="115" t="s">
        <v>205</v>
      </c>
      <c r="C71" s="115" t="s">
        <v>206</v>
      </c>
      <c r="D71" s="115" t="s">
        <v>207</v>
      </c>
      <c r="E71" s="42" t="s">
        <v>220</v>
      </c>
      <c r="F71" s="165" t="s">
        <v>294</v>
      </c>
      <c r="G71" s="165" t="s">
        <v>205</v>
      </c>
      <c r="H71" s="165" t="s">
        <v>206</v>
      </c>
      <c r="I71" s="165" t="s">
        <v>207</v>
      </c>
      <c r="J71" s="165" t="s">
        <v>220</v>
      </c>
      <c r="K71" s="165" t="s">
        <v>295</v>
      </c>
      <c r="L71" s="42" t="s">
        <v>220</v>
      </c>
      <c r="M71" s="165"/>
      <c r="N71" s="165"/>
      <c r="O71" s="165" t="s">
        <v>220</v>
      </c>
      <c r="P71" s="165"/>
      <c r="Q71" s="165"/>
      <c r="R71" s="165"/>
      <c r="S71" s="165"/>
      <c r="T71" s="165"/>
      <c r="U71" s="42">
        <v>30.69</v>
      </c>
      <c r="V71" s="42">
        <v>32.56</v>
      </c>
      <c r="W71" s="42">
        <v>32.57</v>
      </c>
      <c r="X71" s="42">
        <v>32.11</v>
      </c>
      <c r="Y71" s="42">
        <v>32.75</v>
      </c>
      <c r="Z71" s="42">
        <v>31.96</v>
      </c>
      <c r="AA71" s="165"/>
      <c r="AB71" s="165"/>
      <c r="AC71" s="165"/>
      <c r="AD71" s="165"/>
      <c r="AE71" s="165"/>
      <c r="AF71" s="165"/>
      <c r="AG71" s="165" t="s">
        <v>751</v>
      </c>
      <c r="AH71" s="165">
        <v>100</v>
      </c>
      <c r="AI71" s="165"/>
    </row>
    <row r="72" spans="1:35" x14ac:dyDescent="0.25">
      <c r="A72" s="105" t="s">
        <v>295</v>
      </c>
      <c r="B72" s="115" t="s">
        <v>205</v>
      </c>
      <c r="C72" s="115" t="s">
        <v>206</v>
      </c>
      <c r="D72" s="115" t="s">
        <v>207</v>
      </c>
      <c r="E72" s="42" t="s">
        <v>220</v>
      </c>
      <c r="F72" s="165" t="s">
        <v>295</v>
      </c>
      <c r="G72" s="165" t="s">
        <v>205</v>
      </c>
      <c r="H72" s="165" t="s">
        <v>206</v>
      </c>
      <c r="I72" s="165" t="s">
        <v>207</v>
      </c>
      <c r="J72" s="165" t="s">
        <v>220</v>
      </c>
      <c r="K72" s="165" t="s">
        <v>296</v>
      </c>
      <c r="L72" s="42" t="s">
        <v>220</v>
      </c>
      <c r="M72" s="165"/>
      <c r="N72" s="165"/>
      <c r="O72" s="165" t="s">
        <v>220</v>
      </c>
      <c r="P72" s="165"/>
      <c r="Q72" s="165"/>
      <c r="R72" s="165"/>
      <c r="S72" s="165"/>
      <c r="T72" s="165"/>
      <c r="U72" s="42">
        <v>31.41</v>
      </c>
      <c r="V72" s="42">
        <v>31.88</v>
      </c>
      <c r="W72" s="42">
        <v>34.47</v>
      </c>
      <c r="X72" s="42">
        <v>32.75</v>
      </c>
      <c r="Y72" s="42">
        <v>33.5</v>
      </c>
      <c r="Z72" s="42">
        <v>32.75</v>
      </c>
      <c r="AA72" s="165"/>
      <c r="AB72" s="165"/>
      <c r="AC72" s="165"/>
      <c r="AD72" s="165"/>
      <c r="AE72" s="165"/>
      <c r="AF72" s="165"/>
      <c r="AG72" s="165" t="s">
        <v>752</v>
      </c>
      <c r="AH72" s="165" t="s">
        <v>753</v>
      </c>
      <c r="AI72" s="165"/>
    </row>
    <row r="73" spans="1:35" x14ac:dyDescent="0.25">
      <c r="A73" s="105" t="s">
        <v>296</v>
      </c>
      <c r="B73" s="115" t="s">
        <v>205</v>
      </c>
      <c r="C73" s="115" t="s">
        <v>206</v>
      </c>
      <c r="D73" s="115" t="s">
        <v>207</v>
      </c>
      <c r="E73" s="42" t="s">
        <v>220</v>
      </c>
      <c r="F73" s="165" t="s">
        <v>296</v>
      </c>
      <c r="G73" s="165" t="s">
        <v>205</v>
      </c>
      <c r="H73" s="165" t="s">
        <v>206</v>
      </c>
      <c r="I73" s="165" t="s">
        <v>207</v>
      </c>
      <c r="J73" s="165" t="s">
        <v>220</v>
      </c>
      <c r="K73" s="165" t="s">
        <v>297</v>
      </c>
      <c r="L73" s="42" t="s">
        <v>220</v>
      </c>
      <c r="M73" s="165"/>
      <c r="N73" s="165"/>
      <c r="O73" s="165" t="s">
        <v>220</v>
      </c>
      <c r="P73" s="165"/>
      <c r="Q73" s="165"/>
      <c r="R73" s="165"/>
      <c r="S73" s="165"/>
      <c r="T73" s="165"/>
      <c r="U73" s="42">
        <v>31.86</v>
      </c>
      <c r="V73" s="42">
        <v>34.520000000000003</v>
      </c>
      <c r="W73" s="42">
        <v>33.75</v>
      </c>
      <c r="X73" s="42">
        <v>33.18</v>
      </c>
      <c r="Y73" s="42">
        <v>33.86</v>
      </c>
      <c r="Z73" s="42">
        <v>32.4</v>
      </c>
      <c r="AA73" s="165"/>
      <c r="AB73" s="165"/>
      <c r="AC73" s="165"/>
      <c r="AD73" s="165"/>
      <c r="AE73" s="165"/>
      <c r="AF73" s="165"/>
      <c r="AG73" s="165" t="s">
        <v>754</v>
      </c>
      <c r="AH73" s="165">
        <v>100</v>
      </c>
      <c r="AI73" s="165" t="s">
        <v>755</v>
      </c>
    </row>
    <row r="74" spans="1:35" x14ac:dyDescent="0.25">
      <c r="A74" s="105" t="s">
        <v>297</v>
      </c>
      <c r="B74" s="115" t="s">
        <v>205</v>
      </c>
      <c r="C74" s="115" t="s">
        <v>206</v>
      </c>
      <c r="D74" s="115" t="s">
        <v>207</v>
      </c>
      <c r="E74" s="42" t="s">
        <v>220</v>
      </c>
      <c r="F74" s="165" t="s">
        <v>297</v>
      </c>
      <c r="G74" s="165" t="s">
        <v>205</v>
      </c>
      <c r="H74" s="165" t="s">
        <v>206</v>
      </c>
      <c r="I74" s="165" t="s">
        <v>207</v>
      </c>
      <c r="J74" s="165" t="s">
        <v>220</v>
      </c>
      <c r="K74" s="165" t="s">
        <v>298</v>
      </c>
      <c r="L74" s="42">
        <v>32.049999999999997</v>
      </c>
      <c r="M74" s="165"/>
      <c r="N74" s="165"/>
      <c r="O74" s="165">
        <v>24.69</v>
      </c>
      <c r="P74" s="165"/>
      <c r="Q74" s="165"/>
      <c r="R74" s="165"/>
      <c r="S74" s="165"/>
      <c r="T74" s="165"/>
      <c r="U74" s="42">
        <v>32.369999999999997</v>
      </c>
      <c r="V74" s="42">
        <v>33.24</v>
      </c>
      <c r="W74" s="42">
        <v>35.43</v>
      </c>
      <c r="X74" s="42">
        <v>34.909999999999997</v>
      </c>
      <c r="Y74" s="42">
        <v>33.76</v>
      </c>
      <c r="Z74" s="42">
        <v>33.22</v>
      </c>
      <c r="AA74" s="165"/>
      <c r="AB74" s="165"/>
      <c r="AC74" s="165"/>
      <c r="AD74" s="165"/>
      <c r="AE74" s="165"/>
      <c r="AF74" s="165"/>
      <c r="AG74" s="165"/>
      <c r="AH74" s="165"/>
      <c r="AI74" s="165"/>
    </row>
    <row r="75" spans="1:35" x14ac:dyDescent="0.25">
      <c r="A75" s="105" t="s">
        <v>298</v>
      </c>
      <c r="B75" s="115" t="s">
        <v>205</v>
      </c>
      <c r="C75" s="115" t="s">
        <v>569</v>
      </c>
      <c r="D75" s="115" t="s">
        <v>207</v>
      </c>
      <c r="E75" s="42">
        <v>32.049999999999997</v>
      </c>
      <c r="F75" s="165" t="s">
        <v>298</v>
      </c>
      <c r="G75" s="165" t="s">
        <v>205</v>
      </c>
      <c r="H75" s="165" t="s">
        <v>569</v>
      </c>
      <c r="I75" s="165" t="s">
        <v>207</v>
      </c>
      <c r="J75" s="165">
        <v>24.69</v>
      </c>
      <c r="K75" s="165" t="s">
        <v>299</v>
      </c>
      <c r="L75" s="42">
        <v>32.770000000000003</v>
      </c>
      <c r="M75" s="165"/>
      <c r="N75" s="165"/>
      <c r="O75" s="165">
        <v>24.87</v>
      </c>
      <c r="P75" s="165"/>
      <c r="Q75" s="165"/>
      <c r="R75" s="165"/>
      <c r="S75" s="165"/>
      <c r="T75" s="165"/>
      <c r="U75" s="42">
        <v>31.47</v>
      </c>
      <c r="V75" s="42">
        <v>34.08</v>
      </c>
      <c r="W75" s="42">
        <v>32.770000000000003</v>
      </c>
      <c r="X75" s="42">
        <v>32.119999999999997</v>
      </c>
      <c r="Y75" s="42">
        <v>31.77</v>
      </c>
      <c r="Z75" s="42">
        <v>32.65</v>
      </c>
      <c r="AA75" s="165"/>
      <c r="AB75" s="165"/>
      <c r="AC75" s="165"/>
      <c r="AD75" s="165"/>
      <c r="AE75" s="165"/>
      <c r="AF75" s="165"/>
      <c r="AG75" s="165"/>
      <c r="AH75" s="165"/>
      <c r="AI75" s="165"/>
    </row>
    <row r="76" spans="1:35" x14ac:dyDescent="0.25">
      <c r="A76" s="105" t="s">
        <v>299</v>
      </c>
      <c r="B76" s="115" t="s">
        <v>205</v>
      </c>
      <c r="C76" s="115" t="s">
        <v>569</v>
      </c>
      <c r="D76" s="115" t="s">
        <v>207</v>
      </c>
      <c r="E76" s="42">
        <v>32.770000000000003</v>
      </c>
      <c r="F76" s="165" t="s">
        <v>299</v>
      </c>
      <c r="G76" s="165" t="s">
        <v>205</v>
      </c>
      <c r="H76" s="165" t="s">
        <v>569</v>
      </c>
      <c r="I76" s="165" t="s">
        <v>207</v>
      </c>
      <c r="J76" s="165">
        <v>24.87</v>
      </c>
      <c r="K76" s="165" t="s">
        <v>300</v>
      </c>
      <c r="L76" s="42">
        <v>32.86</v>
      </c>
      <c r="M76" s="165"/>
      <c r="N76" s="165"/>
      <c r="O76" s="165">
        <v>24.91</v>
      </c>
      <c r="P76" s="165"/>
      <c r="Q76" s="165"/>
      <c r="R76" s="165"/>
      <c r="S76" s="165"/>
      <c r="T76" s="165"/>
      <c r="U76" s="42">
        <v>31.08</v>
      </c>
      <c r="V76" s="42">
        <v>33.07</v>
      </c>
      <c r="W76" s="42">
        <v>35.200000000000003</v>
      </c>
      <c r="X76" s="42">
        <v>33.82</v>
      </c>
      <c r="Y76" s="42">
        <v>32.75</v>
      </c>
      <c r="Z76" s="42">
        <v>31.3</v>
      </c>
      <c r="AA76" s="165"/>
      <c r="AB76" s="165"/>
      <c r="AC76" s="165"/>
      <c r="AD76" s="165"/>
      <c r="AE76" s="165"/>
      <c r="AF76" s="165"/>
      <c r="AG76" s="165" t="s">
        <v>756</v>
      </c>
      <c r="AH76" s="165"/>
      <c r="AI76" s="165"/>
    </row>
    <row r="77" spans="1:35" x14ac:dyDescent="0.25">
      <c r="A77" s="105" t="s">
        <v>300</v>
      </c>
      <c r="B77" s="115" t="s">
        <v>205</v>
      </c>
      <c r="C77" s="115" t="s">
        <v>569</v>
      </c>
      <c r="D77" s="115" t="s">
        <v>207</v>
      </c>
      <c r="E77" s="42">
        <v>32.86</v>
      </c>
      <c r="F77" s="165" t="s">
        <v>300</v>
      </c>
      <c r="G77" s="165" t="s">
        <v>205</v>
      </c>
      <c r="H77" s="165" t="s">
        <v>569</v>
      </c>
      <c r="I77" s="165" t="s">
        <v>207</v>
      </c>
      <c r="J77" s="165">
        <v>24.91</v>
      </c>
      <c r="K77" s="165" t="s">
        <v>301</v>
      </c>
      <c r="L77" s="42">
        <v>36.71</v>
      </c>
      <c r="M77" s="165"/>
      <c r="N77" s="165"/>
      <c r="O77" s="165">
        <v>29.13</v>
      </c>
      <c r="P77" s="165"/>
      <c r="Q77" s="165"/>
      <c r="R77" s="165"/>
      <c r="S77" s="165"/>
      <c r="T77" s="165"/>
      <c r="U77" s="42">
        <v>30.04</v>
      </c>
      <c r="V77" s="42">
        <v>34.53</v>
      </c>
      <c r="W77" s="42">
        <v>35.92</v>
      </c>
      <c r="X77" s="42">
        <v>33.36</v>
      </c>
      <c r="Y77" s="42">
        <v>34.76</v>
      </c>
      <c r="Z77" s="42">
        <v>33.659999999999997</v>
      </c>
      <c r="AA77" s="165"/>
      <c r="AB77" s="165"/>
      <c r="AC77" s="165"/>
      <c r="AD77" s="165"/>
      <c r="AE77" s="165"/>
      <c r="AF77" s="165"/>
      <c r="AG77" s="165" t="s">
        <v>751</v>
      </c>
      <c r="AH77" s="165">
        <v>100</v>
      </c>
      <c r="AI77" s="165"/>
    </row>
    <row r="78" spans="1:35" x14ac:dyDescent="0.25">
      <c r="A78" s="105" t="s">
        <v>301</v>
      </c>
      <c r="B78" s="115" t="s">
        <v>205</v>
      </c>
      <c r="C78" s="115" t="s">
        <v>569</v>
      </c>
      <c r="D78" s="115" t="s">
        <v>207</v>
      </c>
      <c r="E78" s="42">
        <v>36.71</v>
      </c>
      <c r="F78" s="165" t="s">
        <v>301</v>
      </c>
      <c r="G78" s="165" t="s">
        <v>205</v>
      </c>
      <c r="H78" s="165" t="s">
        <v>569</v>
      </c>
      <c r="I78" s="165" t="s">
        <v>207</v>
      </c>
      <c r="J78" s="165">
        <v>29.13</v>
      </c>
      <c r="K78" s="165" t="s">
        <v>302</v>
      </c>
      <c r="L78" s="42">
        <v>36.909999999999997</v>
      </c>
      <c r="M78" s="165"/>
      <c r="N78" s="165"/>
      <c r="O78" s="165">
        <v>29.41</v>
      </c>
      <c r="P78" s="165"/>
      <c r="Q78" s="165"/>
      <c r="R78" s="165"/>
      <c r="S78" s="165"/>
      <c r="T78" s="165"/>
      <c r="U78" s="42">
        <v>33.130000000000003</v>
      </c>
      <c r="V78" s="42">
        <v>34.93</v>
      </c>
      <c r="W78" s="42">
        <v>33.65</v>
      </c>
      <c r="X78" s="42">
        <v>33.46</v>
      </c>
      <c r="Y78" s="42">
        <v>33.590000000000003</v>
      </c>
      <c r="Z78" s="42">
        <v>34.61</v>
      </c>
      <c r="AA78" s="165"/>
      <c r="AB78" s="165"/>
      <c r="AC78" s="165"/>
      <c r="AD78" s="165"/>
      <c r="AE78" s="165"/>
      <c r="AF78" s="165"/>
      <c r="AG78" s="165" t="s">
        <v>754</v>
      </c>
      <c r="AH78" s="165">
        <v>100</v>
      </c>
      <c r="AI78" s="165"/>
    </row>
    <row r="79" spans="1:35" x14ac:dyDescent="0.25">
      <c r="A79" s="105" t="s">
        <v>302</v>
      </c>
      <c r="B79" s="115" t="s">
        <v>205</v>
      </c>
      <c r="C79" s="115" t="s">
        <v>569</v>
      </c>
      <c r="D79" s="115" t="s">
        <v>207</v>
      </c>
      <c r="E79" s="42">
        <v>36.909999999999997</v>
      </c>
      <c r="F79" s="165" t="s">
        <v>302</v>
      </c>
      <c r="G79" s="165" t="s">
        <v>205</v>
      </c>
      <c r="H79" s="165" t="s">
        <v>569</v>
      </c>
      <c r="I79" s="165" t="s">
        <v>207</v>
      </c>
      <c r="J79" s="165">
        <v>29.41</v>
      </c>
      <c r="K79" s="165" t="s">
        <v>303</v>
      </c>
      <c r="L79" s="42">
        <v>37.090000000000003</v>
      </c>
      <c r="M79" s="165"/>
      <c r="N79" s="165"/>
      <c r="O79" s="165">
        <v>29.49</v>
      </c>
      <c r="P79" s="165"/>
      <c r="Q79" s="165"/>
      <c r="R79" s="165"/>
      <c r="S79" s="165"/>
      <c r="T79" s="165"/>
      <c r="U79" s="42">
        <v>30.34</v>
      </c>
      <c r="V79" s="42">
        <v>37.11</v>
      </c>
      <c r="W79" s="42">
        <v>34.4</v>
      </c>
      <c r="X79" s="42">
        <v>34.450000000000003</v>
      </c>
      <c r="Y79" s="42">
        <v>32.18</v>
      </c>
      <c r="Z79" s="42">
        <v>34.700000000000003</v>
      </c>
      <c r="AA79" s="165"/>
      <c r="AB79" s="165"/>
      <c r="AC79" s="165"/>
      <c r="AD79" s="165"/>
      <c r="AE79" s="165"/>
      <c r="AF79" s="165"/>
      <c r="AG79" s="165" t="s">
        <v>757</v>
      </c>
      <c r="AH79" s="165">
        <v>200</v>
      </c>
      <c r="AI79" s="165"/>
    </row>
    <row r="80" spans="1:35" x14ac:dyDescent="0.25">
      <c r="A80" s="105" t="s">
        <v>303</v>
      </c>
      <c r="B80" s="115" t="s">
        <v>205</v>
      </c>
      <c r="C80" s="115" t="s">
        <v>569</v>
      </c>
      <c r="D80" s="115" t="s">
        <v>207</v>
      </c>
      <c r="E80" s="42">
        <v>37.090000000000003</v>
      </c>
      <c r="F80" s="165" t="s">
        <v>303</v>
      </c>
      <c r="G80" s="165" t="s">
        <v>205</v>
      </c>
      <c r="H80" s="165" t="s">
        <v>569</v>
      </c>
      <c r="I80" s="165" t="s">
        <v>207</v>
      </c>
      <c r="J80" s="165">
        <v>29.49</v>
      </c>
      <c r="K80" s="165" t="s">
        <v>304</v>
      </c>
      <c r="L80" s="42">
        <v>39.1</v>
      </c>
      <c r="M80" s="165"/>
      <c r="N80" s="165"/>
      <c r="O80" s="165">
        <v>31.39</v>
      </c>
      <c r="P80" s="165"/>
      <c r="Q80" s="165"/>
      <c r="R80" s="165"/>
      <c r="S80" s="165"/>
      <c r="T80" s="165"/>
      <c r="U80" s="42">
        <v>32.090000000000003</v>
      </c>
      <c r="V80" s="42">
        <v>35.71</v>
      </c>
      <c r="W80" s="42">
        <v>32.520000000000003</v>
      </c>
      <c r="X80" s="42">
        <v>33.94</v>
      </c>
      <c r="Y80" s="42">
        <v>32.89</v>
      </c>
      <c r="Z80" s="42">
        <v>34.14</v>
      </c>
      <c r="AA80" s="165"/>
      <c r="AB80" s="165"/>
      <c r="AC80" s="165"/>
      <c r="AD80" s="165"/>
      <c r="AE80" s="165"/>
      <c r="AF80" s="165"/>
      <c r="AG80" s="165"/>
      <c r="AH80" s="165"/>
      <c r="AI80" s="165"/>
    </row>
    <row r="81" spans="1:41" x14ac:dyDescent="0.25">
      <c r="A81" s="105" t="s">
        <v>304</v>
      </c>
      <c r="B81" s="115" t="s">
        <v>205</v>
      </c>
      <c r="C81" s="115" t="s">
        <v>569</v>
      </c>
      <c r="D81" s="115" t="s">
        <v>207</v>
      </c>
      <c r="E81" s="42">
        <v>39.1</v>
      </c>
      <c r="F81" s="165" t="s">
        <v>304</v>
      </c>
      <c r="G81" s="165" t="s">
        <v>205</v>
      </c>
      <c r="H81" s="165" t="s">
        <v>569</v>
      </c>
      <c r="I81" s="165" t="s">
        <v>207</v>
      </c>
      <c r="J81" s="165">
        <v>31.39</v>
      </c>
      <c r="K81" s="165" t="s">
        <v>305</v>
      </c>
      <c r="L81" s="42">
        <v>38.54</v>
      </c>
      <c r="M81" s="165"/>
      <c r="N81" s="165"/>
      <c r="O81" s="165">
        <v>31.11</v>
      </c>
      <c r="P81" s="165"/>
      <c r="Q81" s="165"/>
      <c r="R81" s="165"/>
      <c r="S81" s="165"/>
      <c r="T81" s="165"/>
      <c r="U81" s="165"/>
      <c r="V81" s="42"/>
      <c r="W81" s="165"/>
      <c r="X81" s="165"/>
      <c r="Y81" s="165"/>
      <c r="Z81" s="165"/>
      <c r="AA81" s="165"/>
      <c r="AB81" s="165"/>
      <c r="AC81" s="165"/>
      <c r="AD81" s="165"/>
      <c r="AE81" s="165"/>
      <c r="AF81" s="165"/>
      <c r="AG81" s="165"/>
      <c r="AH81" s="165"/>
      <c r="AI81" s="165"/>
      <c r="AJ81" s="165"/>
      <c r="AK81" s="165"/>
      <c r="AL81" s="165"/>
      <c r="AM81" s="165"/>
      <c r="AN81" s="165"/>
      <c r="AO81" s="165"/>
    </row>
    <row r="82" spans="1:41" x14ac:dyDescent="0.25">
      <c r="A82" s="105" t="s">
        <v>305</v>
      </c>
      <c r="B82" s="115" t="s">
        <v>205</v>
      </c>
      <c r="C82" s="115" t="s">
        <v>569</v>
      </c>
      <c r="D82" s="115" t="s">
        <v>207</v>
      </c>
      <c r="E82" s="42">
        <v>38.54</v>
      </c>
      <c r="F82" s="165" t="s">
        <v>305</v>
      </c>
      <c r="G82" s="165" t="s">
        <v>205</v>
      </c>
      <c r="H82" s="165" t="s">
        <v>569</v>
      </c>
      <c r="I82" s="165" t="s">
        <v>207</v>
      </c>
      <c r="J82" s="165">
        <v>31.11</v>
      </c>
      <c r="K82" s="165" t="s">
        <v>306</v>
      </c>
      <c r="L82" s="42">
        <v>38.92</v>
      </c>
      <c r="M82" s="165"/>
      <c r="N82" s="165"/>
      <c r="O82" s="165">
        <v>31.23</v>
      </c>
      <c r="P82" s="165"/>
      <c r="Q82" s="165"/>
      <c r="R82" s="165"/>
      <c r="S82" s="165"/>
      <c r="T82" s="165" t="s">
        <v>729</v>
      </c>
      <c r="U82" s="89" t="s">
        <v>30</v>
      </c>
      <c r="V82" s="165" t="s">
        <v>31</v>
      </c>
      <c r="W82" s="165" t="s">
        <v>560</v>
      </c>
      <c r="X82" s="165" t="s">
        <v>562</v>
      </c>
      <c r="Y82" s="165" t="s">
        <v>32</v>
      </c>
      <c r="Z82" s="165" t="s">
        <v>33</v>
      </c>
      <c r="AA82" s="165"/>
      <c r="AB82" s="89" t="s">
        <v>30</v>
      </c>
      <c r="AC82" s="165">
        <v>28.57</v>
      </c>
      <c r="AD82" s="165">
        <v>28.58</v>
      </c>
      <c r="AE82" s="165">
        <v>28.5</v>
      </c>
      <c r="AF82" s="165">
        <v>28.64</v>
      </c>
      <c r="AG82" s="165">
        <v>28.41</v>
      </c>
      <c r="AH82" s="165">
        <v>28.92</v>
      </c>
      <c r="AI82" s="165">
        <v>28.5</v>
      </c>
      <c r="AJ82" s="165">
        <v>28.82</v>
      </c>
      <c r="AK82" s="165">
        <v>28.87</v>
      </c>
      <c r="AL82" s="165">
        <v>28.35</v>
      </c>
      <c r="AM82" s="165">
        <v>28.78</v>
      </c>
      <c r="AN82" s="165"/>
      <c r="AO82" s="165" t="str">
        <f>AB82&amp;"=["&amp;AC82&amp;","&amp;AD82&amp;","&amp;AE82&amp;","&amp;AF82&amp;","&amp;AG82&amp;","&amp;AH82&amp;","&amp;AI82&amp;","&amp;AJ82&amp;","&amp;AK82&amp;","&amp;AL82&amp;","&amp;AM82&amp;"]"</f>
        <v>std_1=[28.57,28.58,28.5,28.64,28.41,28.92,28.5,28.82,28.87,28.35,28.78]</v>
      </c>
    </row>
    <row r="83" spans="1:41" x14ac:dyDescent="0.25">
      <c r="A83" s="105" t="s">
        <v>306</v>
      </c>
      <c r="B83" s="115" t="s">
        <v>205</v>
      </c>
      <c r="C83" s="115" t="s">
        <v>569</v>
      </c>
      <c r="D83" s="115" t="s">
        <v>207</v>
      </c>
      <c r="E83" s="42">
        <v>38.92</v>
      </c>
      <c r="F83" s="165" t="s">
        <v>306</v>
      </c>
      <c r="G83" s="165" t="s">
        <v>205</v>
      </c>
      <c r="H83" s="165" t="s">
        <v>569</v>
      </c>
      <c r="I83" s="165" t="s">
        <v>207</v>
      </c>
      <c r="J83" s="165">
        <v>31.23</v>
      </c>
      <c r="K83" s="165" t="s">
        <v>307</v>
      </c>
      <c r="L83" s="42" t="s">
        <v>220</v>
      </c>
      <c r="M83" s="165"/>
      <c r="N83" s="165"/>
      <c r="O83" s="165">
        <v>35.07</v>
      </c>
      <c r="P83" s="165"/>
      <c r="Q83" s="165"/>
      <c r="R83" s="165"/>
      <c r="S83" s="165"/>
      <c r="T83" s="165"/>
      <c r="U83" s="165">
        <v>28.57</v>
      </c>
      <c r="V83" s="165">
        <v>28.73</v>
      </c>
      <c r="W83" s="165">
        <v>28.64</v>
      </c>
      <c r="X83" s="165">
        <v>28.63</v>
      </c>
      <c r="Y83" s="165">
        <v>28.24</v>
      </c>
      <c r="Z83" s="165">
        <v>28.3</v>
      </c>
      <c r="AA83" s="165"/>
      <c r="AB83" s="165" t="s">
        <v>31</v>
      </c>
      <c r="AC83" s="165">
        <v>28.73</v>
      </c>
      <c r="AD83" s="165">
        <v>28.59</v>
      </c>
      <c r="AE83" s="165">
        <v>28.64</v>
      </c>
      <c r="AF83" s="165">
        <v>28.87</v>
      </c>
      <c r="AG83" s="165">
        <v>28.67</v>
      </c>
      <c r="AH83" s="165">
        <v>28.87</v>
      </c>
      <c r="AI83" s="165">
        <v>28.56</v>
      </c>
      <c r="AJ83" s="165">
        <v>29.78</v>
      </c>
      <c r="AK83" s="165">
        <v>28.49</v>
      </c>
      <c r="AL83" s="165">
        <v>28.98</v>
      </c>
      <c r="AM83" s="165">
        <v>28.47</v>
      </c>
      <c r="AN83" s="165"/>
      <c r="AO83" s="165" t="str">
        <f t="shared" ref="AO83:AO87" si="7">AB83&amp;"=["&amp;AC83&amp;","&amp;AD83&amp;","&amp;AE83&amp;","&amp;AF83&amp;","&amp;AG83&amp;","&amp;AH83&amp;","&amp;AI83&amp;","&amp;AJ83&amp;","&amp;AK83&amp;","&amp;AL83&amp;","&amp;AM83&amp;"]"</f>
        <v>std_2=[28.73,28.59,28.64,28.87,28.67,28.87,28.56,29.78,28.49,28.98,28.47]</v>
      </c>
    </row>
    <row r="84" spans="1:41" x14ac:dyDescent="0.25">
      <c r="A84" s="105" t="s">
        <v>307</v>
      </c>
      <c r="B84" s="115" t="s">
        <v>205</v>
      </c>
      <c r="C84" s="115" t="s">
        <v>569</v>
      </c>
      <c r="D84" s="115" t="s">
        <v>207</v>
      </c>
      <c r="E84" s="42" t="s">
        <v>220</v>
      </c>
      <c r="F84" s="165" t="s">
        <v>307</v>
      </c>
      <c r="G84" s="165" t="s">
        <v>205</v>
      </c>
      <c r="H84" s="165" t="s">
        <v>569</v>
      </c>
      <c r="I84" s="165" t="s">
        <v>207</v>
      </c>
      <c r="J84" s="165">
        <v>35.07</v>
      </c>
      <c r="K84" s="165" t="s">
        <v>308</v>
      </c>
      <c r="L84" s="42" t="s">
        <v>220</v>
      </c>
      <c r="M84" s="165"/>
      <c r="N84" s="165"/>
      <c r="O84" s="165">
        <v>36.119999999999997</v>
      </c>
      <c r="P84" s="165"/>
      <c r="Q84" s="165"/>
      <c r="R84" s="165"/>
      <c r="S84" s="165"/>
      <c r="T84" s="165"/>
      <c r="U84" s="165">
        <v>28.58</v>
      </c>
      <c r="V84" s="165">
        <v>28.59</v>
      </c>
      <c r="W84" s="165">
        <v>28.66</v>
      </c>
      <c r="X84" s="165">
        <v>28.39</v>
      </c>
      <c r="Y84" s="165">
        <v>28.43</v>
      </c>
      <c r="Z84" s="165">
        <v>28.22</v>
      </c>
      <c r="AA84" s="165"/>
      <c r="AB84" s="165" t="s">
        <v>560</v>
      </c>
      <c r="AC84" s="165">
        <v>28.64</v>
      </c>
      <c r="AD84" s="165">
        <v>28.66</v>
      </c>
      <c r="AE84" s="165">
        <v>28.56</v>
      </c>
      <c r="AF84" s="165">
        <v>28.83</v>
      </c>
      <c r="AG84" s="165">
        <v>28.49</v>
      </c>
      <c r="AH84" s="165">
        <v>28.65</v>
      </c>
      <c r="AI84" s="165">
        <v>28.62</v>
      </c>
      <c r="AJ84" s="165">
        <v>28.82</v>
      </c>
      <c r="AK84" s="165">
        <v>28.84</v>
      </c>
      <c r="AL84" s="165">
        <v>28.36</v>
      </c>
      <c r="AM84" s="165">
        <v>28.49</v>
      </c>
      <c r="AN84" s="165"/>
      <c r="AO84" s="165" t="str">
        <f t="shared" si="7"/>
        <v>std_2.1=[28.64,28.66,28.56,28.83,28.49,28.65,28.62,28.82,28.84,28.36,28.49]</v>
      </c>
    </row>
    <row r="85" spans="1:41" x14ac:dyDescent="0.25">
      <c r="A85" s="105" t="s">
        <v>308</v>
      </c>
      <c r="B85" s="115" t="s">
        <v>205</v>
      </c>
      <c r="C85" s="115" t="s">
        <v>569</v>
      </c>
      <c r="D85" s="115" t="s">
        <v>207</v>
      </c>
      <c r="E85" s="42" t="s">
        <v>220</v>
      </c>
      <c r="F85" s="165" t="s">
        <v>308</v>
      </c>
      <c r="G85" s="165" t="s">
        <v>205</v>
      </c>
      <c r="H85" s="165" t="s">
        <v>569</v>
      </c>
      <c r="I85" s="165" t="s">
        <v>207</v>
      </c>
      <c r="J85" s="165">
        <v>36.119999999999997</v>
      </c>
      <c r="K85" s="165" t="s">
        <v>309</v>
      </c>
      <c r="L85" s="42" t="s">
        <v>220</v>
      </c>
      <c r="M85" s="165"/>
      <c r="N85" s="165"/>
      <c r="O85" s="165">
        <v>35.83</v>
      </c>
      <c r="P85" s="165"/>
      <c r="Q85" s="165"/>
      <c r="R85" s="165"/>
      <c r="S85" s="165"/>
      <c r="T85" s="165"/>
      <c r="U85" s="165">
        <v>28.5</v>
      </c>
      <c r="V85" s="165">
        <v>28.64</v>
      </c>
      <c r="W85" s="165">
        <v>28.56</v>
      </c>
      <c r="X85" s="165">
        <v>28.7</v>
      </c>
      <c r="Y85" s="165">
        <v>28.36</v>
      </c>
      <c r="Z85" s="165">
        <v>28.39</v>
      </c>
      <c r="AA85" s="165"/>
      <c r="AB85" s="165" t="s">
        <v>562</v>
      </c>
      <c r="AC85" s="165">
        <v>28.63</v>
      </c>
      <c r="AD85" s="165">
        <v>28.39</v>
      </c>
      <c r="AE85" s="165">
        <v>28.7</v>
      </c>
      <c r="AF85" s="165">
        <v>28.5</v>
      </c>
      <c r="AG85" s="165">
        <v>29.14</v>
      </c>
      <c r="AH85" s="165">
        <v>28.39</v>
      </c>
      <c r="AI85" s="165">
        <v>28.57</v>
      </c>
      <c r="AJ85" s="165">
        <v>28.44</v>
      </c>
      <c r="AK85" s="165">
        <v>28.45</v>
      </c>
      <c r="AL85" s="165">
        <v>28.62</v>
      </c>
      <c r="AM85" s="165">
        <v>28.4</v>
      </c>
      <c r="AN85" s="165"/>
      <c r="AO85" s="165" t="str">
        <f t="shared" si="7"/>
        <v>std_2.2=[28.63,28.39,28.7,28.5,29.14,28.39,28.57,28.44,28.45,28.62,28.4]</v>
      </c>
    </row>
    <row r="86" spans="1:41" x14ac:dyDescent="0.25">
      <c r="A86" s="105" t="s">
        <v>309</v>
      </c>
      <c r="B86" s="115" t="s">
        <v>205</v>
      </c>
      <c r="C86" s="115" t="s">
        <v>569</v>
      </c>
      <c r="D86" s="115" t="s">
        <v>207</v>
      </c>
      <c r="E86" s="42" t="s">
        <v>220</v>
      </c>
      <c r="F86" s="165" t="s">
        <v>309</v>
      </c>
      <c r="G86" s="165" t="s">
        <v>205</v>
      </c>
      <c r="H86" s="165" t="s">
        <v>569</v>
      </c>
      <c r="I86" s="165" t="s">
        <v>207</v>
      </c>
      <c r="J86" s="165">
        <v>35.83</v>
      </c>
      <c r="K86" s="165" t="s">
        <v>310</v>
      </c>
      <c r="L86" s="42" t="s">
        <v>220</v>
      </c>
      <c r="M86" s="165"/>
      <c r="N86" s="165"/>
      <c r="O86" s="165">
        <v>37.020000000000003</v>
      </c>
      <c r="P86" s="165"/>
      <c r="Q86" s="165"/>
      <c r="R86" s="165"/>
      <c r="S86" s="165"/>
      <c r="T86" s="165"/>
      <c r="U86" s="165">
        <v>28.64</v>
      </c>
      <c r="V86" s="165">
        <v>28.87</v>
      </c>
      <c r="W86" s="165">
        <v>28.83</v>
      </c>
      <c r="X86" s="165">
        <v>28.5</v>
      </c>
      <c r="Y86" s="165">
        <v>28.58</v>
      </c>
      <c r="Z86" s="165">
        <v>28.35</v>
      </c>
      <c r="AA86" s="165"/>
      <c r="AB86" s="165" t="s">
        <v>32</v>
      </c>
      <c r="AC86" s="165">
        <v>28.24</v>
      </c>
      <c r="AD86" s="165">
        <v>28.43</v>
      </c>
      <c r="AE86" s="165">
        <v>28.36</v>
      </c>
      <c r="AF86" s="165">
        <v>28.58</v>
      </c>
      <c r="AG86" s="165">
        <v>28.44</v>
      </c>
      <c r="AH86" s="165">
        <v>28.67</v>
      </c>
      <c r="AI86" s="165">
        <v>28.3</v>
      </c>
      <c r="AJ86" s="165">
        <v>28.56</v>
      </c>
      <c r="AK86" s="165">
        <v>28.45</v>
      </c>
      <c r="AL86" s="165">
        <v>28.31</v>
      </c>
      <c r="AM86" s="165">
        <v>28.57</v>
      </c>
      <c r="AN86" s="165"/>
      <c r="AO86" s="165" t="str">
        <f t="shared" si="7"/>
        <v>std_3=[28.24,28.43,28.36,28.58,28.44,28.67,28.3,28.56,28.45,28.31,28.57]</v>
      </c>
    </row>
    <row r="87" spans="1:41" x14ac:dyDescent="0.25">
      <c r="A87" s="105" t="s">
        <v>310</v>
      </c>
      <c r="B87" s="115" t="s">
        <v>205</v>
      </c>
      <c r="C87" s="115" t="s">
        <v>569</v>
      </c>
      <c r="D87" s="115" t="s">
        <v>207</v>
      </c>
      <c r="E87" s="42" t="s">
        <v>220</v>
      </c>
      <c r="F87" s="165" t="s">
        <v>310</v>
      </c>
      <c r="G87" s="165" t="s">
        <v>205</v>
      </c>
      <c r="H87" s="165" t="s">
        <v>569</v>
      </c>
      <c r="I87" s="165" t="s">
        <v>207</v>
      </c>
      <c r="J87" s="165">
        <v>37.020000000000003</v>
      </c>
      <c r="K87" s="165" t="s">
        <v>311</v>
      </c>
      <c r="L87" s="42" t="s">
        <v>220</v>
      </c>
      <c r="M87" s="165"/>
      <c r="N87" s="165"/>
      <c r="O87" s="165">
        <v>37.07</v>
      </c>
      <c r="P87" s="165"/>
      <c r="Q87" s="165"/>
      <c r="R87" s="165"/>
      <c r="S87" s="165"/>
      <c r="T87" s="165"/>
      <c r="U87" s="165">
        <v>28.41</v>
      </c>
      <c r="V87" s="165">
        <v>28.67</v>
      </c>
      <c r="W87" s="165">
        <v>28.49</v>
      </c>
      <c r="X87" s="165">
        <v>29.14</v>
      </c>
      <c r="Y87" s="165">
        <v>28.44</v>
      </c>
      <c r="Z87" s="165">
        <v>28.09</v>
      </c>
      <c r="AA87" s="165"/>
      <c r="AB87" s="165" t="s">
        <v>33</v>
      </c>
      <c r="AC87" s="165">
        <v>28.3</v>
      </c>
      <c r="AD87" s="165">
        <v>28.22</v>
      </c>
      <c r="AE87" s="165">
        <v>28.39</v>
      </c>
      <c r="AF87" s="165">
        <v>28.35</v>
      </c>
      <c r="AG87" s="165">
        <v>28.09</v>
      </c>
      <c r="AH87" s="165">
        <v>28.39</v>
      </c>
      <c r="AI87" s="165">
        <v>28.24</v>
      </c>
      <c r="AJ87" s="165">
        <v>28.7</v>
      </c>
      <c r="AK87" s="165">
        <v>28.37</v>
      </c>
      <c r="AL87" s="165">
        <v>28.42</v>
      </c>
      <c r="AM87" s="165">
        <v>28.33</v>
      </c>
      <c r="AN87" s="165"/>
      <c r="AO87" s="165" t="str">
        <f t="shared" si="7"/>
        <v>std_4=[28.3,28.22,28.39,28.35,28.09,28.39,28.24,28.7,28.37,28.42,28.33]</v>
      </c>
    </row>
    <row r="88" spans="1:41" x14ac:dyDescent="0.25">
      <c r="A88" s="105" t="s">
        <v>311</v>
      </c>
      <c r="B88" s="115" t="s">
        <v>205</v>
      </c>
      <c r="C88" s="115" t="s">
        <v>569</v>
      </c>
      <c r="D88" s="115" t="s">
        <v>207</v>
      </c>
      <c r="E88" s="42" t="s">
        <v>220</v>
      </c>
      <c r="F88" s="165" t="s">
        <v>311</v>
      </c>
      <c r="G88" s="165" t="s">
        <v>205</v>
      </c>
      <c r="H88" s="165" t="s">
        <v>569</v>
      </c>
      <c r="I88" s="165" t="s">
        <v>207</v>
      </c>
      <c r="J88" s="165">
        <v>37.07</v>
      </c>
      <c r="K88" s="165" t="s">
        <v>312</v>
      </c>
      <c r="L88" s="42" t="s">
        <v>220</v>
      </c>
      <c r="M88" s="165"/>
      <c r="N88" s="165"/>
      <c r="O88" s="165">
        <v>36.72</v>
      </c>
      <c r="P88" s="165"/>
      <c r="Q88" s="165"/>
      <c r="R88" s="165"/>
      <c r="S88" s="165"/>
      <c r="T88" s="165"/>
      <c r="U88" s="165">
        <v>28.92</v>
      </c>
      <c r="V88" s="165">
        <v>28.87</v>
      </c>
      <c r="W88" s="165">
        <v>28.65</v>
      </c>
      <c r="X88" s="165">
        <v>28.39</v>
      </c>
      <c r="Y88" s="165">
        <v>28.67</v>
      </c>
      <c r="Z88" s="165">
        <v>28.39</v>
      </c>
      <c r="AA88" s="165"/>
      <c r="AB88" s="165"/>
      <c r="AC88" s="165"/>
      <c r="AD88" s="165"/>
      <c r="AE88" s="165"/>
      <c r="AF88" s="165"/>
      <c r="AG88" s="165"/>
      <c r="AH88" s="165"/>
      <c r="AI88" s="165"/>
      <c r="AJ88" s="165"/>
      <c r="AK88" s="165"/>
      <c r="AL88" s="165"/>
      <c r="AM88" s="165"/>
      <c r="AN88" s="165"/>
      <c r="AO88" s="165"/>
    </row>
    <row r="89" spans="1:41" x14ac:dyDescent="0.25">
      <c r="A89" s="105" t="s">
        <v>312</v>
      </c>
      <c r="B89" s="115" t="s">
        <v>205</v>
      </c>
      <c r="C89" s="115" t="s">
        <v>569</v>
      </c>
      <c r="D89" s="115" t="s">
        <v>207</v>
      </c>
      <c r="E89" s="42" t="s">
        <v>220</v>
      </c>
      <c r="F89" s="165" t="s">
        <v>312</v>
      </c>
      <c r="G89" s="165" t="s">
        <v>205</v>
      </c>
      <c r="H89" s="165" t="s">
        <v>569</v>
      </c>
      <c r="I89" s="165" t="s">
        <v>207</v>
      </c>
      <c r="J89" s="165">
        <v>36.72</v>
      </c>
      <c r="K89" s="165" t="s">
        <v>313</v>
      </c>
      <c r="L89" s="42" t="s">
        <v>220</v>
      </c>
      <c r="M89" s="165"/>
      <c r="N89" s="165"/>
      <c r="O89" s="165" t="s">
        <v>220</v>
      </c>
      <c r="P89" s="165"/>
      <c r="Q89" s="165"/>
      <c r="R89" s="165"/>
      <c r="S89" s="165"/>
      <c r="T89" s="165"/>
      <c r="U89" s="165">
        <v>28.5</v>
      </c>
      <c r="V89" s="165">
        <v>28.56</v>
      </c>
      <c r="W89" s="165">
        <v>28.62</v>
      </c>
      <c r="X89" s="165">
        <v>28.57</v>
      </c>
      <c r="Y89" s="165">
        <v>28.3</v>
      </c>
      <c r="Z89" s="165">
        <v>28.24</v>
      </c>
      <c r="AA89" s="165"/>
      <c r="AB89" s="165"/>
      <c r="AC89" s="165"/>
      <c r="AD89" s="165"/>
      <c r="AE89" s="165"/>
      <c r="AF89" s="165"/>
      <c r="AG89" s="165"/>
      <c r="AH89" s="165"/>
      <c r="AI89" s="165"/>
      <c r="AJ89" s="165"/>
      <c r="AK89" s="165"/>
      <c r="AL89" s="165"/>
      <c r="AM89" s="165"/>
      <c r="AN89" s="165"/>
      <c r="AO89" s="165"/>
    </row>
    <row r="90" spans="1:41" x14ac:dyDescent="0.25">
      <c r="A90" s="105" t="s">
        <v>313</v>
      </c>
      <c r="B90" s="115" t="s">
        <v>205</v>
      </c>
      <c r="C90" s="115" t="s">
        <v>569</v>
      </c>
      <c r="D90" s="115" t="s">
        <v>207</v>
      </c>
      <c r="E90" s="42" t="s">
        <v>220</v>
      </c>
      <c r="F90" s="165" t="s">
        <v>313</v>
      </c>
      <c r="G90" s="165" t="s">
        <v>205</v>
      </c>
      <c r="H90" s="165" t="s">
        <v>569</v>
      </c>
      <c r="I90" s="165" t="s">
        <v>207</v>
      </c>
      <c r="J90" s="165" t="s">
        <v>220</v>
      </c>
      <c r="K90" s="165" t="s">
        <v>314</v>
      </c>
      <c r="L90" s="42" t="s">
        <v>220</v>
      </c>
      <c r="M90" s="165"/>
      <c r="N90" s="165"/>
      <c r="O90" s="165" t="s">
        <v>220</v>
      </c>
      <c r="P90" s="165"/>
      <c r="Q90" s="165"/>
      <c r="R90" s="165"/>
      <c r="S90" s="165"/>
      <c r="T90" s="165"/>
      <c r="U90" s="165">
        <v>28.82</v>
      </c>
      <c r="V90" s="165">
        <v>29.78</v>
      </c>
      <c r="W90" s="165">
        <v>28.82</v>
      </c>
      <c r="X90" s="165">
        <v>28.44</v>
      </c>
      <c r="Y90" s="165">
        <v>28.56</v>
      </c>
      <c r="Z90" s="165">
        <v>28.7</v>
      </c>
      <c r="AA90" s="165"/>
      <c r="AB90" s="165"/>
      <c r="AC90" s="165"/>
      <c r="AD90" s="165"/>
      <c r="AE90" s="165"/>
      <c r="AF90" s="165"/>
      <c r="AG90" s="165"/>
      <c r="AH90" s="165"/>
      <c r="AI90" s="165"/>
      <c r="AJ90" s="165"/>
      <c r="AK90" s="165"/>
      <c r="AL90" s="165"/>
      <c r="AM90" s="165"/>
      <c r="AN90" s="165"/>
      <c r="AO90" s="165"/>
    </row>
    <row r="91" spans="1:41" x14ac:dyDescent="0.25">
      <c r="A91" s="105" t="s">
        <v>314</v>
      </c>
      <c r="B91" s="115" t="s">
        <v>205</v>
      </c>
      <c r="C91" s="115" t="s">
        <v>569</v>
      </c>
      <c r="D91" s="115" t="s">
        <v>207</v>
      </c>
      <c r="E91" s="42" t="s">
        <v>220</v>
      </c>
      <c r="F91" s="165" t="s">
        <v>314</v>
      </c>
      <c r="G91" s="165" t="s">
        <v>205</v>
      </c>
      <c r="H91" s="165" t="s">
        <v>569</v>
      </c>
      <c r="I91" s="165" t="s">
        <v>207</v>
      </c>
      <c r="J91" s="165" t="s">
        <v>220</v>
      </c>
      <c r="K91" s="165" t="s">
        <v>315</v>
      </c>
      <c r="L91" s="42" t="s">
        <v>220</v>
      </c>
      <c r="M91" s="165"/>
      <c r="N91" s="165"/>
      <c r="O91" s="165">
        <v>39.86</v>
      </c>
      <c r="P91" s="165"/>
      <c r="Q91" s="165"/>
      <c r="R91" s="165"/>
      <c r="S91" s="165"/>
      <c r="T91" s="165"/>
      <c r="U91" s="165">
        <v>28.87</v>
      </c>
      <c r="V91" s="165">
        <v>28.49</v>
      </c>
      <c r="W91" s="165">
        <v>28.84</v>
      </c>
      <c r="X91" s="165">
        <v>28.45</v>
      </c>
      <c r="Y91" s="165">
        <v>28.45</v>
      </c>
      <c r="Z91" s="165">
        <v>28.37</v>
      </c>
      <c r="AA91" s="165"/>
      <c r="AB91" s="165"/>
      <c r="AC91" s="165"/>
      <c r="AD91" s="165"/>
      <c r="AE91" s="165"/>
      <c r="AF91" s="165"/>
      <c r="AG91" s="165"/>
      <c r="AH91" s="165"/>
      <c r="AI91" s="165"/>
      <c r="AJ91" s="165"/>
      <c r="AK91" s="165"/>
      <c r="AL91" s="165"/>
      <c r="AM91" s="165"/>
      <c r="AN91" s="165"/>
      <c r="AO91" s="165"/>
    </row>
    <row r="92" spans="1:41" x14ac:dyDescent="0.25">
      <c r="A92" s="105" t="s">
        <v>315</v>
      </c>
      <c r="B92" s="115" t="s">
        <v>205</v>
      </c>
      <c r="C92" s="115" t="s">
        <v>569</v>
      </c>
      <c r="D92" s="115" t="s">
        <v>207</v>
      </c>
      <c r="E92" s="42" t="s">
        <v>220</v>
      </c>
      <c r="F92" s="165" t="s">
        <v>315</v>
      </c>
      <c r="G92" s="165" t="s">
        <v>205</v>
      </c>
      <c r="H92" s="165" t="s">
        <v>569</v>
      </c>
      <c r="I92" s="165" t="s">
        <v>207</v>
      </c>
      <c r="J92" s="165">
        <v>39.86</v>
      </c>
      <c r="K92" s="165" t="s">
        <v>316</v>
      </c>
      <c r="L92" s="42" t="s">
        <v>220</v>
      </c>
      <c r="M92" s="165"/>
      <c r="N92" s="165"/>
      <c r="O92" s="165" t="s">
        <v>220</v>
      </c>
      <c r="P92" s="165"/>
      <c r="Q92" s="165"/>
      <c r="R92" s="165"/>
      <c r="S92" s="165"/>
      <c r="T92" s="165"/>
      <c r="U92" s="165">
        <v>28.35</v>
      </c>
      <c r="V92" s="165">
        <v>28.98</v>
      </c>
      <c r="W92" s="165">
        <v>28.36</v>
      </c>
      <c r="X92" s="165">
        <v>28.62</v>
      </c>
      <c r="Y92" s="165">
        <v>28.31</v>
      </c>
      <c r="Z92" s="165">
        <v>28.42</v>
      </c>
      <c r="AA92" s="165"/>
      <c r="AB92" s="165"/>
      <c r="AC92" s="165"/>
      <c r="AD92" s="165"/>
      <c r="AE92" s="165"/>
      <c r="AF92" s="165"/>
      <c r="AG92" s="165"/>
      <c r="AH92" s="165"/>
      <c r="AI92" s="165"/>
      <c r="AJ92" s="165"/>
      <c r="AK92" s="165"/>
      <c r="AL92" s="165"/>
      <c r="AM92" s="165"/>
      <c r="AN92" s="165"/>
      <c r="AO92" s="165"/>
    </row>
    <row r="93" spans="1:41" x14ac:dyDescent="0.25">
      <c r="A93" s="105" t="s">
        <v>316</v>
      </c>
      <c r="B93" s="115" t="s">
        <v>205</v>
      </c>
      <c r="C93" s="115" t="s">
        <v>569</v>
      </c>
      <c r="D93" s="115" t="s">
        <v>207</v>
      </c>
      <c r="E93" s="42" t="s">
        <v>220</v>
      </c>
      <c r="F93" s="165" t="s">
        <v>316</v>
      </c>
      <c r="G93" s="165" t="s">
        <v>205</v>
      </c>
      <c r="H93" s="165" t="s">
        <v>569</v>
      </c>
      <c r="I93" s="165" t="s">
        <v>207</v>
      </c>
      <c r="J93" s="165" t="s">
        <v>220</v>
      </c>
      <c r="K93" s="165" t="s">
        <v>317</v>
      </c>
      <c r="L93" s="42" t="s">
        <v>220</v>
      </c>
      <c r="M93" s="165"/>
      <c r="N93" s="165"/>
      <c r="O93" s="165" t="s">
        <v>220</v>
      </c>
      <c r="P93" s="165"/>
      <c r="Q93" s="165"/>
      <c r="R93" s="165"/>
      <c r="S93" s="165"/>
      <c r="T93" s="165"/>
      <c r="U93" s="165">
        <v>28.78</v>
      </c>
      <c r="V93" s="165">
        <v>28.47</v>
      </c>
      <c r="W93" s="165">
        <v>28.49</v>
      </c>
      <c r="X93" s="165">
        <v>28.4</v>
      </c>
      <c r="Y93" s="165">
        <v>28.57</v>
      </c>
      <c r="Z93" s="165">
        <v>28.33</v>
      </c>
      <c r="AA93" s="165"/>
      <c r="AB93" s="165"/>
      <c r="AC93" s="165"/>
      <c r="AD93" s="165"/>
      <c r="AE93" s="165"/>
      <c r="AF93" s="165"/>
      <c r="AG93" s="165"/>
      <c r="AH93" s="165"/>
      <c r="AI93" s="165"/>
      <c r="AJ93" s="165"/>
      <c r="AK93" s="165"/>
      <c r="AL93" s="165"/>
      <c r="AM93" s="165"/>
      <c r="AN93" s="165"/>
      <c r="AO93" s="165"/>
    </row>
    <row r="94" spans="1:41" x14ac:dyDescent="0.25">
      <c r="A94" s="105" t="s">
        <v>317</v>
      </c>
      <c r="B94" s="115" t="s">
        <v>205</v>
      </c>
      <c r="C94" s="115" t="s">
        <v>569</v>
      </c>
      <c r="D94" s="115" t="s">
        <v>207</v>
      </c>
      <c r="E94" s="42" t="s">
        <v>220</v>
      </c>
      <c r="F94" s="165" t="s">
        <v>317</v>
      </c>
      <c r="G94" s="165" t="s">
        <v>205</v>
      </c>
      <c r="H94" s="165" t="s">
        <v>569</v>
      </c>
      <c r="I94" s="165" t="s">
        <v>207</v>
      </c>
      <c r="J94" s="165" t="s">
        <v>220</v>
      </c>
      <c r="K94" s="165" t="s">
        <v>318</v>
      </c>
      <c r="L94" s="42" t="s">
        <v>220</v>
      </c>
      <c r="M94" s="165"/>
      <c r="N94" s="165"/>
      <c r="O94" s="165" t="s">
        <v>220</v>
      </c>
      <c r="P94" s="165"/>
      <c r="Q94" s="165"/>
      <c r="R94" s="165"/>
      <c r="S94" s="165"/>
      <c r="T94" s="165"/>
      <c r="U94" s="165"/>
      <c r="V94" s="165"/>
      <c r="W94" s="165"/>
      <c r="X94" s="165"/>
      <c r="Y94" s="165"/>
      <c r="Z94" s="165"/>
      <c r="AA94" s="165"/>
      <c r="AB94" s="165"/>
      <c r="AC94" s="165"/>
      <c r="AD94" s="165"/>
      <c r="AE94" s="165"/>
      <c r="AF94" s="165"/>
      <c r="AG94" s="165"/>
      <c r="AH94" s="165"/>
      <c r="AI94" s="165"/>
      <c r="AJ94" s="165"/>
      <c r="AK94" s="165"/>
      <c r="AL94" s="165"/>
      <c r="AM94" s="165"/>
      <c r="AN94" s="165"/>
      <c r="AO94" s="165"/>
    </row>
    <row r="95" spans="1:41" x14ac:dyDescent="0.25">
      <c r="A95" s="105" t="s">
        <v>318</v>
      </c>
      <c r="B95" s="115" t="s">
        <v>205</v>
      </c>
      <c r="C95" s="115" t="s">
        <v>569</v>
      </c>
      <c r="D95" s="115" t="s">
        <v>207</v>
      </c>
      <c r="E95" s="42" t="s">
        <v>220</v>
      </c>
      <c r="F95" s="165" t="s">
        <v>318</v>
      </c>
      <c r="G95" s="165" t="s">
        <v>205</v>
      </c>
      <c r="H95" s="165" t="s">
        <v>569</v>
      </c>
      <c r="I95" s="165" t="s">
        <v>207</v>
      </c>
      <c r="J95" s="165" t="s">
        <v>220</v>
      </c>
      <c r="K95" s="165" t="s">
        <v>319</v>
      </c>
      <c r="L95" s="42" t="s">
        <v>220</v>
      </c>
      <c r="M95" s="165"/>
      <c r="N95" s="165"/>
      <c r="O95" s="165" t="s">
        <v>220</v>
      </c>
      <c r="P95" s="165"/>
      <c r="Q95" s="165"/>
      <c r="R95" s="165"/>
      <c r="S95" s="165"/>
      <c r="T95" s="165"/>
      <c r="U95" s="165"/>
      <c r="V95" s="165"/>
      <c r="W95" s="165"/>
      <c r="X95" s="165"/>
      <c r="Y95" s="165"/>
      <c r="Z95" s="165"/>
      <c r="AA95" s="165"/>
      <c r="AB95" s="165"/>
      <c r="AC95" s="165"/>
      <c r="AD95" s="165"/>
      <c r="AE95" s="165"/>
      <c r="AF95" s="165"/>
      <c r="AG95" s="165"/>
      <c r="AH95" s="165"/>
      <c r="AI95" s="165"/>
      <c r="AJ95" s="165"/>
      <c r="AK95" s="165"/>
      <c r="AL95" s="165"/>
      <c r="AM95" s="165"/>
      <c r="AN95" s="165"/>
      <c r="AO95" s="165"/>
    </row>
    <row r="96" spans="1:41" x14ac:dyDescent="0.25">
      <c r="A96" s="105" t="s">
        <v>319</v>
      </c>
      <c r="B96" s="115" t="s">
        <v>205</v>
      </c>
      <c r="C96" s="115" t="s">
        <v>320</v>
      </c>
      <c r="D96" s="115" t="s">
        <v>207</v>
      </c>
      <c r="E96" s="42" t="s">
        <v>220</v>
      </c>
      <c r="F96" s="165" t="s">
        <v>319</v>
      </c>
      <c r="G96" s="165" t="s">
        <v>205</v>
      </c>
      <c r="H96" s="165" t="s">
        <v>320</v>
      </c>
      <c r="I96" s="165" t="s">
        <v>207</v>
      </c>
      <c r="J96" s="165" t="s">
        <v>220</v>
      </c>
      <c r="K96" s="165" t="s">
        <v>321</v>
      </c>
      <c r="L96" s="42" t="s">
        <v>220</v>
      </c>
      <c r="M96" s="110" t="s">
        <v>758</v>
      </c>
      <c r="N96" s="165"/>
      <c r="O96" s="165" t="s">
        <v>220</v>
      </c>
      <c r="P96" s="110" t="s">
        <v>758</v>
      </c>
      <c r="Q96" s="165"/>
      <c r="R96" s="165"/>
      <c r="S96" s="165"/>
      <c r="T96" s="165"/>
      <c r="U96" s="89" t="s">
        <v>759</v>
      </c>
      <c r="V96" s="165" t="s">
        <v>760</v>
      </c>
      <c r="W96" s="165"/>
      <c r="X96" s="165"/>
      <c r="Y96" s="165"/>
      <c r="Z96" s="165"/>
      <c r="AA96" s="165"/>
      <c r="AB96" s="165"/>
      <c r="AC96" s="165"/>
      <c r="AD96" s="165"/>
      <c r="AE96" s="165"/>
      <c r="AF96" s="165"/>
      <c r="AG96" s="165"/>
      <c r="AH96" s="165"/>
      <c r="AI96" s="165"/>
      <c r="AJ96" s="165"/>
      <c r="AK96" s="165"/>
      <c r="AL96" s="165"/>
      <c r="AM96" s="165"/>
      <c r="AN96" s="165"/>
      <c r="AO96" s="165"/>
    </row>
    <row r="97" spans="1:27" x14ac:dyDescent="0.25">
      <c r="A97" s="105" t="s">
        <v>321</v>
      </c>
      <c r="B97" s="115" t="s">
        <v>205</v>
      </c>
      <c r="C97" s="115" t="s">
        <v>320</v>
      </c>
      <c r="D97" s="115" t="s">
        <v>207</v>
      </c>
      <c r="E97" s="42" t="s">
        <v>220</v>
      </c>
      <c r="F97" s="165" t="s">
        <v>321</v>
      </c>
      <c r="G97" s="165" t="s">
        <v>205</v>
      </c>
      <c r="H97" s="165" t="s">
        <v>320</v>
      </c>
      <c r="I97" s="165" t="s">
        <v>207</v>
      </c>
      <c r="J97" s="165" t="s">
        <v>220</v>
      </c>
      <c r="K97" s="165" t="s">
        <v>322</v>
      </c>
      <c r="L97" s="42" t="s">
        <v>220</v>
      </c>
      <c r="M97" s="110" t="s">
        <v>761</v>
      </c>
      <c r="N97" s="110" t="s">
        <v>762</v>
      </c>
      <c r="O97" s="165" t="s">
        <v>220</v>
      </c>
      <c r="P97" s="110" t="s">
        <v>761</v>
      </c>
      <c r="Q97" s="110" t="s">
        <v>762</v>
      </c>
      <c r="R97" s="165"/>
      <c r="S97" s="165"/>
      <c r="T97" s="165"/>
      <c r="U97" s="89" t="s">
        <v>30</v>
      </c>
      <c r="V97" s="165">
        <v>28.57</v>
      </c>
      <c r="W97" s="165"/>
      <c r="X97" s="165"/>
      <c r="Y97" s="165"/>
      <c r="Z97" s="165"/>
      <c r="AA97" s="165"/>
    </row>
    <row r="98" spans="1:27" x14ac:dyDescent="0.25">
      <c r="A98" s="105" t="s">
        <v>322</v>
      </c>
      <c r="B98" s="115" t="s">
        <v>205</v>
      </c>
      <c r="C98" s="115" t="s">
        <v>320</v>
      </c>
      <c r="D98" s="115" t="s">
        <v>207</v>
      </c>
      <c r="E98" s="42" t="s">
        <v>220</v>
      </c>
      <c r="F98" s="165" t="s">
        <v>322</v>
      </c>
      <c r="G98" s="165" t="s">
        <v>205</v>
      </c>
      <c r="H98" s="165" t="s">
        <v>320</v>
      </c>
      <c r="I98" s="165" t="s">
        <v>207</v>
      </c>
      <c r="J98" s="165" t="s">
        <v>220</v>
      </c>
      <c r="K98" s="165" t="s">
        <v>204</v>
      </c>
      <c r="L98" s="42">
        <v>32.92</v>
      </c>
      <c r="M98" s="165">
        <f>AVERAGE(L99:L109)</f>
        <v>31.544545454545457</v>
      </c>
      <c r="N98" s="165">
        <f>STDEV(L99:L109)</f>
        <v>0.9596078744608515</v>
      </c>
      <c r="O98" s="165">
        <v>28.09</v>
      </c>
      <c r="P98" s="165">
        <f>AVERAGE(O99:O109)</f>
        <v>28.630909090909096</v>
      </c>
      <c r="Q98" s="165">
        <f>STDEV(O99:O109)</f>
        <v>0.19159616621710113</v>
      </c>
      <c r="R98" s="165"/>
      <c r="S98" s="165"/>
      <c r="T98" s="165"/>
      <c r="U98" s="89" t="s">
        <v>30</v>
      </c>
      <c r="V98" s="165">
        <v>28.58</v>
      </c>
      <c r="W98" s="165"/>
      <c r="X98" s="165"/>
      <c r="Y98" s="165"/>
      <c r="Z98" s="165"/>
      <c r="AA98" s="165"/>
    </row>
    <row r="99" spans="1:27" x14ac:dyDescent="0.25">
      <c r="A99" s="105" t="s">
        <v>204</v>
      </c>
      <c r="B99" s="115" t="s">
        <v>328</v>
      </c>
      <c r="C99" s="115" t="s">
        <v>206</v>
      </c>
      <c r="D99" s="115" t="s">
        <v>210</v>
      </c>
      <c r="E99" s="42">
        <v>32.92</v>
      </c>
      <c r="F99" s="165" t="s">
        <v>204</v>
      </c>
      <c r="G99" s="165" t="s">
        <v>209</v>
      </c>
      <c r="H99" s="165" t="s">
        <v>206</v>
      </c>
      <c r="I99" s="165" t="s">
        <v>210</v>
      </c>
      <c r="J99" s="165">
        <v>28.09</v>
      </c>
      <c r="K99" s="165" t="s">
        <v>211</v>
      </c>
      <c r="L99" s="42">
        <v>32.51</v>
      </c>
      <c r="M99" s="165"/>
      <c r="N99" s="165"/>
      <c r="O99" s="165">
        <v>28.57</v>
      </c>
      <c r="P99" s="165"/>
      <c r="Q99" s="165"/>
      <c r="R99" s="165"/>
      <c r="S99" s="165"/>
      <c r="T99" s="165"/>
      <c r="U99" s="89" t="s">
        <v>30</v>
      </c>
      <c r="V99" s="165">
        <v>28.5</v>
      </c>
      <c r="W99" s="165"/>
      <c r="X99" s="165"/>
      <c r="Y99" s="165"/>
      <c r="Z99" s="165"/>
      <c r="AA99" s="165"/>
    </row>
    <row r="100" spans="1:27" x14ac:dyDescent="0.25">
      <c r="A100" s="105" t="s">
        <v>211</v>
      </c>
      <c r="B100" s="115" t="s">
        <v>328</v>
      </c>
      <c r="C100" s="115" t="s">
        <v>206</v>
      </c>
      <c r="D100" s="115" t="s">
        <v>210</v>
      </c>
      <c r="E100" s="42">
        <v>32.51</v>
      </c>
      <c r="F100" s="165" t="s">
        <v>211</v>
      </c>
      <c r="G100" s="165" t="s">
        <v>209</v>
      </c>
      <c r="H100" s="165" t="s">
        <v>206</v>
      </c>
      <c r="I100" s="165" t="s">
        <v>210</v>
      </c>
      <c r="J100" s="165">
        <v>28.57</v>
      </c>
      <c r="K100" s="165" t="s">
        <v>212</v>
      </c>
      <c r="L100" s="42">
        <v>30.69</v>
      </c>
      <c r="M100" s="165"/>
      <c r="N100" s="165"/>
      <c r="O100" s="165">
        <v>28.58</v>
      </c>
      <c r="P100" s="165"/>
      <c r="Q100" s="165"/>
      <c r="R100" s="165"/>
      <c r="S100" s="165"/>
      <c r="T100" s="165"/>
      <c r="U100" s="89" t="s">
        <v>30</v>
      </c>
      <c r="V100" s="165">
        <v>28.64</v>
      </c>
      <c r="W100" s="165"/>
      <c r="X100" s="165"/>
      <c r="Y100" s="165"/>
      <c r="Z100" s="165"/>
      <c r="AA100" s="165"/>
    </row>
    <row r="101" spans="1:27" x14ac:dyDescent="0.25">
      <c r="A101" s="105" t="s">
        <v>212</v>
      </c>
      <c r="B101" s="115" t="s">
        <v>328</v>
      </c>
      <c r="C101" s="115" t="s">
        <v>206</v>
      </c>
      <c r="D101" s="115" t="s">
        <v>210</v>
      </c>
      <c r="E101" s="42">
        <v>30.69</v>
      </c>
      <c r="F101" s="165" t="s">
        <v>212</v>
      </c>
      <c r="G101" s="165" t="s">
        <v>209</v>
      </c>
      <c r="H101" s="165" t="s">
        <v>206</v>
      </c>
      <c r="I101" s="165" t="s">
        <v>210</v>
      </c>
      <c r="J101" s="165">
        <v>28.58</v>
      </c>
      <c r="K101" s="165" t="s">
        <v>213</v>
      </c>
      <c r="L101" s="42">
        <v>31.41</v>
      </c>
      <c r="M101" s="165"/>
      <c r="N101" s="165"/>
      <c r="O101" s="165">
        <v>28.5</v>
      </c>
      <c r="P101" s="165"/>
      <c r="Q101" s="165"/>
      <c r="R101" s="165"/>
      <c r="S101" s="165"/>
      <c r="T101" s="165"/>
      <c r="U101" s="89" t="s">
        <v>30</v>
      </c>
      <c r="V101" s="165">
        <v>28.41</v>
      </c>
      <c r="W101" s="165"/>
      <c r="X101" s="165"/>
      <c r="Y101" s="165"/>
      <c r="Z101" s="165"/>
      <c r="AA101" s="165"/>
    </row>
    <row r="102" spans="1:27" x14ac:dyDescent="0.25">
      <c r="A102" s="105" t="s">
        <v>213</v>
      </c>
      <c r="B102" s="115" t="s">
        <v>328</v>
      </c>
      <c r="C102" s="115" t="s">
        <v>206</v>
      </c>
      <c r="D102" s="115" t="s">
        <v>210</v>
      </c>
      <c r="E102" s="42">
        <v>31.41</v>
      </c>
      <c r="F102" s="165" t="s">
        <v>213</v>
      </c>
      <c r="G102" s="165" t="s">
        <v>209</v>
      </c>
      <c r="H102" s="165" t="s">
        <v>206</v>
      </c>
      <c r="I102" s="165" t="s">
        <v>210</v>
      </c>
      <c r="J102" s="165">
        <v>28.5</v>
      </c>
      <c r="K102" s="165" t="s">
        <v>214</v>
      </c>
      <c r="L102" s="42">
        <v>31.86</v>
      </c>
      <c r="M102" s="165"/>
      <c r="N102" s="165"/>
      <c r="O102" s="165">
        <v>28.64</v>
      </c>
      <c r="P102" s="165"/>
      <c r="Q102" s="165"/>
      <c r="R102" s="165"/>
      <c r="S102" s="165"/>
      <c r="T102" s="165"/>
      <c r="U102" s="89" t="s">
        <v>30</v>
      </c>
      <c r="V102" s="165">
        <v>28.92</v>
      </c>
      <c r="W102" s="165"/>
      <c r="X102" s="165"/>
      <c r="Y102" s="165"/>
      <c r="Z102" s="165"/>
      <c r="AA102" s="165"/>
    </row>
    <row r="103" spans="1:27" x14ac:dyDescent="0.25">
      <c r="A103" s="105" t="s">
        <v>214</v>
      </c>
      <c r="B103" s="115" t="s">
        <v>328</v>
      </c>
      <c r="C103" s="115" t="s">
        <v>206</v>
      </c>
      <c r="D103" s="115" t="s">
        <v>210</v>
      </c>
      <c r="E103" s="42">
        <v>31.86</v>
      </c>
      <c r="F103" s="165" t="s">
        <v>214</v>
      </c>
      <c r="G103" s="165" t="s">
        <v>209</v>
      </c>
      <c r="H103" s="165" t="s">
        <v>206</v>
      </c>
      <c r="I103" s="165" t="s">
        <v>210</v>
      </c>
      <c r="J103" s="165">
        <v>28.64</v>
      </c>
      <c r="K103" s="165" t="s">
        <v>215</v>
      </c>
      <c r="L103" s="42">
        <v>32.369999999999997</v>
      </c>
      <c r="M103" s="165"/>
      <c r="N103" s="165"/>
      <c r="O103" s="165">
        <v>28.41</v>
      </c>
      <c r="P103" s="165"/>
      <c r="Q103" s="165"/>
      <c r="R103" s="165"/>
      <c r="S103" s="165"/>
      <c r="T103" s="165"/>
      <c r="U103" s="89" t="s">
        <v>30</v>
      </c>
      <c r="V103" s="165">
        <v>28.5</v>
      </c>
      <c r="W103" s="165"/>
      <c r="X103" s="165"/>
      <c r="Y103" s="165"/>
      <c r="Z103" s="165"/>
      <c r="AA103" s="165"/>
    </row>
    <row r="104" spans="1:27" x14ac:dyDescent="0.25">
      <c r="A104" s="105" t="s">
        <v>215</v>
      </c>
      <c r="B104" s="115" t="s">
        <v>328</v>
      </c>
      <c r="C104" s="115" t="s">
        <v>206</v>
      </c>
      <c r="D104" s="115" t="s">
        <v>210</v>
      </c>
      <c r="E104" s="42">
        <v>32.369999999999997</v>
      </c>
      <c r="F104" s="165" t="s">
        <v>215</v>
      </c>
      <c r="G104" s="165" t="s">
        <v>209</v>
      </c>
      <c r="H104" s="165" t="s">
        <v>206</v>
      </c>
      <c r="I104" s="165" t="s">
        <v>210</v>
      </c>
      <c r="J104" s="165">
        <v>28.41</v>
      </c>
      <c r="K104" s="165" t="s">
        <v>216</v>
      </c>
      <c r="L104" s="42">
        <v>31.47</v>
      </c>
      <c r="M104" s="165"/>
      <c r="N104" s="165"/>
      <c r="O104" s="165">
        <v>28.92</v>
      </c>
      <c r="P104" s="165"/>
      <c r="Q104" s="165"/>
      <c r="R104" s="165"/>
      <c r="S104" s="165"/>
      <c r="T104" s="165"/>
      <c r="U104" s="89" t="s">
        <v>30</v>
      </c>
      <c r="V104" s="165">
        <v>28.82</v>
      </c>
      <c r="W104" s="165"/>
      <c r="X104" s="165"/>
      <c r="Y104" s="165"/>
      <c r="Z104" s="165"/>
      <c r="AA104" s="165"/>
    </row>
    <row r="105" spans="1:27" x14ac:dyDescent="0.25">
      <c r="A105" s="105" t="s">
        <v>216</v>
      </c>
      <c r="B105" s="115" t="s">
        <v>328</v>
      </c>
      <c r="C105" s="115" t="s">
        <v>206</v>
      </c>
      <c r="D105" s="115" t="s">
        <v>210</v>
      </c>
      <c r="E105" s="42">
        <v>31.47</v>
      </c>
      <c r="F105" s="165" t="s">
        <v>216</v>
      </c>
      <c r="G105" s="165" t="s">
        <v>209</v>
      </c>
      <c r="H105" s="165" t="s">
        <v>206</v>
      </c>
      <c r="I105" s="165" t="s">
        <v>210</v>
      </c>
      <c r="J105" s="165">
        <v>28.92</v>
      </c>
      <c r="K105" s="165" t="s">
        <v>217</v>
      </c>
      <c r="L105" s="42">
        <v>31.08</v>
      </c>
      <c r="M105" s="165"/>
      <c r="N105" s="165"/>
      <c r="O105" s="165">
        <v>28.5</v>
      </c>
      <c r="P105" s="165"/>
      <c r="Q105" s="165"/>
      <c r="R105" s="165"/>
      <c r="S105" s="165"/>
      <c r="T105" s="165"/>
      <c r="U105" s="89" t="s">
        <v>30</v>
      </c>
      <c r="V105" s="165">
        <v>28.87</v>
      </c>
      <c r="W105" s="165"/>
      <c r="X105" s="165"/>
      <c r="Y105" s="165"/>
      <c r="Z105" s="165"/>
      <c r="AA105" s="165"/>
    </row>
    <row r="106" spans="1:27" x14ac:dyDescent="0.25">
      <c r="A106" s="105" t="s">
        <v>217</v>
      </c>
      <c r="B106" s="115" t="s">
        <v>328</v>
      </c>
      <c r="C106" s="115" t="s">
        <v>206</v>
      </c>
      <c r="D106" s="115" t="s">
        <v>210</v>
      </c>
      <c r="E106" s="42">
        <v>31.08</v>
      </c>
      <c r="F106" s="165" t="s">
        <v>217</v>
      </c>
      <c r="G106" s="165" t="s">
        <v>209</v>
      </c>
      <c r="H106" s="165" t="s">
        <v>206</v>
      </c>
      <c r="I106" s="165" t="s">
        <v>210</v>
      </c>
      <c r="J106" s="165">
        <v>28.5</v>
      </c>
      <c r="K106" s="165" t="s">
        <v>218</v>
      </c>
      <c r="L106" s="42">
        <v>30.04</v>
      </c>
      <c r="M106" s="165"/>
      <c r="N106" s="165"/>
      <c r="O106" s="165">
        <v>28.82</v>
      </c>
      <c r="P106" s="165"/>
      <c r="Q106" s="165"/>
      <c r="R106" s="165"/>
      <c r="S106" s="165"/>
      <c r="T106" s="165"/>
      <c r="U106" s="89" t="s">
        <v>30</v>
      </c>
      <c r="V106" s="165">
        <v>28.35</v>
      </c>
      <c r="W106" s="165"/>
      <c r="X106" s="165"/>
      <c r="Y106" s="165"/>
      <c r="Z106" s="165"/>
      <c r="AA106" s="165"/>
    </row>
    <row r="107" spans="1:27" x14ac:dyDescent="0.25">
      <c r="A107" s="105" t="s">
        <v>218</v>
      </c>
      <c r="B107" s="115" t="s">
        <v>328</v>
      </c>
      <c r="C107" s="115" t="s">
        <v>206</v>
      </c>
      <c r="D107" s="115" t="s">
        <v>210</v>
      </c>
      <c r="E107" s="42">
        <v>30.04</v>
      </c>
      <c r="F107" s="165" t="s">
        <v>218</v>
      </c>
      <c r="G107" s="165" t="s">
        <v>209</v>
      </c>
      <c r="H107" s="165" t="s">
        <v>206</v>
      </c>
      <c r="I107" s="165" t="s">
        <v>210</v>
      </c>
      <c r="J107" s="165">
        <v>28.82</v>
      </c>
      <c r="K107" s="165" t="s">
        <v>219</v>
      </c>
      <c r="L107" s="42">
        <v>33.130000000000003</v>
      </c>
      <c r="M107" s="165"/>
      <c r="N107" s="165"/>
      <c r="O107" s="165">
        <v>28.87</v>
      </c>
      <c r="P107" s="165"/>
      <c r="Q107" s="165"/>
      <c r="R107" s="165"/>
      <c r="S107" s="165"/>
      <c r="T107" s="165"/>
      <c r="U107" s="89" t="s">
        <v>30</v>
      </c>
      <c r="V107" s="165">
        <v>28.78</v>
      </c>
      <c r="W107" s="165"/>
      <c r="X107" s="165"/>
      <c r="Y107" s="165"/>
      <c r="Z107" s="165"/>
      <c r="AA107" s="165"/>
    </row>
    <row r="108" spans="1:27" x14ac:dyDescent="0.25">
      <c r="A108" s="105" t="s">
        <v>219</v>
      </c>
      <c r="B108" s="115" t="s">
        <v>328</v>
      </c>
      <c r="C108" s="115" t="s">
        <v>206</v>
      </c>
      <c r="D108" s="115" t="s">
        <v>210</v>
      </c>
      <c r="E108" s="42">
        <v>33.130000000000003</v>
      </c>
      <c r="F108" s="165" t="s">
        <v>219</v>
      </c>
      <c r="G108" s="165" t="s">
        <v>209</v>
      </c>
      <c r="H108" s="165" t="s">
        <v>206</v>
      </c>
      <c r="I108" s="165" t="s">
        <v>210</v>
      </c>
      <c r="J108" s="165">
        <v>28.87</v>
      </c>
      <c r="K108" s="165" t="s">
        <v>221</v>
      </c>
      <c r="L108" s="42">
        <v>30.34</v>
      </c>
      <c r="M108" s="165"/>
      <c r="N108" s="165"/>
      <c r="O108" s="165">
        <v>28.35</v>
      </c>
      <c r="P108" s="165"/>
      <c r="Q108" s="165"/>
      <c r="R108" s="165"/>
      <c r="S108" s="165"/>
      <c r="T108" s="165"/>
      <c r="U108" s="165" t="s">
        <v>31</v>
      </c>
      <c r="V108" s="165">
        <v>28.73</v>
      </c>
      <c r="W108" s="165"/>
      <c r="X108" s="165"/>
      <c r="Y108" s="165"/>
      <c r="Z108" s="165"/>
      <c r="AA108" s="165"/>
    </row>
    <row r="109" spans="1:27" x14ac:dyDescent="0.25">
      <c r="A109" s="105" t="s">
        <v>221</v>
      </c>
      <c r="B109" s="115" t="s">
        <v>328</v>
      </c>
      <c r="C109" s="115" t="s">
        <v>206</v>
      </c>
      <c r="D109" s="115" t="s">
        <v>210</v>
      </c>
      <c r="E109" s="42">
        <v>30.34</v>
      </c>
      <c r="F109" s="165" t="s">
        <v>221</v>
      </c>
      <c r="G109" s="165" t="s">
        <v>209</v>
      </c>
      <c r="H109" s="165" t="s">
        <v>206</v>
      </c>
      <c r="I109" s="165" t="s">
        <v>210</v>
      </c>
      <c r="J109" s="165">
        <v>28.35</v>
      </c>
      <c r="K109" s="165" t="s">
        <v>222</v>
      </c>
      <c r="L109" s="42">
        <v>32.090000000000003</v>
      </c>
      <c r="M109" s="165"/>
      <c r="N109" s="165"/>
      <c r="O109" s="165">
        <v>28.78</v>
      </c>
      <c r="P109" s="165"/>
      <c r="Q109" s="165"/>
      <c r="R109" s="165"/>
      <c r="S109" s="165"/>
      <c r="T109" s="165"/>
      <c r="U109" s="165" t="s">
        <v>31</v>
      </c>
      <c r="V109" s="165">
        <v>28.59</v>
      </c>
      <c r="W109" s="165"/>
      <c r="X109" s="165"/>
      <c r="Y109" s="165"/>
      <c r="Z109" s="165"/>
      <c r="AA109" s="165"/>
    </row>
    <row r="110" spans="1:27" x14ac:dyDescent="0.25">
      <c r="A110" s="105" t="s">
        <v>222</v>
      </c>
      <c r="B110" s="115" t="s">
        <v>328</v>
      </c>
      <c r="C110" s="115" t="s">
        <v>206</v>
      </c>
      <c r="D110" s="115" t="s">
        <v>210</v>
      </c>
      <c r="E110" s="42">
        <v>32.090000000000003</v>
      </c>
      <c r="F110" s="165" t="s">
        <v>222</v>
      </c>
      <c r="G110" s="165" t="s">
        <v>209</v>
      </c>
      <c r="H110" s="165" t="s">
        <v>206</v>
      </c>
      <c r="I110" s="165" t="s">
        <v>210</v>
      </c>
      <c r="J110" s="165">
        <v>28.78</v>
      </c>
      <c r="K110" s="165" t="s">
        <v>223</v>
      </c>
      <c r="L110" s="42">
        <v>35.14</v>
      </c>
      <c r="M110" s="165">
        <f>AVERAGE(L111:L121)</f>
        <v>34.018181818181823</v>
      </c>
      <c r="N110" s="165">
        <f>STDEV(L111:L121)</f>
        <v>1.5514690985115891</v>
      </c>
      <c r="O110" s="165">
        <v>28.12</v>
      </c>
      <c r="P110" s="165">
        <f>AVERAGE(O111:O121)</f>
        <v>28.786363636363635</v>
      </c>
      <c r="Q110" s="165">
        <f>STDEV(O111:O121)</f>
        <v>0.36805631980099868</v>
      </c>
      <c r="R110" s="165"/>
      <c r="S110" s="165"/>
      <c r="T110" s="165"/>
      <c r="U110" s="165" t="s">
        <v>31</v>
      </c>
      <c r="V110" s="165">
        <v>28.64</v>
      </c>
      <c r="W110" s="165"/>
      <c r="X110" s="165"/>
      <c r="Y110" s="165"/>
      <c r="Z110" s="165"/>
      <c r="AA110" s="165"/>
    </row>
    <row r="111" spans="1:27" x14ac:dyDescent="0.25">
      <c r="A111" s="105" t="s">
        <v>223</v>
      </c>
      <c r="B111" s="115" t="s">
        <v>328</v>
      </c>
      <c r="C111" s="115" t="s">
        <v>206</v>
      </c>
      <c r="D111" s="115" t="s">
        <v>210</v>
      </c>
      <c r="E111" s="42">
        <v>35.14</v>
      </c>
      <c r="F111" s="165" t="s">
        <v>223</v>
      </c>
      <c r="G111" s="165" t="s">
        <v>209</v>
      </c>
      <c r="H111" s="165" t="s">
        <v>206</v>
      </c>
      <c r="I111" s="165" t="s">
        <v>210</v>
      </c>
      <c r="J111" s="165">
        <v>28.12</v>
      </c>
      <c r="K111" s="165" t="s">
        <v>234</v>
      </c>
      <c r="L111" s="42">
        <v>32.57</v>
      </c>
      <c r="M111" s="165"/>
      <c r="N111" s="165"/>
      <c r="O111" s="165">
        <v>28.73</v>
      </c>
      <c r="P111" s="165"/>
      <c r="Q111" s="165"/>
      <c r="R111" s="165"/>
      <c r="S111" s="165"/>
      <c r="T111" s="165"/>
      <c r="U111" s="165" t="s">
        <v>31</v>
      </c>
      <c r="V111" s="165">
        <v>28.87</v>
      </c>
      <c r="W111" s="165"/>
      <c r="X111" s="165"/>
      <c r="Y111" s="165"/>
      <c r="Z111" s="165"/>
      <c r="AA111" s="165"/>
    </row>
    <row r="112" spans="1:27" x14ac:dyDescent="0.25">
      <c r="A112" s="105" t="s">
        <v>234</v>
      </c>
      <c r="B112" s="115" t="s">
        <v>328</v>
      </c>
      <c r="C112" s="115" t="s">
        <v>206</v>
      </c>
      <c r="D112" s="115" t="s">
        <v>210</v>
      </c>
      <c r="E112" s="42">
        <v>32.57</v>
      </c>
      <c r="F112" s="165" t="s">
        <v>234</v>
      </c>
      <c r="G112" s="165" t="s">
        <v>209</v>
      </c>
      <c r="H112" s="165" t="s">
        <v>206</v>
      </c>
      <c r="I112" s="165" t="s">
        <v>210</v>
      </c>
      <c r="J112" s="165">
        <v>28.73</v>
      </c>
      <c r="K112" s="165" t="s">
        <v>235</v>
      </c>
      <c r="L112" s="42">
        <v>32.56</v>
      </c>
      <c r="M112" s="165"/>
      <c r="N112" s="165"/>
      <c r="O112" s="165">
        <v>28.59</v>
      </c>
      <c r="P112" s="165"/>
      <c r="Q112" s="165"/>
      <c r="R112" s="165"/>
      <c r="S112" s="165"/>
      <c r="T112" s="165"/>
      <c r="U112" s="165" t="s">
        <v>31</v>
      </c>
      <c r="V112" s="165">
        <v>28.67</v>
      </c>
      <c r="W112" s="165"/>
      <c r="X112" s="165"/>
      <c r="Y112" s="165"/>
      <c r="Z112" s="165"/>
      <c r="AA112" s="165"/>
    </row>
    <row r="113" spans="1:22" x14ac:dyDescent="0.25">
      <c r="A113" s="105" t="s">
        <v>235</v>
      </c>
      <c r="B113" s="115" t="s">
        <v>328</v>
      </c>
      <c r="C113" s="115" t="s">
        <v>206</v>
      </c>
      <c r="D113" s="115" t="s">
        <v>210</v>
      </c>
      <c r="E113" s="42">
        <v>32.56</v>
      </c>
      <c r="F113" s="165" t="s">
        <v>235</v>
      </c>
      <c r="G113" s="165" t="s">
        <v>209</v>
      </c>
      <c r="H113" s="165" t="s">
        <v>206</v>
      </c>
      <c r="I113" s="165" t="s">
        <v>210</v>
      </c>
      <c r="J113" s="165">
        <v>28.59</v>
      </c>
      <c r="K113" s="165" t="s">
        <v>236</v>
      </c>
      <c r="L113" s="42">
        <v>31.88</v>
      </c>
      <c r="M113" s="165"/>
      <c r="N113" s="165"/>
      <c r="O113" s="165">
        <v>28.64</v>
      </c>
      <c r="P113" s="165"/>
      <c r="Q113" s="165"/>
      <c r="R113" s="165"/>
      <c r="S113" s="165"/>
      <c r="T113" s="165"/>
      <c r="U113" s="165" t="s">
        <v>31</v>
      </c>
      <c r="V113" s="165">
        <v>28.87</v>
      </c>
    </row>
    <row r="114" spans="1:22" x14ac:dyDescent="0.25">
      <c r="A114" s="105" t="s">
        <v>236</v>
      </c>
      <c r="B114" s="115" t="s">
        <v>328</v>
      </c>
      <c r="C114" s="115" t="s">
        <v>206</v>
      </c>
      <c r="D114" s="115" t="s">
        <v>210</v>
      </c>
      <c r="E114" s="42">
        <v>31.88</v>
      </c>
      <c r="F114" s="165" t="s">
        <v>236</v>
      </c>
      <c r="G114" s="165" t="s">
        <v>209</v>
      </c>
      <c r="H114" s="165" t="s">
        <v>206</v>
      </c>
      <c r="I114" s="165" t="s">
        <v>210</v>
      </c>
      <c r="J114" s="165">
        <v>28.64</v>
      </c>
      <c r="K114" s="165" t="s">
        <v>237</v>
      </c>
      <c r="L114" s="42">
        <v>34.520000000000003</v>
      </c>
      <c r="M114" s="165"/>
      <c r="N114" s="165"/>
      <c r="O114" s="165">
        <v>28.87</v>
      </c>
      <c r="P114" s="165"/>
      <c r="Q114" s="165"/>
      <c r="R114" s="165"/>
      <c r="S114" s="165"/>
      <c r="T114" s="165"/>
      <c r="U114" s="165" t="s">
        <v>31</v>
      </c>
      <c r="V114" s="165">
        <v>28.56</v>
      </c>
    </row>
    <row r="115" spans="1:22" x14ac:dyDescent="0.25">
      <c r="A115" s="105" t="s">
        <v>237</v>
      </c>
      <c r="B115" s="115" t="s">
        <v>328</v>
      </c>
      <c r="C115" s="115" t="s">
        <v>206</v>
      </c>
      <c r="D115" s="115" t="s">
        <v>210</v>
      </c>
      <c r="E115" s="42">
        <v>34.520000000000003</v>
      </c>
      <c r="F115" s="165" t="s">
        <v>237</v>
      </c>
      <c r="G115" s="165" t="s">
        <v>209</v>
      </c>
      <c r="H115" s="165" t="s">
        <v>206</v>
      </c>
      <c r="I115" s="165" t="s">
        <v>210</v>
      </c>
      <c r="J115" s="165">
        <v>28.87</v>
      </c>
      <c r="K115" s="165" t="s">
        <v>238</v>
      </c>
      <c r="L115" s="42">
        <v>33.24</v>
      </c>
      <c r="M115" s="165"/>
      <c r="N115" s="165"/>
      <c r="O115" s="165">
        <v>28.67</v>
      </c>
      <c r="P115" s="165"/>
      <c r="Q115" s="165"/>
      <c r="R115" s="165"/>
      <c r="S115" s="165"/>
      <c r="T115" s="165"/>
      <c r="U115" s="165" t="s">
        <v>31</v>
      </c>
      <c r="V115" s="165">
        <v>29.78</v>
      </c>
    </row>
    <row r="116" spans="1:22" x14ac:dyDescent="0.25">
      <c r="A116" s="105" t="s">
        <v>238</v>
      </c>
      <c r="B116" s="115" t="s">
        <v>328</v>
      </c>
      <c r="C116" s="115" t="s">
        <v>206</v>
      </c>
      <c r="D116" s="115" t="s">
        <v>210</v>
      </c>
      <c r="E116" s="42">
        <v>33.24</v>
      </c>
      <c r="F116" s="165" t="s">
        <v>238</v>
      </c>
      <c r="G116" s="165" t="s">
        <v>209</v>
      </c>
      <c r="H116" s="165" t="s">
        <v>206</v>
      </c>
      <c r="I116" s="165" t="s">
        <v>210</v>
      </c>
      <c r="J116" s="165">
        <v>28.67</v>
      </c>
      <c r="K116" s="165" t="s">
        <v>239</v>
      </c>
      <c r="L116" s="42">
        <v>34.08</v>
      </c>
      <c r="M116" s="165"/>
      <c r="N116" s="165"/>
      <c r="O116" s="165">
        <v>28.87</v>
      </c>
      <c r="P116" s="165"/>
      <c r="Q116" s="165"/>
      <c r="R116" s="165"/>
      <c r="S116" s="165"/>
      <c r="T116" s="165"/>
      <c r="U116" s="165" t="s">
        <v>31</v>
      </c>
      <c r="V116" s="165">
        <v>28.49</v>
      </c>
    </row>
    <row r="117" spans="1:22" x14ac:dyDescent="0.25">
      <c r="A117" s="105" t="s">
        <v>239</v>
      </c>
      <c r="B117" s="115" t="s">
        <v>328</v>
      </c>
      <c r="C117" s="115" t="s">
        <v>206</v>
      </c>
      <c r="D117" s="115" t="s">
        <v>210</v>
      </c>
      <c r="E117" s="42">
        <v>34.08</v>
      </c>
      <c r="F117" s="165" t="s">
        <v>239</v>
      </c>
      <c r="G117" s="165" t="s">
        <v>209</v>
      </c>
      <c r="H117" s="165" t="s">
        <v>206</v>
      </c>
      <c r="I117" s="165" t="s">
        <v>210</v>
      </c>
      <c r="J117" s="165">
        <v>28.87</v>
      </c>
      <c r="K117" s="165" t="s">
        <v>242</v>
      </c>
      <c r="L117" s="42">
        <v>33.07</v>
      </c>
      <c r="M117" s="165"/>
      <c r="N117" s="165"/>
      <c r="O117" s="165">
        <v>28.56</v>
      </c>
      <c r="P117" s="165"/>
      <c r="Q117" s="165"/>
      <c r="R117" s="165"/>
      <c r="S117" s="165"/>
      <c r="T117" s="165"/>
      <c r="U117" s="165" t="s">
        <v>31</v>
      </c>
      <c r="V117" s="165">
        <v>28.98</v>
      </c>
    </row>
    <row r="118" spans="1:22" x14ac:dyDescent="0.25">
      <c r="A118" s="105" t="s">
        <v>242</v>
      </c>
      <c r="B118" s="115" t="s">
        <v>328</v>
      </c>
      <c r="C118" s="115" t="s">
        <v>206</v>
      </c>
      <c r="D118" s="115" t="s">
        <v>210</v>
      </c>
      <c r="E118" s="42">
        <v>33.07</v>
      </c>
      <c r="F118" s="165" t="s">
        <v>242</v>
      </c>
      <c r="G118" s="165" t="s">
        <v>209</v>
      </c>
      <c r="H118" s="165" t="s">
        <v>206</v>
      </c>
      <c r="I118" s="165" t="s">
        <v>210</v>
      </c>
      <c r="J118" s="165">
        <v>28.56</v>
      </c>
      <c r="K118" s="165" t="s">
        <v>243</v>
      </c>
      <c r="L118" s="42">
        <v>34.53</v>
      </c>
      <c r="M118" s="165"/>
      <c r="N118" s="165"/>
      <c r="O118" s="165">
        <v>29.78</v>
      </c>
      <c r="P118" s="165"/>
      <c r="Q118" s="165"/>
      <c r="R118" s="165"/>
      <c r="S118" s="165"/>
      <c r="T118" s="165"/>
      <c r="U118" s="165" t="s">
        <v>31</v>
      </c>
      <c r="V118" s="165">
        <v>28.47</v>
      </c>
    </row>
    <row r="119" spans="1:22" x14ac:dyDescent="0.25">
      <c r="A119" s="105" t="s">
        <v>243</v>
      </c>
      <c r="B119" s="115" t="s">
        <v>328</v>
      </c>
      <c r="C119" s="115" t="s">
        <v>206</v>
      </c>
      <c r="D119" s="115" t="s">
        <v>210</v>
      </c>
      <c r="E119" s="42">
        <v>34.53</v>
      </c>
      <c r="F119" s="165" t="s">
        <v>243</v>
      </c>
      <c r="G119" s="165" t="s">
        <v>209</v>
      </c>
      <c r="H119" s="165" t="s">
        <v>206</v>
      </c>
      <c r="I119" s="165" t="s">
        <v>210</v>
      </c>
      <c r="J119" s="165">
        <v>29.78</v>
      </c>
      <c r="K119" s="165" t="s">
        <v>244</v>
      </c>
      <c r="L119" s="42">
        <v>34.93</v>
      </c>
      <c r="M119" s="165"/>
      <c r="N119" s="165"/>
      <c r="O119" s="165">
        <v>28.49</v>
      </c>
      <c r="P119" s="165"/>
      <c r="Q119" s="165"/>
      <c r="R119" s="165"/>
      <c r="S119" s="165"/>
      <c r="T119" s="165"/>
      <c r="U119" s="165" t="s">
        <v>560</v>
      </c>
      <c r="V119" s="165">
        <v>28.64</v>
      </c>
    </row>
    <row r="120" spans="1:22" x14ac:dyDescent="0.25">
      <c r="A120" s="105" t="s">
        <v>244</v>
      </c>
      <c r="B120" s="115" t="s">
        <v>328</v>
      </c>
      <c r="C120" s="115" t="s">
        <v>206</v>
      </c>
      <c r="D120" s="115" t="s">
        <v>210</v>
      </c>
      <c r="E120" s="42">
        <v>34.93</v>
      </c>
      <c r="F120" s="165" t="s">
        <v>244</v>
      </c>
      <c r="G120" s="165" t="s">
        <v>209</v>
      </c>
      <c r="H120" s="165" t="s">
        <v>206</v>
      </c>
      <c r="I120" s="165" t="s">
        <v>210</v>
      </c>
      <c r="J120" s="165">
        <v>28.49</v>
      </c>
      <c r="K120" s="165" t="s">
        <v>245</v>
      </c>
      <c r="L120" s="42">
        <v>37.11</v>
      </c>
      <c r="M120" s="165"/>
      <c r="N120" s="165"/>
      <c r="O120" s="165">
        <v>28.98</v>
      </c>
      <c r="P120" s="165"/>
      <c r="Q120" s="165"/>
      <c r="R120" s="165"/>
      <c r="S120" s="165"/>
      <c r="T120" s="165"/>
      <c r="U120" s="165" t="s">
        <v>560</v>
      </c>
      <c r="V120" s="165">
        <v>28.66</v>
      </c>
    </row>
    <row r="121" spans="1:22" x14ac:dyDescent="0.25">
      <c r="A121" s="105" t="s">
        <v>245</v>
      </c>
      <c r="B121" s="115" t="s">
        <v>328</v>
      </c>
      <c r="C121" s="115" t="s">
        <v>206</v>
      </c>
      <c r="D121" s="115" t="s">
        <v>210</v>
      </c>
      <c r="E121" s="42">
        <v>37.11</v>
      </c>
      <c r="F121" s="165" t="s">
        <v>245</v>
      </c>
      <c r="G121" s="165" t="s">
        <v>209</v>
      </c>
      <c r="H121" s="165" t="s">
        <v>206</v>
      </c>
      <c r="I121" s="165" t="s">
        <v>210</v>
      </c>
      <c r="J121" s="165">
        <v>28.98</v>
      </c>
      <c r="K121" s="165" t="s">
        <v>247</v>
      </c>
      <c r="L121" s="42">
        <v>35.71</v>
      </c>
      <c r="M121" s="165"/>
      <c r="N121" s="165"/>
      <c r="O121" s="165">
        <v>28.47</v>
      </c>
      <c r="P121" s="165"/>
      <c r="Q121" s="165"/>
      <c r="R121" s="165"/>
      <c r="S121" s="165"/>
      <c r="T121" s="165"/>
      <c r="U121" s="165" t="s">
        <v>560</v>
      </c>
      <c r="V121" s="165">
        <v>28.56</v>
      </c>
    </row>
    <row r="122" spans="1:22" x14ac:dyDescent="0.25">
      <c r="A122" s="105" t="s">
        <v>247</v>
      </c>
      <c r="B122" s="115" t="s">
        <v>328</v>
      </c>
      <c r="C122" s="115" t="s">
        <v>206</v>
      </c>
      <c r="D122" s="115" t="s">
        <v>210</v>
      </c>
      <c r="E122" s="42">
        <v>35.71</v>
      </c>
      <c r="F122" s="165" t="s">
        <v>247</v>
      </c>
      <c r="G122" s="165" t="s">
        <v>209</v>
      </c>
      <c r="H122" s="165" t="s">
        <v>206</v>
      </c>
      <c r="I122" s="165" t="s">
        <v>210</v>
      </c>
      <c r="J122" s="165">
        <v>28.47</v>
      </c>
      <c r="K122" s="165" t="s">
        <v>248</v>
      </c>
      <c r="L122" s="42">
        <v>33.85</v>
      </c>
      <c r="M122" s="165">
        <f>AVERAGE(L123:L133)</f>
        <v>34.040909090909089</v>
      </c>
      <c r="N122" s="165">
        <f>STDEV(L123:L133)</f>
        <v>1.1302694771199882</v>
      </c>
      <c r="O122" s="165">
        <v>27.95</v>
      </c>
      <c r="P122" s="165">
        <f>AVERAGE(O123:O133)</f>
        <v>28.632727272727276</v>
      </c>
      <c r="Q122" s="165">
        <f>STDEV(O123:O133)</f>
        <v>0.15447271015237043</v>
      </c>
      <c r="R122" s="165"/>
      <c r="S122" s="165"/>
      <c r="T122" s="165"/>
      <c r="U122" s="165" t="s">
        <v>560</v>
      </c>
      <c r="V122" s="165">
        <v>28.83</v>
      </c>
    </row>
    <row r="123" spans="1:22" x14ac:dyDescent="0.25">
      <c r="A123" s="105" t="s">
        <v>248</v>
      </c>
      <c r="B123" s="115" t="s">
        <v>328</v>
      </c>
      <c r="C123" s="115" t="s">
        <v>206</v>
      </c>
      <c r="D123" s="115" t="s">
        <v>210</v>
      </c>
      <c r="E123" s="42">
        <v>33.85</v>
      </c>
      <c r="F123" s="165" t="s">
        <v>248</v>
      </c>
      <c r="G123" s="165" t="s">
        <v>209</v>
      </c>
      <c r="H123" s="165" t="s">
        <v>206</v>
      </c>
      <c r="I123" s="165" t="s">
        <v>210</v>
      </c>
      <c r="J123" s="165">
        <v>27.95</v>
      </c>
      <c r="K123" s="165" t="s">
        <v>249</v>
      </c>
      <c r="L123" s="42">
        <v>33.28</v>
      </c>
      <c r="M123" s="165"/>
      <c r="N123" s="165"/>
      <c r="O123" s="165">
        <v>28.64</v>
      </c>
      <c r="P123" s="165"/>
      <c r="Q123" s="165"/>
      <c r="R123" s="165"/>
      <c r="S123" s="165"/>
      <c r="T123" s="165"/>
      <c r="U123" s="165" t="s">
        <v>560</v>
      </c>
      <c r="V123" s="165">
        <v>28.49</v>
      </c>
    </row>
    <row r="124" spans="1:22" x14ac:dyDescent="0.25">
      <c r="A124" s="105" t="s">
        <v>249</v>
      </c>
      <c r="B124" s="115" t="s">
        <v>328</v>
      </c>
      <c r="C124" s="115" t="s">
        <v>206</v>
      </c>
      <c r="D124" s="115" t="s">
        <v>210</v>
      </c>
      <c r="E124" s="42">
        <v>33.28</v>
      </c>
      <c r="F124" s="165" t="s">
        <v>249</v>
      </c>
      <c r="G124" s="165" t="s">
        <v>209</v>
      </c>
      <c r="H124" s="165" t="s">
        <v>206</v>
      </c>
      <c r="I124" s="165" t="s">
        <v>210</v>
      </c>
      <c r="J124" s="165">
        <v>28.64</v>
      </c>
      <c r="K124" s="165" t="s">
        <v>250</v>
      </c>
      <c r="L124" s="42">
        <v>33.01</v>
      </c>
      <c r="M124" s="165"/>
      <c r="N124" s="165"/>
      <c r="O124" s="165">
        <v>28.66</v>
      </c>
      <c r="P124" s="165"/>
      <c r="Q124" s="165"/>
      <c r="R124" s="165"/>
      <c r="S124" s="165"/>
      <c r="T124" s="165"/>
      <c r="U124" s="165" t="s">
        <v>560</v>
      </c>
      <c r="V124" s="165">
        <v>28.65</v>
      </c>
    </row>
    <row r="125" spans="1:22" x14ac:dyDescent="0.25">
      <c r="A125" s="105" t="s">
        <v>250</v>
      </c>
      <c r="B125" s="115" t="s">
        <v>328</v>
      </c>
      <c r="C125" s="115" t="s">
        <v>206</v>
      </c>
      <c r="D125" s="115" t="s">
        <v>210</v>
      </c>
      <c r="E125" s="42">
        <v>33.01</v>
      </c>
      <c r="F125" s="165" t="s">
        <v>250</v>
      </c>
      <c r="G125" s="165" t="s">
        <v>209</v>
      </c>
      <c r="H125" s="165" t="s">
        <v>206</v>
      </c>
      <c r="I125" s="165" t="s">
        <v>210</v>
      </c>
      <c r="J125" s="165">
        <v>28.66</v>
      </c>
      <c r="K125" s="165" t="s">
        <v>251</v>
      </c>
      <c r="L125" s="42">
        <v>32.57</v>
      </c>
      <c r="M125" s="165"/>
      <c r="N125" s="165"/>
      <c r="O125" s="165">
        <v>28.56</v>
      </c>
      <c r="P125" s="165"/>
      <c r="Q125" s="165"/>
      <c r="R125" s="165"/>
      <c r="S125" s="165"/>
      <c r="T125" s="165"/>
      <c r="U125" s="165" t="s">
        <v>560</v>
      </c>
      <c r="V125" s="165">
        <v>28.62</v>
      </c>
    </row>
    <row r="126" spans="1:22" x14ac:dyDescent="0.25">
      <c r="A126" s="105" t="s">
        <v>251</v>
      </c>
      <c r="B126" s="115" t="s">
        <v>328</v>
      </c>
      <c r="C126" s="115" t="s">
        <v>206</v>
      </c>
      <c r="D126" s="115" t="s">
        <v>210</v>
      </c>
      <c r="E126" s="42">
        <v>32.57</v>
      </c>
      <c r="F126" s="165" t="s">
        <v>251</v>
      </c>
      <c r="G126" s="165" t="s">
        <v>209</v>
      </c>
      <c r="H126" s="165" t="s">
        <v>206</v>
      </c>
      <c r="I126" s="165" t="s">
        <v>210</v>
      </c>
      <c r="J126" s="165">
        <v>28.56</v>
      </c>
      <c r="K126" s="165" t="s">
        <v>252</v>
      </c>
      <c r="L126" s="42">
        <v>34.47</v>
      </c>
      <c r="M126" s="165"/>
      <c r="N126" s="165"/>
      <c r="O126" s="165">
        <v>28.83</v>
      </c>
      <c r="P126" s="165"/>
      <c r="Q126" s="165"/>
      <c r="R126" s="165"/>
      <c r="S126" s="165"/>
      <c r="T126" s="165"/>
      <c r="U126" s="165" t="s">
        <v>560</v>
      </c>
      <c r="V126" s="165">
        <v>28.82</v>
      </c>
    </row>
    <row r="127" spans="1:22" x14ac:dyDescent="0.25">
      <c r="A127" s="105" t="s">
        <v>252</v>
      </c>
      <c r="B127" s="115" t="s">
        <v>328</v>
      </c>
      <c r="C127" s="115" t="s">
        <v>206</v>
      </c>
      <c r="D127" s="115" t="s">
        <v>210</v>
      </c>
      <c r="E127" s="42">
        <v>34.47</v>
      </c>
      <c r="F127" s="165" t="s">
        <v>252</v>
      </c>
      <c r="G127" s="165" t="s">
        <v>209</v>
      </c>
      <c r="H127" s="165" t="s">
        <v>206</v>
      </c>
      <c r="I127" s="165" t="s">
        <v>210</v>
      </c>
      <c r="J127" s="165">
        <v>28.83</v>
      </c>
      <c r="K127" s="165" t="s">
        <v>253</v>
      </c>
      <c r="L127" s="42">
        <v>33.75</v>
      </c>
      <c r="M127" s="165"/>
      <c r="N127" s="165"/>
      <c r="O127" s="165">
        <v>28.49</v>
      </c>
      <c r="P127" s="165"/>
      <c r="Q127" s="165"/>
      <c r="R127" s="165"/>
      <c r="S127" s="165"/>
      <c r="T127" s="165"/>
      <c r="U127" s="165" t="s">
        <v>560</v>
      </c>
      <c r="V127" s="165">
        <v>28.84</v>
      </c>
    </row>
    <row r="128" spans="1:22" x14ac:dyDescent="0.25">
      <c r="A128" s="105" t="s">
        <v>253</v>
      </c>
      <c r="B128" s="115" t="s">
        <v>328</v>
      </c>
      <c r="C128" s="115" t="s">
        <v>206</v>
      </c>
      <c r="D128" s="115" t="s">
        <v>210</v>
      </c>
      <c r="E128" s="42">
        <v>33.75</v>
      </c>
      <c r="F128" s="165" t="s">
        <v>253</v>
      </c>
      <c r="G128" s="165" t="s">
        <v>209</v>
      </c>
      <c r="H128" s="165" t="s">
        <v>206</v>
      </c>
      <c r="I128" s="165" t="s">
        <v>210</v>
      </c>
      <c r="J128" s="165">
        <v>28.49</v>
      </c>
      <c r="K128" s="165" t="s">
        <v>254</v>
      </c>
      <c r="L128" s="42">
        <v>35.43</v>
      </c>
      <c r="M128" s="165"/>
      <c r="N128" s="165"/>
      <c r="O128" s="165">
        <v>28.65</v>
      </c>
      <c r="P128" s="165"/>
      <c r="Q128" s="165"/>
      <c r="R128" s="165"/>
      <c r="S128" s="165"/>
      <c r="T128" s="165"/>
      <c r="U128" s="165" t="s">
        <v>560</v>
      </c>
      <c r="V128" s="165">
        <v>28.36</v>
      </c>
    </row>
    <row r="129" spans="1:22" x14ac:dyDescent="0.25">
      <c r="A129" s="105" t="s">
        <v>254</v>
      </c>
      <c r="B129" s="115" t="s">
        <v>328</v>
      </c>
      <c r="C129" s="115" t="s">
        <v>206</v>
      </c>
      <c r="D129" s="115" t="s">
        <v>210</v>
      </c>
      <c r="E129" s="42">
        <v>35.43</v>
      </c>
      <c r="F129" s="165" t="s">
        <v>254</v>
      </c>
      <c r="G129" s="165" t="s">
        <v>209</v>
      </c>
      <c r="H129" s="165" t="s">
        <v>206</v>
      </c>
      <c r="I129" s="165" t="s">
        <v>210</v>
      </c>
      <c r="J129" s="165">
        <v>28.65</v>
      </c>
      <c r="K129" s="165" t="s">
        <v>255</v>
      </c>
      <c r="L129" s="42">
        <v>32.770000000000003</v>
      </c>
      <c r="M129" s="165"/>
      <c r="N129" s="165"/>
      <c r="O129" s="165">
        <v>28.62</v>
      </c>
      <c r="P129" s="165"/>
      <c r="Q129" s="165"/>
      <c r="R129" s="165"/>
      <c r="S129" s="165"/>
      <c r="T129" s="165"/>
      <c r="U129" s="165" t="s">
        <v>560</v>
      </c>
      <c r="V129" s="165">
        <v>28.49</v>
      </c>
    </row>
    <row r="130" spans="1:22" x14ac:dyDescent="0.25">
      <c r="A130" s="105" t="s">
        <v>255</v>
      </c>
      <c r="B130" s="115" t="s">
        <v>328</v>
      </c>
      <c r="C130" s="115" t="s">
        <v>206</v>
      </c>
      <c r="D130" s="115" t="s">
        <v>210</v>
      </c>
      <c r="E130" s="42">
        <v>32.770000000000003</v>
      </c>
      <c r="F130" s="165" t="s">
        <v>255</v>
      </c>
      <c r="G130" s="165" t="s">
        <v>209</v>
      </c>
      <c r="H130" s="165" t="s">
        <v>206</v>
      </c>
      <c r="I130" s="165" t="s">
        <v>210</v>
      </c>
      <c r="J130" s="165">
        <v>28.62</v>
      </c>
      <c r="K130" s="165" t="s">
        <v>256</v>
      </c>
      <c r="L130" s="42">
        <v>35.200000000000003</v>
      </c>
      <c r="M130" s="165"/>
      <c r="N130" s="165"/>
      <c r="O130" s="165">
        <v>28.82</v>
      </c>
      <c r="P130" s="165"/>
      <c r="Q130" s="165"/>
      <c r="R130" s="165"/>
      <c r="S130" s="165"/>
      <c r="T130" s="165"/>
      <c r="U130" s="165" t="s">
        <v>562</v>
      </c>
      <c r="V130" s="165">
        <v>28.63</v>
      </c>
    </row>
    <row r="131" spans="1:22" x14ac:dyDescent="0.25">
      <c r="A131" s="105" t="s">
        <v>256</v>
      </c>
      <c r="B131" s="115" t="s">
        <v>328</v>
      </c>
      <c r="C131" s="115" t="s">
        <v>206</v>
      </c>
      <c r="D131" s="115" t="s">
        <v>210</v>
      </c>
      <c r="E131" s="42">
        <v>35.200000000000003</v>
      </c>
      <c r="F131" s="165" t="s">
        <v>256</v>
      </c>
      <c r="G131" s="165" t="s">
        <v>209</v>
      </c>
      <c r="H131" s="165" t="s">
        <v>206</v>
      </c>
      <c r="I131" s="165" t="s">
        <v>210</v>
      </c>
      <c r="J131" s="165">
        <v>28.82</v>
      </c>
      <c r="K131" s="165" t="s">
        <v>257</v>
      </c>
      <c r="L131" s="42">
        <v>35.92</v>
      </c>
      <c r="M131" s="165"/>
      <c r="N131" s="165"/>
      <c r="O131" s="165">
        <v>28.84</v>
      </c>
      <c r="P131" s="165"/>
      <c r="Q131" s="165"/>
      <c r="R131" s="165"/>
      <c r="S131" s="165"/>
      <c r="T131" s="165"/>
      <c r="U131" s="165" t="s">
        <v>562</v>
      </c>
      <c r="V131" s="165">
        <v>28.39</v>
      </c>
    </row>
    <row r="132" spans="1:22" x14ac:dyDescent="0.25">
      <c r="A132" s="105" t="s">
        <v>257</v>
      </c>
      <c r="B132" s="115" t="s">
        <v>328</v>
      </c>
      <c r="C132" s="115" t="s">
        <v>206</v>
      </c>
      <c r="D132" s="115" t="s">
        <v>210</v>
      </c>
      <c r="E132" s="42">
        <v>35.92</v>
      </c>
      <c r="F132" s="165" t="s">
        <v>257</v>
      </c>
      <c r="G132" s="165" t="s">
        <v>209</v>
      </c>
      <c r="H132" s="165" t="s">
        <v>206</v>
      </c>
      <c r="I132" s="165" t="s">
        <v>210</v>
      </c>
      <c r="J132" s="165">
        <v>28.84</v>
      </c>
      <c r="K132" s="165" t="s">
        <v>258</v>
      </c>
      <c r="L132" s="42">
        <v>33.65</v>
      </c>
      <c r="M132" s="165"/>
      <c r="N132" s="165"/>
      <c r="O132" s="165">
        <v>28.36</v>
      </c>
      <c r="P132" s="165"/>
      <c r="Q132" s="165"/>
      <c r="R132" s="165"/>
      <c r="S132" s="165"/>
      <c r="T132" s="165"/>
      <c r="U132" s="165" t="s">
        <v>562</v>
      </c>
      <c r="V132" s="165">
        <v>28.7</v>
      </c>
    </row>
    <row r="133" spans="1:22" x14ac:dyDescent="0.25">
      <c r="A133" s="105" t="s">
        <v>258</v>
      </c>
      <c r="B133" s="115" t="s">
        <v>328</v>
      </c>
      <c r="C133" s="115" t="s">
        <v>206</v>
      </c>
      <c r="D133" s="115" t="s">
        <v>210</v>
      </c>
      <c r="E133" s="42">
        <v>33.65</v>
      </c>
      <c r="F133" s="165" t="s">
        <v>258</v>
      </c>
      <c r="G133" s="165" t="s">
        <v>209</v>
      </c>
      <c r="H133" s="165" t="s">
        <v>206</v>
      </c>
      <c r="I133" s="165" t="s">
        <v>210</v>
      </c>
      <c r="J133" s="165">
        <v>28.36</v>
      </c>
      <c r="K133" s="165" t="s">
        <v>259</v>
      </c>
      <c r="L133" s="42">
        <v>34.4</v>
      </c>
      <c r="M133" s="165"/>
      <c r="N133" s="165"/>
      <c r="O133" s="165">
        <v>28.49</v>
      </c>
      <c r="P133" s="165"/>
      <c r="Q133" s="165"/>
      <c r="R133" s="165"/>
      <c r="S133" s="165"/>
      <c r="T133" s="165"/>
      <c r="U133" s="165" t="s">
        <v>562</v>
      </c>
      <c r="V133" s="165">
        <v>28.5</v>
      </c>
    </row>
    <row r="134" spans="1:22" x14ac:dyDescent="0.25">
      <c r="A134" s="105" t="s">
        <v>259</v>
      </c>
      <c r="B134" s="115" t="s">
        <v>328</v>
      </c>
      <c r="C134" s="115" t="s">
        <v>206</v>
      </c>
      <c r="D134" s="115" t="s">
        <v>210</v>
      </c>
      <c r="E134" s="42">
        <v>34.4</v>
      </c>
      <c r="F134" s="165" t="s">
        <v>259</v>
      </c>
      <c r="G134" s="165" t="s">
        <v>209</v>
      </c>
      <c r="H134" s="165" t="s">
        <v>206</v>
      </c>
      <c r="I134" s="165" t="s">
        <v>210</v>
      </c>
      <c r="J134" s="165">
        <v>28.49</v>
      </c>
      <c r="K134" s="165" t="s">
        <v>260</v>
      </c>
      <c r="L134" s="42">
        <v>32.520000000000003</v>
      </c>
      <c r="M134" s="165">
        <f>AVERAGE(L135:L145)</f>
        <v>33.417272727272724</v>
      </c>
      <c r="N134" s="165">
        <f>STDEV(L135:L145)</f>
        <v>0.87372868682550331</v>
      </c>
      <c r="O134" s="165">
        <v>27.85</v>
      </c>
      <c r="P134" s="165">
        <f>AVERAGE(O135:O145)</f>
        <v>28.566363636363633</v>
      </c>
      <c r="Q134" s="165">
        <f>STDEV(O135:O145)</f>
        <v>0.21855309319580579</v>
      </c>
      <c r="R134" s="165"/>
      <c r="S134" s="165"/>
      <c r="T134" s="165"/>
      <c r="U134" s="165" t="s">
        <v>562</v>
      </c>
      <c r="V134" s="165">
        <v>29.14</v>
      </c>
    </row>
    <row r="135" spans="1:22" x14ac:dyDescent="0.25">
      <c r="A135" s="105" t="s">
        <v>260</v>
      </c>
      <c r="B135" s="115" t="s">
        <v>328</v>
      </c>
      <c r="C135" s="115" t="s">
        <v>206</v>
      </c>
      <c r="D135" s="115" t="s">
        <v>210</v>
      </c>
      <c r="E135" s="42">
        <v>32.520000000000003</v>
      </c>
      <c r="F135" s="165" t="s">
        <v>260</v>
      </c>
      <c r="G135" s="165" t="s">
        <v>209</v>
      </c>
      <c r="H135" s="165" t="s">
        <v>206</v>
      </c>
      <c r="I135" s="165" t="s">
        <v>210</v>
      </c>
      <c r="J135" s="165">
        <v>27.85</v>
      </c>
      <c r="K135" s="165" t="s">
        <v>261</v>
      </c>
      <c r="L135" s="42">
        <v>33.49</v>
      </c>
      <c r="M135" s="165"/>
      <c r="N135" s="165"/>
      <c r="O135" s="165">
        <v>28.63</v>
      </c>
      <c r="P135" s="165"/>
      <c r="Q135" s="165"/>
      <c r="R135" s="165"/>
      <c r="S135" s="165"/>
      <c r="T135" s="165"/>
      <c r="U135" s="165" t="s">
        <v>562</v>
      </c>
      <c r="V135" s="165">
        <v>28.39</v>
      </c>
    </row>
    <row r="136" spans="1:22" x14ac:dyDescent="0.25">
      <c r="A136" s="105" t="s">
        <v>261</v>
      </c>
      <c r="B136" s="115" t="s">
        <v>328</v>
      </c>
      <c r="C136" s="115" t="s">
        <v>206</v>
      </c>
      <c r="D136" s="115" t="s">
        <v>210</v>
      </c>
      <c r="E136" s="42">
        <v>33.49</v>
      </c>
      <c r="F136" s="165" t="s">
        <v>261</v>
      </c>
      <c r="G136" s="165" t="s">
        <v>209</v>
      </c>
      <c r="H136" s="165" t="s">
        <v>206</v>
      </c>
      <c r="I136" s="165" t="s">
        <v>210</v>
      </c>
      <c r="J136" s="165">
        <v>28.63</v>
      </c>
      <c r="K136" s="165" t="s">
        <v>262</v>
      </c>
      <c r="L136" s="42">
        <v>32.11</v>
      </c>
      <c r="M136" s="165"/>
      <c r="N136" s="165"/>
      <c r="O136" s="165">
        <v>28.39</v>
      </c>
      <c r="P136" s="165"/>
      <c r="Q136" s="165"/>
      <c r="R136" s="165"/>
      <c r="S136" s="165"/>
      <c r="T136" s="165"/>
      <c r="U136" s="165" t="s">
        <v>562</v>
      </c>
      <c r="V136" s="165">
        <v>28.57</v>
      </c>
    </row>
    <row r="137" spans="1:22" x14ac:dyDescent="0.25">
      <c r="A137" s="105" t="s">
        <v>262</v>
      </c>
      <c r="B137" s="115" t="s">
        <v>328</v>
      </c>
      <c r="C137" s="115" t="s">
        <v>206</v>
      </c>
      <c r="D137" s="115" t="s">
        <v>210</v>
      </c>
      <c r="E137" s="42">
        <v>32.11</v>
      </c>
      <c r="F137" s="165" t="s">
        <v>262</v>
      </c>
      <c r="G137" s="165" t="s">
        <v>209</v>
      </c>
      <c r="H137" s="165" t="s">
        <v>206</v>
      </c>
      <c r="I137" s="165" t="s">
        <v>210</v>
      </c>
      <c r="J137" s="165">
        <v>28.39</v>
      </c>
      <c r="K137" s="165" t="s">
        <v>263</v>
      </c>
      <c r="L137" s="42">
        <v>32.75</v>
      </c>
      <c r="M137" s="165"/>
      <c r="N137" s="165"/>
      <c r="O137" s="165">
        <v>28.7</v>
      </c>
      <c r="P137" s="165"/>
      <c r="Q137" s="165"/>
      <c r="R137" s="165"/>
      <c r="S137" s="165"/>
      <c r="T137" s="165"/>
      <c r="U137" s="165" t="s">
        <v>562</v>
      </c>
      <c r="V137" s="165">
        <v>28.44</v>
      </c>
    </row>
    <row r="138" spans="1:22" x14ac:dyDescent="0.25">
      <c r="A138" s="105" t="s">
        <v>263</v>
      </c>
      <c r="B138" s="115" t="s">
        <v>328</v>
      </c>
      <c r="C138" s="115" t="s">
        <v>206</v>
      </c>
      <c r="D138" s="115" t="s">
        <v>210</v>
      </c>
      <c r="E138" s="42">
        <v>32.75</v>
      </c>
      <c r="F138" s="165" t="s">
        <v>263</v>
      </c>
      <c r="G138" s="165" t="s">
        <v>209</v>
      </c>
      <c r="H138" s="165" t="s">
        <v>206</v>
      </c>
      <c r="I138" s="165" t="s">
        <v>210</v>
      </c>
      <c r="J138" s="165">
        <v>28.7</v>
      </c>
      <c r="K138" s="165" t="s">
        <v>264</v>
      </c>
      <c r="L138" s="42">
        <v>33.18</v>
      </c>
      <c r="M138" s="165"/>
      <c r="N138" s="165"/>
      <c r="O138" s="165">
        <v>28.5</v>
      </c>
      <c r="P138" s="165"/>
      <c r="Q138" s="165"/>
      <c r="R138" s="165"/>
      <c r="S138" s="165"/>
      <c r="T138" s="165"/>
      <c r="U138" s="165" t="s">
        <v>562</v>
      </c>
      <c r="V138" s="165">
        <v>28.45</v>
      </c>
    </row>
    <row r="139" spans="1:22" x14ac:dyDescent="0.25">
      <c r="A139" s="105" t="s">
        <v>264</v>
      </c>
      <c r="B139" s="115" t="s">
        <v>328</v>
      </c>
      <c r="C139" s="115" t="s">
        <v>206</v>
      </c>
      <c r="D139" s="115" t="s">
        <v>210</v>
      </c>
      <c r="E139" s="42">
        <v>33.18</v>
      </c>
      <c r="F139" s="165" t="s">
        <v>264</v>
      </c>
      <c r="G139" s="165" t="s">
        <v>209</v>
      </c>
      <c r="H139" s="165" t="s">
        <v>206</v>
      </c>
      <c r="I139" s="165" t="s">
        <v>210</v>
      </c>
      <c r="J139" s="165">
        <v>28.5</v>
      </c>
      <c r="K139" s="165" t="s">
        <v>265</v>
      </c>
      <c r="L139" s="42">
        <v>34.909999999999997</v>
      </c>
      <c r="M139" s="165"/>
      <c r="N139" s="165"/>
      <c r="O139" s="165">
        <v>29.14</v>
      </c>
      <c r="P139" s="165"/>
      <c r="Q139" s="165"/>
      <c r="R139" s="165"/>
      <c r="S139" s="165"/>
      <c r="T139" s="165"/>
      <c r="U139" s="165" t="s">
        <v>562</v>
      </c>
      <c r="V139" s="165">
        <v>28.62</v>
      </c>
    </row>
    <row r="140" spans="1:22" x14ac:dyDescent="0.25">
      <c r="A140" s="105" t="s">
        <v>265</v>
      </c>
      <c r="B140" s="115" t="s">
        <v>328</v>
      </c>
      <c r="C140" s="115" t="s">
        <v>206</v>
      </c>
      <c r="D140" s="115" t="s">
        <v>210</v>
      </c>
      <c r="E140" s="42">
        <v>34.909999999999997</v>
      </c>
      <c r="F140" s="165" t="s">
        <v>265</v>
      </c>
      <c r="G140" s="165" t="s">
        <v>209</v>
      </c>
      <c r="H140" s="165" t="s">
        <v>206</v>
      </c>
      <c r="I140" s="165" t="s">
        <v>210</v>
      </c>
      <c r="J140" s="165">
        <v>29.14</v>
      </c>
      <c r="K140" s="165" t="s">
        <v>266</v>
      </c>
      <c r="L140" s="42">
        <v>32.119999999999997</v>
      </c>
      <c r="M140" s="165"/>
      <c r="N140" s="165"/>
      <c r="O140" s="165">
        <v>28.39</v>
      </c>
      <c r="P140" s="165"/>
      <c r="Q140" s="165"/>
      <c r="R140" s="165"/>
      <c r="S140" s="165"/>
      <c r="T140" s="165"/>
      <c r="U140" s="165" t="s">
        <v>562</v>
      </c>
      <c r="V140" s="165">
        <v>28.4</v>
      </c>
    </row>
    <row r="141" spans="1:22" x14ac:dyDescent="0.25">
      <c r="A141" s="105" t="s">
        <v>266</v>
      </c>
      <c r="B141" s="115" t="s">
        <v>328</v>
      </c>
      <c r="C141" s="115" t="s">
        <v>206</v>
      </c>
      <c r="D141" s="115" t="s">
        <v>210</v>
      </c>
      <c r="E141" s="42">
        <v>32.119999999999997</v>
      </c>
      <c r="F141" s="165" t="s">
        <v>266</v>
      </c>
      <c r="G141" s="165" t="s">
        <v>209</v>
      </c>
      <c r="H141" s="165" t="s">
        <v>206</v>
      </c>
      <c r="I141" s="165" t="s">
        <v>210</v>
      </c>
      <c r="J141" s="165">
        <v>28.39</v>
      </c>
      <c r="K141" s="165" t="s">
        <v>267</v>
      </c>
      <c r="L141" s="42">
        <v>33.82</v>
      </c>
      <c r="M141" s="165"/>
      <c r="N141" s="165"/>
      <c r="O141" s="165">
        <v>28.57</v>
      </c>
      <c r="P141" s="165"/>
      <c r="Q141" s="165"/>
      <c r="R141" s="165"/>
      <c r="S141" s="165"/>
      <c r="T141" s="165"/>
      <c r="U141" s="165" t="s">
        <v>32</v>
      </c>
      <c r="V141" s="165">
        <v>28.24</v>
      </c>
    </row>
    <row r="142" spans="1:22" x14ac:dyDescent="0.25">
      <c r="A142" s="105" t="s">
        <v>267</v>
      </c>
      <c r="B142" s="115" t="s">
        <v>328</v>
      </c>
      <c r="C142" s="115" t="s">
        <v>206</v>
      </c>
      <c r="D142" s="115" t="s">
        <v>210</v>
      </c>
      <c r="E142" s="42">
        <v>33.82</v>
      </c>
      <c r="F142" s="165" t="s">
        <v>267</v>
      </c>
      <c r="G142" s="165" t="s">
        <v>209</v>
      </c>
      <c r="H142" s="165" t="s">
        <v>206</v>
      </c>
      <c r="I142" s="165" t="s">
        <v>210</v>
      </c>
      <c r="J142" s="165">
        <v>28.57</v>
      </c>
      <c r="K142" s="165" t="s">
        <v>268</v>
      </c>
      <c r="L142" s="42">
        <v>33.36</v>
      </c>
      <c r="M142" s="165"/>
      <c r="N142" s="165"/>
      <c r="O142" s="165">
        <v>28.44</v>
      </c>
      <c r="P142" s="165"/>
      <c r="Q142" s="165"/>
      <c r="R142" s="165"/>
      <c r="S142" s="165"/>
      <c r="T142" s="165"/>
      <c r="U142" s="165" t="s">
        <v>32</v>
      </c>
      <c r="V142" s="165">
        <v>28.43</v>
      </c>
    </row>
    <row r="143" spans="1:22" x14ac:dyDescent="0.25">
      <c r="A143" s="105" t="s">
        <v>268</v>
      </c>
      <c r="B143" s="115" t="s">
        <v>328</v>
      </c>
      <c r="C143" s="115" t="s">
        <v>206</v>
      </c>
      <c r="D143" s="115" t="s">
        <v>210</v>
      </c>
      <c r="E143" s="42">
        <v>33.36</v>
      </c>
      <c r="F143" s="165" t="s">
        <v>268</v>
      </c>
      <c r="G143" s="165" t="s">
        <v>209</v>
      </c>
      <c r="H143" s="165" t="s">
        <v>206</v>
      </c>
      <c r="I143" s="165" t="s">
        <v>210</v>
      </c>
      <c r="J143" s="165">
        <v>28.44</v>
      </c>
      <c r="K143" s="165" t="s">
        <v>270</v>
      </c>
      <c r="L143" s="42">
        <v>33.46</v>
      </c>
      <c r="M143" s="165"/>
      <c r="N143" s="165"/>
      <c r="O143" s="165">
        <v>28.45</v>
      </c>
      <c r="P143" s="165"/>
      <c r="Q143" s="165"/>
      <c r="R143" s="165"/>
      <c r="S143" s="165"/>
      <c r="T143" s="165"/>
      <c r="U143" s="165" t="s">
        <v>32</v>
      </c>
      <c r="V143" s="165">
        <v>28.36</v>
      </c>
    </row>
    <row r="144" spans="1:22" x14ac:dyDescent="0.25">
      <c r="A144" s="105" t="s">
        <v>270</v>
      </c>
      <c r="B144" s="115" t="s">
        <v>328</v>
      </c>
      <c r="C144" s="115" t="s">
        <v>206</v>
      </c>
      <c r="D144" s="115" t="s">
        <v>210</v>
      </c>
      <c r="E144" s="42">
        <v>33.46</v>
      </c>
      <c r="F144" s="165" t="s">
        <v>270</v>
      </c>
      <c r="G144" s="165" t="s">
        <v>209</v>
      </c>
      <c r="H144" s="165" t="s">
        <v>206</v>
      </c>
      <c r="I144" s="165" t="s">
        <v>210</v>
      </c>
      <c r="J144" s="165">
        <v>28.45</v>
      </c>
      <c r="K144" s="165" t="s">
        <v>272</v>
      </c>
      <c r="L144" s="42">
        <v>34.450000000000003</v>
      </c>
      <c r="M144" s="165"/>
      <c r="N144" s="165"/>
      <c r="O144" s="165">
        <v>28.62</v>
      </c>
      <c r="P144" s="165"/>
      <c r="Q144" s="165"/>
      <c r="R144" s="165"/>
      <c r="S144" s="165"/>
      <c r="T144" s="165"/>
      <c r="U144" s="165" t="s">
        <v>32</v>
      </c>
      <c r="V144" s="165">
        <v>28.58</v>
      </c>
    </row>
    <row r="145" spans="1:22" x14ac:dyDescent="0.25">
      <c r="A145" s="105" t="s">
        <v>272</v>
      </c>
      <c r="B145" s="115" t="s">
        <v>328</v>
      </c>
      <c r="C145" s="115" t="s">
        <v>206</v>
      </c>
      <c r="D145" s="115" t="s">
        <v>210</v>
      </c>
      <c r="E145" s="42">
        <v>34.450000000000003</v>
      </c>
      <c r="F145" s="165" t="s">
        <v>272</v>
      </c>
      <c r="G145" s="165" t="s">
        <v>209</v>
      </c>
      <c r="H145" s="165" t="s">
        <v>206</v>
      </c>
      <c r="I145" s="165" t="s">
        <v>210</v>
      </c>
      <c r="J145" s="165">
        <v>28.62</v>
      </c>
      <c r="K145" s="165" t="s">
        <v>273</v>
      </c>
      <c r="L145" s="42">
        <v>33.94</v>
      </c>
      <c r="M145" s="165"/>
      <c r="N145" s="165"/>
      <c r="O145" s="165">
        <v>28.4</v>
      </c>
      <c r="P145" s="165"/>
      <c r="Q145" s="165"/>
      <c r="R145" s="165"/>
      <c r="S145" s="165"/>
      <c r="T145" s="165"/>
      <c r="U145" s="165" t="s">
        <v>32</v>
      </c>
      <c r="V145" s="165">
        <v>28.44</v>
      </c>
    </row>
    <row r="146" spans="1:22" x14ac:dyDescent="0.25">
      <c r="A146" s="105" t="s">
        <v>273</v>
      </c>
      <c r="B146" s="115" t="s">
        <v>328</v>
      </c>
      <c r="C146" s="115" t="s">
        <v>206</v>
      </c>
      <c r="D146" s="115" t="s">
        <v>210</v>
      </c>
      <c r="E146" s="42">
        <v>33.94</v>
      </c>
      <c r="F146" s="165" t="s">
        <v>273</v>
      </c>
      <c r="G146" s="165" t="s">
        <v>209</v>
      </c>
      <c r="H146" s="165" t="s">
        <v>206</v>
      </c>
      <c r="I146" s="165" t="s">
        <v>210</v>
      </c>
      <c r="J146" s="165">
        <v>28.4</v>
      </c>
      <c r="K146" s="165" t="s">
        <v>274</v>
      </c>
      <c r="L146" s="42">
        <v>30.9</v>
      </c>
      <c r="M146" s="165">
        <f>AVERAGE(L147:L157)</f>
        <v>33.227272727272734</v>
      </c>
      <c r="N146" s="165">
        <f>STDEV(L147:L157)</f>
        <v>0.85107098304537299</v>
      </c>
      <c r="O146" s="165">
        <v>27.64</v>
      </c>
      <c r="P146" s="165">
        <f>AVERAGE(O147:O157)</f>
        <v>28.446363636363639</v>
      </c>
      <c r="Q146" s="165">
        <f>STDEV(O147:O157)</f>
        <v>0.13654835973183507</v>
      </c>
      <c r="R146" s="165"/>
      <c r="S146" s="165"/>
      <c r="T146" s="165"/>
      <c r="U146" s="165" t="s">
        <v>32</v>
      </c>
      <c r="V146" s="165">
        <v>28.67</v>
      </c>
    </row>
    <row r="147" spans="1:22" x14ac:dyDescent="0.25">
      <c r="A147" s="105" t="s">
        <v>274</v>
      </c>
      <c r="B147" s="115" t="s">
        <v>328</v>
      </c>
      <c r="C147" s="115" t="s">
        <v>206</v>
      </c>
      <c r="D147" s="115" t="s">
        <v>210</v>
      </c>
      <c r="E147" s="42">
        <v>30.9</v>
      </c>
      <c r="F147" s="165" t="s">
        <v>274</v>
      </c>
      <c r="G147" s="165" t="s">
        <v>209</v>
      </c>
      <c r="H147" s="165" t="s">
        <v>206</v>
      </c>
      <c r="I147" s="165" t="s">
        <v>210</v>
      </c>
      <c r="J147" s="165">
        <v>27.64</v>
      </c>
      <c r="K147" s="165" t="s">
        <v>275</v>
      </c>
      <c r="L147" s="42">
        <v>33.69</v>
      </c>
      <c r="M147" s="165"/>
      <c r="N147" s="165"/>
      <c r="O147" s="165">
        <v>28.24</v>
      </c>
      <c r="P147" s="165"/>
      <c r="Q147" s="165"/>
      <c r="R147" s="165"/>
      <c r="S147" s="165"/>
      <c r="T147" s="165"/>
      <c r="U147" s="165" t="s">
        <v>32</v>
      </c>
      <c r="V147" s="165">
        <v>28.3</v>
      </c>
    </row>
    <row r="148" spans="1:22" x14ac:dyDescent="0.25">
      <c r="A148" s="105" t="s">
        <v>275</v>
      </c>
      <c r="B148" s="115" t="s">
        <v>328</v>
      </c>
      <c r="C148" s="115" t="s">
        <v>206</v>
      </c>
      <c r="D148" s="115" t="s">
        <v>210</v>
      </c>
      <c r="E148" s="42">
        <v>33.69</v>
      </c>
      <c r="F148" s="165" t="s">
        <v>275</v>
      </c>
      <c r="G148" s="165" t="s">
        <v>209</v>
      </c>
      <c r="H148" s="165" t="s">
        <v>206</v>
      </c>
      <c r="I148" s="165" t="s">
        <v>210</v>
      </c>
      <c r="J148" s="165">
        <v>28.24</v>
      </c>
      <c r="K148" s="165" t="s">
        <v>276</v>
      </c>
      <c r="L148" s="42">
        <v>32.75</v>
      </c>
      <c r="M148" s="165"/>
      <c r="N148" s="165"/>
      <c r="O148" s="165">
        <v>28.43</v>
      </c>
      <c r="P148" s="165"/>
      <c r="Q148" s="165"/>
      <c r="R148" s="165"/>
      <c r="S148" s="165"/>
      <c r="T148" s="165"/>
      <c r="U148" s="165" t="s">
        <v>32</v>
      </c>
      <c r="V148" s="165">
        <v>28.56</v>
      </c>
    </row>
    <row r="149" spans="1:22" x14ac:dyDescent="0.25">
      <c r="A149" s="105" t="s">
        <v>276</v>
      </c>
      <c r="B149" s="115" t="s">
        <v>328</v>
      </c>
      <c r="C149" s="115" t="s">
        <v>206</v>
      </c>
      <c r="D149" s="115" t="s">
        <v>210</v>
      </c>
      <c r="E149" s="42">
        <v>32.75</v>
      </c>
      <c r="F149" s="165" t="s">
        <v>276</v>
      </c>
      <c r="G149" s="165" t="s">
        <v>209</v>
      </c>
      <c r="H149" s="165" t="s">
        <v>206</v>
      </c>
      <c r="I149" s="165" t="s">
        <v>210</v>
      </c>
      <c r="J149" s="165">
        <v>28.43</v>
      </c>
      <c r="K149" s="165" t="s">
        <v>277</v>
      </c>
      <c r="L149" s="42">
        <v>33.5</v>
      </c>
      <c r="M149" s="165"/>
      <c r="N149" s="165"/>
      <c r="O149" s="165">
        <v>28.36</v>
      </c>
      <c r="P149" s="165"/>
      <c r="Q149" s="165"/>
      <c r="R149" s="165"/>
      <c r="S149" s="165"/>
      <c r="T149" s="165"/>
      <c r="U149" s="165" t="s">
        <v>32</v>
      </c>
      <c r="V149" s="165">
        <v>28.45</v>
      </c>
    </row>
    <row r="150" spans="1:22" x14ac:dyDescent="0.25">
      <c r="A150" s="105" t="s">
        <v>277</v>
      </c>
      <c r="B150" s="115" t="s">
        <v>328</v>
      </c>
      <c r="C150" s="115" t="s">
        <v>206</v>
      </c>
      <c r="D150" s="115" t="s">
        <v>210</v>
      </c>
      <c r="E150" s="42">
        <v>33.5</v>
      </c>
      <c r="F150" s="165" t="s">
        <v>277</v>
      </c>
      <c r="G150" s="165" t="s">
        <v>209</v>
      </c>
      <c r="H150" s="165" t="s">
        <v>206</v>
      </c>
      <c r="I150" s="165" t="s">
        <v>210</v>
      </c>
      <c r="J150" s="165">
        <v>28.36</v>
      </c>
      <c r="K150" s="165" t="s">
        <v>278</v>
      </c>
      <c r="L150" s="42">
        <v>33.86</v>
      </c>
      <c r="M150" s="165"/>
      <c r="N150" s="165"/>
      <c r="O150" s="165">
        <v>28.58</v>
      </c>
      <c r="P150" s="165"/>
      <c r="Q150" s="165"/>
      <c r="R150" s="165"/>
      <c r="S150" s="165"/>
      <c r="T150" s="165"/>
      <c r="U150" s="165" t="s">
        <v>32</v>
      </c>
      <c r="V150" s="165">
        <v>28.31</v>
      </c>
    </row>
    <row r="151" spans="1:22" x14ac:dyDescent="0.25">
      <c r="A151" s="105" t="s">
        <v>278</v>
      </c>
      <c r="B151" s="115" t="s">
        <v>328</v>
      </c>
      <c r="C151" s="115" t="s">
        <v>206</v>
      </c>
      <c r="D151" s="115" t="s">
        <v>210</v>
      </c>
      <c r="E151" s="42">
        <v>33.86</v>
      </c>
      <c r="F151" s="165" t="s">
        <v>278</v>
      </c>
      <c r="G151" s="165" t="s">
        <v>209</v>
      </c>
      <c r="H151" s="165" t="s">
        <v>206</v>
      </c>
      <c r="I151" s="165" t="s">
        <v>210</v>
      </c>
      <c r="J151" s="165">
        <v>28.58</v>
      </c>
      <c r="K151" s="165" t="s">
        <v>279</v>
      </c>
      <c r="L151" s="42">
        <v>33.76</v>
      </c>
      <c r="M151" s="165"/>
      <c r="N151" s="165"/>
      <c r="O151" s="165">
        <v>28.44</v>
      </c>
      <c r="P151" s="165"/>
      <c r="Q151" s="165"/>
      <c r="R151" s="165"/>
      <c r="S151" s="165"/>
      <c r="T151" s="165"/>
      <c r="U151" s="165" t="s">
        <v>32</v>
      </c>
      <c r="V151" s="165">
        <v>28.57</v>
      </c>
    </row>
    <row r="152" spans="1:22" x14ac:dyDescent="0.25">
      <c r="A152" s="105" t="s">
        <v>279</v>
      </c>
      <c r="B152" s="115" t="s">
        <v>328</v>
      </c>
      <c r="C152" s="115" t="s">
        <v>206</v>
      </c>
      <c r="D152" s="115" t="s">
        <v>210</v>
      </c>
      <c r="E152" s="42">
        <v>33.76</v>
      </c>
      <c r="F152" s="165" t="s">
        <v>279</v>
      </c>
      <c r="G152" s="165" t="s">
        <v>209</v>
      </c>
      <c r="H152" s="165" t="s">
        <v>206</v>
      </c>
      <c r="I152" s="165" t="s">
        <v>210</v>
      </c>
      <c r="J152" s="165">
        <v>28.44</v>
      </c>
      <c r="K152" s="165" t="s">
        <v>280</v>
      </c>
      <c r="L152" s="42">
        <v>31.77</v>
      </c>
      <c r="M152" s="165"/>
      <c r="N152" s="165"/>
      <c r="O152" s="165">
        <v>28.67</v>
      </c>
      <c r="P152" s="165"/>
      <c r="Q152" s="165"/>
      <c r="R152" s="165"/>
      <c r="S152" s="165"/>
      <c r="T152" s="165"/>
      <c r="U152" s="165" t="s">
        <v>33</v>
      </c>
      <c r="V152" s="165">
        <v>28.3</v>
      </c>
    </row>
    <row r="153" spans="1:22" x14ac:dyDescent="0.25">
      <c r="A153" s="105" t="s">
        <v>280</v>
      </c>
      <c r="B153" s="115" t="s">
        <v>328</v>
      </c>
      <c r="C153" s="115" t="s">
        <v>206</v>
      </c>
      <c r="D153" s="115" t="s">
        <v>210</v>
      </c>
      <c r="E153" s="42">
        <v>31.77</v>
      </c>
      <c r="F153" s="165" t="s">
        <v>280</v>
      </c>
      <c r="G153" s="165" t="s">
        <v>209</v>
      </c>
      <c r="H153" s="165" t="s">
        <v>206</v>
      </c>
      <c r="I153" s="165" t="s">
        <v>210</v>
      </c>
      <c r="J153" s="165">
        <v>28.67</v>
      </c>
      <c r="K153" s="165" t="s">
        <v>281</v>
      </c>
      <c r="L153" s="42">
        <v>32.75</v>
      </c>
      <c r="M153" s="165"/>
      <c r="N153" s="165"/>
      <c r="O153" s="165">
        <v>28.3</v>
      </c>
      <c r="P153" s="165"/>
      <c r="Q153" s="165"/>
      <c r="R153" s="165"/>
      <c r="S153" s="165"/>
      <c r="T153" s="165"/>
      <c r="U153" s="165" t="s">
        <v>33</v>
      </c>
      <c r="V153" s="165">
        <v>28.22</v>
      </c>
    </row>
    <row r="154" spans="1:22" x14ac:dyDescent="0.25">
      <c r="A154" s="105" t="s">
        <v>281</v>
      </c>
      <c r="B154" s="115" t="s">
        <v>328</v>
      </c>
      <c r="C154" s="115" t="s">
        <v>206</v>
      </c>
      <c r="D154" s="115" t="s">
        <v>210</v>
      </c>
      <c r="E154" s="42">
        <v>32.75</v>
      </c>
      <c r="F154" s="165" t="s">
        <v>281</v>
      </c>
      <c r="G154" s="165" t="s">
        <v>209</v>
      </c>
      <c r="H154" s="165" t="s">
        <v>206</v>
      </c>
      <c r="I154" s="165" t="s">
        <v>210</v>
      </c>
      <c r="J154" s="165">
        <v>28.3</v>
      </c>
      <c r="K154" s="165" t="s">
        <v>282</v>
      </c>
      <c r="L154" s="42">
        <v>34.76</v>
      </c>
      <c r="M154" s="165"/>
      <c r="N154" s="165"/>
      <c r="O154" s="165">
        <v>28.56</v>
      </c>
      <c r="P154" s="165"/>
      <c r="Q154" s="165"/>
      <c r="R154" s="165"/>
      <c r="S154" s="165"/>
      <c r="T154" s="165"/>
      <c r="U154" s="165" t="s">
        <v>33</v>
      </c>
      <c r="V154" s="165">
        <v>28.39</v>
      </c>
    </row>
    <row r="155" spans="1:22" x14ac:dyDescent="0.25">
      <c r="A155" s="105" t="s">
        <v>282</v>
      </c>
      <c r="B155" s="115" t="s">
        <v>328</v>
      </c>
      <c r="C155" s="115" t="s">
        <v>206</v>
      </c>
      <c r="D155" s="115" t="s">
        <v>210</v>
      </c>
      <c r="E155" s="42">
        <v>34.76</v>
      </c>
      <c r="F155" s="165" t="s">
        <v>282</v>
      </c>
      <c r="G155" s="165" t="s">
        <v>209</v>
      </c>
      <c r="H155" s="165" t="s">
        <v>206</v>
      </c>
      <c r="I155" s="165" t="s">
        <v>210</v>
      </c>
      <c r="J155" s="165">
        <v>28.56</v>
      </c>
      <c r="K155" s="165" t="s">
        <v>283</v>
      </c>
      <c r="L155" s="42">
        <v>33.590000000000003</v>
      </c>
      <c r="M155" s="165"/>
      <c r="N155" s="165"/>
      <c r="O155" s="165">
        <v>28.45</v>
      </c>
      <c r="P155" s="165"/>
      <c r="Q155" s="165"/>
      <c r="R155" s="165"/>
      <c r="S155" s="165"/>
      <c r="T155" s="165"/>
      <c r="U155" s="165" t="s">
        <v>33</v>
      </c>
      <c r="V155" s="165">
        <v>28.35</v>
      </c>
    </row>
    <row r="156" spans="1:22" x14ac:dyDescent="0.25">
      <c r="A156" s="105" t="s">
        <v>283</v>
      </c>
      <c r="B156" s="115" t="s">
        <v>328</v>
      </c>
      <c r="C156" s="115" t="s">
        <v>206</v>
      </c>
      <c r="D156" s="115" t="s">
        <v>210</v>
      </c>
      <c r="E156" s="42">
        <v>33.590000000000003</v>
      </c>
      <c r="F156" s="165" t="s">
        <v>283</v>
      </c>
      <c r="G156" s="165" t="s">
        <v>209</v>
      </c>
      <c r="H156" s="165" t="s">
        <v>206</v>
      </c>
      <c r="I156" s="165" t="s">
        <v>210</v>
      </c>
      <c r="J156" s="165">
        <v>28.45</v>
      </c>
      <c r="K156" s="165" t="s">
        <v>284</v>
      </c>
      <c r="L156" s="42">
        <v>32.18</v>
      </c>
      <c r="M156" s="165"/>
      <c r="N156" s="165"/>
      <c r="O156" s="165">
        <v>28.31</v>
      </c>
      <c r="P156" s="165"/>
      <c r="Q156" s="165"/>
      <c r="R156" s="165"/>
      <c r="S156" s="165"/>
      <c r="T156" s="165"/>
      <c r="U156" s="165" t="s">
        <v>33</v>
      </c>
      <c r="V156" s="165">
        <v>28.09</v>
      </c>
    </row>
    <row r="157" spans="1:22" x14ac:dyDescent="0.25">
      <c r="A157" s="105" t="s">
        <v>284</v>
      </c>
      <c r="B157" s="115" t="s">
        <v>328</v>
      </c>
      <c r="C157" s="115" t="s">
        <v>206</v>
      </c>
      <c r="D157" s="115" t="s">
        <v>210</v>
      </c>
      <c r="E157" s="42">
        <v>32.18</v>
      </c>
      <c r="F157" s="165" t="s">
        <v>284</v>
      </c>
      <c r="G157" s="165" t="s">
        <v>209</v>
      </c>
      <c r="H157" s="165" t="s">
        <v>206</v>
      </c>
      <c r="I157" s="165" t="s">
        <v>210</v>
      </c>
      <c r="J157" s="165">
        <v>28.31</v>
      </c>
      <c r="K157" s="165" t="s">
        <v>285</v>
      </c>
      <c r="L157" s="42">
        <v>32.89</v>
      </c>
      <c r="M157" s="165"/>
      <c r="N157" s="165"/>
      <c r="O157" s="165">
        <v>28.57</v>
      </c>
      <c r="P157" s="165"/>
      <c r="Q157" s="165"/>
      <c r="R157" s="165"/>
      <c r="S157" s="165"/>
      <c r="T157" s="165"/>
      <c r="U157" s="165" t="s">
        <v>33</v>
      </c>
      <c r="V157" s="165">
        <v>28.39</v>
      </c>
    </row>
    <row r="158" spans="1:22" x14ac:dyDescent="0.25">
      <c r="A158" s="105" t="s">
        <v>285</v>
      </c>
      <c r="B158" s="115" t="s">
        <v>328</v>
      </c>
      <c r="C158" s="115" t="s">
        <v>206</v>
      </c>
      <c r="D158" s="115" t="s">
        <v>210</v>
      </c>
      <c r="E158" s="42">
        <v>32.89</v>
      </c>
      <c r="F158" s="165" t="s">
        <v>285</v>
      </c>
      <c r="G158" s="165" t="s">
        <v>209</v>
      </c>
      <c r="H158" s="165" t="s">
        <v>206</v>
      </c>
      <c r="I158" s="165" t="s">
        <v>210</v>
      </c>
      <c r="J158" s="165">
        <v>28.57</v>
      </c>
      <c r="K158" s="165" t="s">
        <v>286</v>
      </c>
      <c r="L158" s="42">
        <v>34.25</v>
      </c>
      <c r="M158" s="165">
        <f>AVERAGE(L159:L169)</f>
        <v>33.116363636363637</v>
      </c>
      <c r="N158" s="165">
        <f>STDEV(L159:L169)</f>
        <v>1.0791410725875716</v>
      </c>
      <c r="O158" s="165">
        <v>27.79</v>
      </c>
      <c r="P158" s="165">
        <f>AVERAGE(O159:O169)</f>
        <v>28.345454545454547</v>
      </c>
      <c r="Q158" s="165">
        <f>STDEV(O159:O169)</f>
        <v>0.151747397761124</v>
      </c>
      <c r="R158" s="165"/>
      <c r="S158" s="165"/>
      <c r="T158" s="165"/>
      <c r="U158" s="165" t="s">
        <v>33</v>
      </c>
      <c r="V158" s="165">
        <v>28.24</v>
      </c>
    </row>
    <row r="159" spans="1:22" x14ac:dyDescent="0.25">
      <c r="A159" s="105" t="s">
        <v>286</v>
      </c>
      <c r="B159" s="115" t="s">
        <v>328</v>
      </c>
      <c r="C159" s="115" t="s">
        <v>206</v>
      </c>
      <c r="D159" s="115" t="s">
        <v>210</v>
      </c>
      <c r="E159" s="42">
        <v>34.25</v>
      </c>
      <c r="F159" s="165" t="s">
        <v>286</v>
      </c>
      <c r="G159" s="165" t="s">
        <v>209</v>
      </c>
      <c r="H159" s="165" t="s">
        <v>206</v>
      </c>
      <c r="I159" s="165" t="s">
        <v>210</v>
      </c>
      <c r="J159" s="165">
        <v>27.79</v>
      </c>
      <c r="K159" s="165" t="s">
        <v>287</v>
      </c>
      <c r="L159" s="42">
        <v>32.89</v>
      </c>
      <c r="M159" s="165"/>
      <c r="N159" s="165"/>
      <c r="O159" s="165">
        <v>28.3</v>
      </c>
      <c r="P159" s="165"/>
      <c r="Q159" s="165"/>
      <c r="R159" s="165"/>
      <c r="S159" s="165"/>
      <c r="T159" s="165"/>
      <c r="U159" s="165" t="s">
        <v>33</v>
      </c>
      <c r="V159" s="165">
        <v>28.7</v>
      </c>
    </row>
    <row r="160" spans="1:22" x14ac:dyDescent="0.25">
      <c r="A160" s="105" t="s">
        <v>287</v>
      </c>
      <c r="B160" s="115" t="s">
        <v>328</v>
      </c>
      <c r="C160" s="115" t="s">
        <v>206</v>
      </c>
      <c r="D160" s="115" t="s">
        <v>210</v>
      </c>
      <c r="E160" s="42">
        <v>32.89</v>
      </c>
      <c r="F160" s="165" t="s">
        <v>287</v>
      </c>
      <c r="G160" s="165" t="s">
        <v>209</v>
      </c>
      <c r="H160" s="165" t="s">
        <v>206</v>
      </c>
      <c r="I160" s="165" t="s">
        <v>210</v>
      </c>
      <c r="J160" s="165">
        <v>28.3</v>
      </c>
      <c r="K160" s="165" t="s">
        <v>288</v>
      </c>
      <c r="L160" s="42">
        <v>31.96</v>
      </c>
      <c r="M160" s="165"/>
      <c r="N160" s="165"/>
      <c r="O160" s="165">
        <v>28.22</v>
      </c>
      <c r="P160" s="165"/>
      <c r="Q160" s="165"/>
      <c r="R160" s="165"/>
      <c r="S160" s="165"/>
      <c r="T160" s="165"/>
      <c r="U160" s="165" t="s">
        <v>33</v>
      </c>
      <c r="V160" s="165">
        <v>28.37</v>
      </c>
    </row>
    <row r="161" spans="1:22" x14ac:dyDescent="0.25">
      <c r="A161" s="105" t="s">
        <v>288</v>
      </c>
      <c r="B161" s="115" t="s">
        <v>328</v>
      </c>
      <c r="C161" s="115" t="s">
        <v>206</v>
      </c>
      <c r="D161" s="115" t="s">
        <v>210</v>
      </c>
      <c r="E161" s="42">
        <v>31.96</v>
      </c>
      <c r="F161" s="165" t="s">
        <v>288</v>
      </c>
      <c r="G161" s="165" t="s">
        <v>209</v>
      </c>
      <c r="H161" s="165" t="s">
        <v>206</v>
      </c>
      <c r="I161" s="165" t="s">
        <v>210</v>
      </c>
      <c r="J161" s="165">
        <v>28.22</v>
      </c>
      <c r="K161" s="165" t="s">
        <v>289</v>
      </c>
      <c r="L161" s="42">
        <v>32.75</v>
      </c>
      <c r="M161" s="165"/>
      <c r="N161" s="165"/>
      <c r="O161" s="165">
        <v>28.39</v>
      </c>
      <c r="P161" s="165"/>
      <c r="Q161" s="165"/>
      <c r="R161" s="165"/>
      <c r="S161" s="165"/>
      <c r="T161" s="165"/>
      <c r="U161" s="165" t="s">
        <v>33</v>
      </c>
      <c r="V161" s="165">
        <v>28.42</v>
      </c>
    </row>
    <row r="162" spans="1:22" x14ac:dyDescent="0.25">
      <c r="A162" s="105" t="s">
        <v>289</v>
      </c>
      <c r="B162" s="115" t="s">
        <v>328</v>
      </c>
      <c r="C162" s="115" t="s">
        <v>206</v>
      </c>
      <c r="D162" s="115" t="s">
        <v>210</v>
      </c>
      <c r="E162" s="42">
        <v>32.75</v>
      </c>
      <c r="F162" s="165" t="s">
        <v>289</v>
      </c>
      <c r="G162" s="165" t="s">
        <v>209</v>
      </c>
      <c r="H162" s="165" t="s">
        <v>206</v>
      </c>
      <c r="I162" s="165" t="s">
        <v>210</v>
      </c>
      <c r="J162" s="165">
        <v>28.39</v>
      </c>
      <c r="K162" s="165" t="s">
        <v>290</v>
      </c>
      <c r="L162" s="42">
        <v>32.4</v>
      </c>
      <c r="M162" s="165"/>
      <c r="N162" s="165"/>
      <c r="O162" s="165">
        <v>28.35</v>
      </c>
      <c r="P162" s="165"/>
      <c r="Q162" s="165"/>
      <c r="R162" s="165"/>
      <c r="S162" s="165"/>
      <c r="T162" s="165"/>
      <c r="U162" s="165" t="s">
        <v>33</v>
      </c>
      <c r="V162" s="165">
        <v>28.33</v>
      </c>
    </row>
    <row r="163" spans="1:22" x14ac:dyDescent="0.25">
      <c r="A163" s="105" t="s">
        <v>290</v>
      </c>
      <c r="B163" s="115" t="s">
        <v>328</v>
      </c>
      <c r="C163" s="115" t="s">
        <v>206</v>
      </c>
      <c r="D163" s="115" t="s">
        <v>210</v>
      </c>
      <c r="E163" s="42">
        <v>32.4</v>
      </c>
      <c r="F163" s="165" t="s">
        <v>290</v>
      </c>
      <c r="G163" s="165" t="s">
        <v>209</v>
      </c>
      <c r="H163" s="165" t="s">
        <v>206</v>
      </c>
      <c r="I163" s="165" t="s">
        <v>210</v>
      </c>
      <c r="J163" s="165">
        <v>28.35</v>
      </c>
      <c r="K163" s="165" t="s">
        <v>291</v>
      </c>
      <c r="L163" s="42">
        <v>33.22</v>
      </c>
      <c r="M163" s="165"/>
      <c r="N163" s="165"/>
      <c r="O163" s="165">
        <v>28.09</v>
      </c>
      <c r="P163" s="165"/>
      <c r="Q163" s="165"/>
      <c r="R163" s="165"/>
      <c r="S163" s="165"/>
      <c r="T163" s="165"/>
      <c r="U163" s="165"/>
      <c r="V163" s="165"/>
    </row>
    <row r="164" spans="1:22" x14ac:dyDescent="0.25">
      <c r="A164" s="105" t="s">
        <v>291</v>
      </c>
      <c r="B164" s="115" t="s">
        <v>328</v>
      </c>
      <c r="C164" s="115" t="s">
        <v>206</v>
      </c>
      <c r="D164" s="115" t="s">
        <v>210</v>
      </c>
      <c r="E164" s="42">
        <v>33.22</v>
      </c>
      <c r="F164" s="165" t="s">
        <v>291</v>
      </c>
      <c r="G164" s="165" t="s">
        <v>209</v>
      </c>
      <c r="H164" s="165" t="s">
        <v>206</v>
      </c>
      <c r="I164" s="165" t="s">
        <v>210</v>
      </c>
      <c r="J164" s="165">
        <v>28.09</v>
      </c>
      <c r="K164" s="165" t="s">
        <v>292</v>
      </c>
      <c r="L164" s="42">
        <v>32.65</v>
      </c>
      <c r="M164" s="165"/>
      <c r="N164" s="165"/>
      <c r="O164" s="165">
        <v>28.39</v>
      </c>
      <c r="P164" s="165"/>
      <c r="Q164" s="165"/>
      <c r="R164" s="165"/>
      <c r="S164" s="165"/>
      <c r="T164" s="165"/>
      <c r="U164" s="165"/>
      <c r="V164" s="165"/>
    </row>
    <row r="165" spans="1:22" x14ac:dyDescent="0.25">
      <c r="A165" s="105" t="s">
        <v>292</v>
      </c>
      <c r="B165" s="115" t="s">
        <v>328</v>
      </c>
      <c r="C165" s="115" t="s">
        <v>206</v>
      </c>
      <c r="D165" s="115" t="s">
        <v>210</v>
      </c>
      <c r="E165" s="42">
        <v>32.65</v>
      </c>
      <c r="F165" s="165" t="s">
        <v>292</v>
      </c>
      <c r="G165" s="165" t="s">
        <v>209</v>
      </c>
      <c r="H165" s="165" t="s">
        <v>206</v>
      </c>
      <c r="I165" s="165" t="s">
        <v>210</v>
      </c>
      <c r="J165" s="165">
        <v>28.39</v>
      </c>
      <c r="K165" s="165" t="s">
        <v>293</v>
      </c>
      <c r="L165" s="42">
        <v>31.3</v>
      </c>
      <c r="M165" s="165"/>
      <c r="N165" s="165"/>
      <c r="O165" s="165">
        <v>28.24</v>
      </c>
      <c r="P165" s="165"/>
      <c r="Q165" s="165"/>
      <c r="R165" s="165"/>
      <c r="S165" s="165"/>
      <c r="T165" s="165"/>
      <c r="U165" s="165"/>
      <c r="V165" s="165"/>
    </row>
    <row r="166" spans="1:22" x14ac:dyDescent="0.25">
      <c r="A166" s="105" t="s">
        <v>293</v>
      </c>
      <c r="B166" s="115" t="s">
        <v>328</v>
      </c>
      <c r="C166" s="115" t="s">
        <v>206</v>
      </c>
      <c r="D166" s="115" t="s">
        <v>210</v>
      </c>
      <c r="E166" s="42">
        <v>31.3</v>
      </c>
      <c r="F166" s="165" t="s">
        <v>293</v>
      </c>
      <c r="G166" s="165" t="s">
        <v>209</v>
      </c>
      <c r="H166" s="165" t="s">
        <v>206</v>
      </c>
      <c r="I166" s="165" t="s">
        <v>210</v>
      </c>
      <c r="J166" s="165">
        <v>28.24</v>
      </c>
      <c r="K166" s="165" t="s">
        <v>294</v>
      </c>
      <c r="L166" s="42">
        <v>33.659999999999997</v>
      </c>
      <c r="M166" s="165"/>
      <c r="N166" s="165"/>
      <c r="O166" s="165">
        <v>28.7</v>
      </c>
      <c r="P166" s="165"/>
      <c r="Q166" s="165"/>
      <c r="R166" s="165"/>
      <c r="S166" s="165"/>
      <c r="T166" s="165"/>
      <c r="U166" s="165"/>
      <c r="V166" s="165"/>
    </row>
    <row r="167" spans="1:22" x14ac:dyDescent="0.25">
      <c r="A167" s="105" t="s">
        <v>294</v>
      </c>
      <c r="B167" s="115" t="s">
        <v>328</v>
      </c>
      <c r="C167" s="115" t="s">
        <v>206</v>
      </c>
      <c r="D167" s="115" t="s">
        <v>210</v>
      </c>
      <c r="E167" s="42">
        <v>33.659999999999997</v>
      </c>
      <c r="F167" s="165" t="s">
        <v>294</v>
      </c>
      <c r="G167" s="165" t="s">
        <v>209</v>
      </c>
      <c r="H167" s="165" t="s">
        <v>206</v>
      </c>
      <c r="I167" s="165" t="s">
        <v>210</v>
      </c>
      <c r="J167" s="165">
        <v>28.7</v>
      </c>
      <c r="K167" s="165" t="s">
        <v>295</v>
      </c>
      <c r="L167" s="42">
        <v>34.61</v>
      </c>
      <c r="M167" s="165"/>
      <c r="N167" s="165"/>
      <c r="O167" s="165">
        <v>28.37</v>
      </c>
      <c r="P167" s="165"/>
      <c r="Q167" s="165"/>
      <c r="R167" s="165"/>
      <c r="S167" s="165"/>
      <c r="T167" s="165"/>
      <c r="U167" s="165"/>
      <c r="V167" s="165"/>
    </row>
    <row r="168" spans="1:22" x14ac:dyDescent="0.25">
      <c r="A168" s="105" t="s">
        <v>295</v>
      </c>
      <c r="B168" s="115" t="s">
        <v>328</v>
      </c>
      <c r="C168" s="115" t="s">
        <v>206</v>
      </c>
      <c r="D168" s="115" t="s">
        <v>210</v>
      </c>
      <c r="E168" s="42">
        <v>34.61</v>
      </c>
      <c r="F168" s="165" t="s">
        <v>295</v>
      </c>
      <c r="G168" s="165" t="s">
        <v>209</v>
      </c>
      <c r="H168" s="165" t="s">
        <v>206</v>
      </c>
      <c r="I168" s="165" t="s">
        <v>210</v>
      </c>
      <c r="J168" s="165">
        <v>28.37</v>
      </c>
      <c r="K168" s="165" t="s">
        <v>296</v>
      </c>
      <c r="L168" s="42">
        <v>34.700000000000003</v>
      </c>
      <c r="M168" s="165"/>
      <c r="N168" s="165"/>
      <c r="O168" s="165">
        <v>28.42</v>
      </c>
      <c r="P168" s="165"/>
      <c r="Q168" s="165"/>
      <c r="R168" s="165"/>
      <c r="S168" s="165"/>
      <c r="T168" s="165"/>
      <c r="U168" s="165"/>
      <c r="V168" s="165"/>
    </row>
    <row r="169" spans="1:22" x14ac:dyDescent="0.25">
      <c r="A169" s="105" t="s">
        <v>296</v>
      </c>
      <c r="B169" s="115" t="s">
        <v>328</v>
      </c>
      <c r="C169" s="115" t="s">
        <v>206</v>
      </c>
      <c r="D169" s="115" t="s">
        <v>210</v>
      </c>
      <c r="E169" s="42">
        <v>34.700000000000003</v>
      </c>
      <c r="F169" s="165" t="s">
        <v>296</v>
      </c>
      <c r="G169" s="165" t="s">
        <v>209</v>
      </c>
      <c r="H169" s="165" t="s">
        <v>206</v>
      </c>
      <c r="I169" s="165" t="s">
        <v>210</v>
      </c>
      <c r="J169" s="165">
        <v>28.42</v>
      </c>
      <c r="K169" s="165" t="s">
        <v>297</v>
      </c>
      <c r="L169" s="42">
        <v>34.14</v>
      </c>
      <c r="M169" s="165"/>
      <c r="N169" s="165"/>
      <c r="O169" s="165">
        <v>28.33</v>
      </c>
      <c r="P169" s="165"/>
      <c r="Q169" s="165"/>
      <c r="R169" s="165"/>
      <c r="S169" s="165"/>
      <c r="T169" s="165"/>
      <c r="U169" s="165"/>
      <c r="V169" s="165"/>
    </row>
    <row r="170" spans="1:22" x14ac:dyDescent="0.25">
      <c r="A170" s="105" t="s">
        <v>297</v>
      </c>
      <c r="B170" s="115" t="s">
        <v>328</v>
      </c>
      <c r="C170" s="115" t="s">
        <v>206</v>
      </c>
      <c r="D170" s="115" t="s">
        <v>210</v>
      </c>
      <c r="E170" s="42">
        <v>34.14</v>
      </c>
      <c r="F170" s="165" t="s">
        <v>297</v>
      </c>
      <c r="G170" s="165" t="s">
        <v>209</v>
      </c>
      <c r="H170" s="165" t="s">
        <v>206</v>
      </c>
      <c r="I170" s="165" t="s">
        <v>210</v>
      </c>
      <c r="J170" s="165">
        <v>28.33</v>
      </c>
      <c r="K170" s="165" t="s">
        <v>298</v>
      </c>
      <c r="L170" s="42">
        <v>29.74</v>
      </c>
      <c r="M170" s="165"/>
      <c r="N170" s="165"/>
      <c r="O170" s="165">
        <v>27.84</v>
      </c>
      <c r="P170" s="165"/>
      <c r="Q170" s="165"/>
      <c r="R170" s="165"/>
      <c r="S170" s="165"/>
      <c r="T170" s="165"/>
      <c r="U170" s="165"/>
      <c r="V170" s="165"/>
    </row>
    <row r="171" spans="1:22" x14ac:dyDescent="0.25">
      <c r="A171" s="105" t="s">
        <v>298</v>
      </c>
      <c r="B171" s="115" t="s">
        <v>328</v>
      </c>
      <c r="C171" s="115" t="s">
        <v>206</v>
      </c>
      <c r="D171" s="115" t="s">
        <v>210</v>
      </c>
      <c r="E171" s="42">
        <v>29.74</v>
      </c>
      <c r="F171" s="165" t="s">
        <v>298</v>
      </c>
      <c r="G171" s="165" t="s">
        <v>209</v>
      </c>
      <c r="H171" s="165" t="s">
        <v>206</v>
      </c>
      <c r="I171" s="165" t="s">
        <v>210</v>
      </c>
      <c r="J171" s="165">
        <v>27.84</v>
      </c>
      <c r="K171" s="165" t="s">
        <v>299</v>
      </c>
      <c r="L171" s="42">
        <v>31.07</v>
      </c>
      <c r="M171" s="165"/>
      <c r="N171" s="165"/>
      <c r="O171" s="165">
        <v>28.22</v>
      </c>
      <c r="P171" s="165"/>
      <c r="Q171" s="165"/>
      <c r="R171" s="165"/>
      <c r="S171" s="165"/>
      <c r="T171" s="165"/>
      <c r="U171" s="165"/>
      <c r="V171" s="165"/>
    </row>
    <row r="172" spans="1:22" x14ac:dyDescent="0.25">
      <c r="A172" s="105" t="s">
        <v>299</v>
      </c>
      <c r="B172" s="115" t="s">
        <v>328</v>
      </c>
      <c r="C172" s="115" t="s">
        <v>206</v>
      </c>
      <c r="D172" s="115" t="s">
        <v>210</v>
      </c>
      <c r="E172" s="42">
        <v>31.07</v>
      </c>
      <c r="F172" s="165" t="s">
        <v>299</v>
      </c>
      <c r="G172" s="165" t="s">
        <v>209</v>
      </c>
      <c r="H172" s="165" t="s">
        <v>206</v>
      </c>
      <c r="I172" s="165" t="s">
        <v>210</v>
      </c>
      <c r="J172" s="165">
        <v>28.22</v>
      </c>
      <c r="K172" s="165" t="s">
        <v>300</v>
      </c>
      <c r="L172" s="42">
        <v>31.05</v>
      </c>
      <c r="M172" s="165"/>
      <c r="N172" s="165"/>
      <c r="O172" s="165">
        <v>28.12</v>
      </c>
      <c r="P172" s="165"/>
      <c r="Q172" s="165"/>
      <c r="R172" s="165"/>
      <c r="S172" s="165"/>
      <c r="T172" s="165"/>
      <c r="U172" s="165"/>
      <c r="V172" s="165"/>
    </row>
    <row r="173" spans="1:22" x14ac:dyDescent="0.25">
      <c r="A173" s="105" t="s">
        <v>300</v>
      </c>
      <c r="B173" s="115" t="s">
        <v>328</v>
      </c>
      <c r="C173" s="115" t="s">
        <v>206</v>
      </c>
      <c r="D173" s="115" t="s">
        <v>210</v>
      </c>
      <c r="E173" s="42">
        <v>31.05</v>
      </c>
      <c r="F173" s="165" t="s">
        <v>300</v>
      </c>
      <c r="G173" s="165" t="s">
        <v>209</v>
      </c>
      <c r="H173" s="165" t="s">
        <v>206</v>
      </c>
      <c r="I173" s="165" t="s">
        <v>210</v>
      </c>
      <c r="J173" s="165">
        <v>28.12</v>
      </c>
      <c r="K173" s="165" t="s">
        <v>301</v>
      </c>
      <c r="L173" s="42">
        <v>33.31</v>
      </c>
      <c r="M173" s="165"/>
      <c r="N173" s="165"/>
      <c r="O173" s="165">
        <v>28.59</v>
      </c>
      <c r="P173" s="165"/>
      <c r="Q173" s="165"/>
      <c r="R173" s="165"/>
      <c r="S173" s="165"/>
      <c r="T173" s="165"/>
      <c r="U173" s="165"/>
      <c r="V173" s="165"/>
    </row>
    <row r="174" spans="1:22" x14ac:dyDescent="0.25">
      <c r="A174" s="105" t="s">
        <v>301</v>
      </c>
      <c r="B174" s="115" t="s">
        <v>328</v>
      </c>
      <c r="C174" s="115" t="s">
        <v>206</v>
      </c>
      <c r="D174" s="115" t="s">
        <v>210</v>
      </c>
      <c r="E174" s="42">
        <v>33.31</v>
      </c>
      <c r="F174" s="165" t="s">
        <v>301</v>
      </c>
      <c r="G174" s="165" t="s">
        <v>209</v>
      </c>
      <c r="H174" s="165" t="s">
        <v>206</v>
      </c>
      <c r="I174" s="165" t="s">
        <v>210</v>
      </c>
      <c r="J174" s="165">
        <v>28.59</v>
      </c>
      <c r="K174" s="165" t="s">
        <v>302</v>
      </c>
      <c r="L174" s="42">
        <v>34.590000000000003</v>
      </c>
      <c r="M174" s="165"/>
      <c r="N174" s="165"/>
      <c r="O174" s="165">
        <v>28.61</v>
      </c>
      <c r="P174" s="165"/>
      <c r="Q174" s="165"/>
      <c r="R174" s="165"/>
      <c r="S174" s="165"/>
      <c r="T174" s="165"/>
      <c r="U174" s="165"/>
      <c r="V174" s="165"/>
    </row>
    <row r="175" spans="1:22" x14ac:dyDescent="0.25">
      <c r="A175" s="105" t="s">
        <v>302</v>
      </c>
      <c r="B175" s="115" t="s">
        <v>328</v>
      </c>
      <c r="C175" s="115" t="s">
        <v>206</v>
      </c>
      <c r="D175" s="115" t="s">
        <v>210</v>
      </c>
      <c r="E175" s="42">
        <v>34.590000000000003</v>
      </c>
      <c r="F175" s="165" t="s">
        <v>302</v>
      </c>
      <c r="G175" s="165" t="s">
        <v>209</v>
      </c>
      <c r="H175" s="165" t="s">
        <v>206</v>
      </c>
      <c r="I175" s="165" t="s">
        <v>210</v>
      </c>
      <c r="J175" s="165">
        <v>28.61</v>
      </c>
      <c r="K175" s="165" t="s">
        <v>303</v>
      </c>
      <c r="L175" s="42">
        <v>33.15</v>
      </c>
      <c r="M175" s="165"/>
      <c r="N175" s="165"/>
      <c r="O175" s="165">
        <v>28.73</v>
      </c>
      <c r="P175" s="165"/>
      <c r="Q175" s="165"/>
      <c r="R175" s="165"/>
      <c r="S175" s="165"/>
      <c r="T175" s="165"/>
      <c r="U175" s="165"/>
      <c r="V175" s="165"/>
    </row>
    <row r="176" spans="1:22" x14ac:dyDescent="0.25">
      <c r="A176" s="105" t="s">
        <v>303</v>
      </c>
      <c r="B176" s="115" t="s">
        <v>328</v>
      </c>
      <c r="C176" s="115" t="s">
        <v>206</v>
      </c>
      <c r="D176" s="115" t="s">
        <v>210</v>
      </c>
      <c r="E176" s="42">
        <v>33.15</v>
      </c>
      <c r="F176" s="165" t="s">
        <v>303</v>
      </c>
      <c r="G176" s="165" t="s">
        <v>209</v>
      </c>
      <c r="H176" s="165" t="s">
        <v>206</v>
      </c>
      <c r="I176" s="165" t="s">
        <v>210</v>
      </c>
      <c r="J176" s="165">
        <v>28.73</v>
      </c>
      <c r="K176" s="165" t="s">
        <v>304</v>
      </c>
      <c r="L176" s="42">
        <v>31.22</v>
      </c>
      <c r="M176" s="165"/>
      <c r="N176" s="165"/>
      <c r="O176" s="165">
        <v>28.19</v>
      </c>
      <c r="P176" s="165"/>
      <c r="Q176" s="165"/>
      <c r="R176" s="165"/>
      <c r="S176" s="165"/>
      <c r="T176" s="165"/>
      <c r="U176" s="165"/>
      <c r="V176" s="165"/>
    </row>
    <row r="177" spans="1:15" x14ac:dyDescent="0.25">
      <c r="A177" s="105" t="s">
        <v>304</v>
      </c>
      <c r="B177" s="115" t="s">
        <v>328</v>
      </c>
      <c r="C177" s="115" t="s">
        <v>206</v>
      </c>
      <c r="D177" s="115" t="s">
        <v>210</v>
      </c>
      <c r="E177" s="42">
        <v>31.22</v>
      </c>
      <c r="F177" s="165" t="s">
        <v>304</v>
      </c>
      <c r="G177" s="165" t="s">
        <v>209</v>
      </c>
      <c r="H177" s="165" t="s">
        <v>206</v>
      </c>
      <c r="I177" s="165" t="s">
        <v>210</v>
      </c>
      <c r="J177" s="165">
        <v>28.19</v>
      </c>
      <c r="K177" s="165" t="s">
        <v>305</v>
      </c>
      <c r="L177" s="42">
        <v>33.68</v>
      </c>
      <c r="M177" s="165"/>
      <c r="N177" s="165"/>
      <c r="O177" s="165">
        <v>28.15</v>
      </c>
    </row>
    <row r="178" spans="1:15" x14ac:dyDescent="0.25">
      <c r="A178" s="105" t="s">
        <v>305</v>
      </c>
      <c r="B178" s="115" t="s">
        <v>328</v>
      </c>
      <c r="C178" s="115" t="s">
        <v>206</v>
      </c>
      <c r="D178" s="115" t="s">
        <v>210</v>
      </c>
      <c r="E178" s="42">
        <v>33.68</v>
      </c>
      <c r="F178" s="165" t="s">
        <v>305</v>
      </c>
      <c r="G178" s="165" t="s">
        <v>209</v>
      </c>
      <c r="H178" s="165" t="s">
        <v>206</v>
      </c>
      <c r="I178" s="165" t="s">
        <v>210</v>
      </c>
      <c r="J178" s="165">
        <v>28.15</v>
      </c>
      <c r="K178" s="165" t="s">
        <v>306</v>
      </c>
      <c r="L178" s="42">
        <v>34.229999999999997</v>
      </c>
      <c r="M178" s="165"/>
      <c r="N178" s="165"/>
      <c r="O178" s="165">
        <v>28.42</v>
      </c>
    </row>
    <row r="179" spans="1:15" x14ac:dyDescent="0.25">
      <c r="A179" s="105" t="s">
        <v>306</v>
      </c>
      <c r="B179" s="115" t="s">
        <v>328</v>
      </c>
      <c r="C179" s="115" t="s">
        <v>206</v>
      </c>
      <c r="D179" s="115" t="s">
        <v>210</v>
      </c>
      <c r="E179" s="42">
        <v>34.229999999999997</v>
      </c>
      <c r="F179" s="165" t="s">
        <v>306</v>
      </c>
      <c r="G179" s="165" t="s">
        <v>209</v>
      </c>
      <c r="H179" s="165" t="s">
        <v>206</v>
      </c>
      <c r="I179" s="165" t="s">
        <v>210</v>
      </c>
      <c r="J179" s="165">
        <v>28.42</v>
      </c>
      <c r="K179" s="165" t="s">
        <v>307</v>
      </c>
      <c r="L179" s="42">
        <v>33.07</v>
      </c>
      <c r="M179" s="165"/>
      <c r="N179" s="165"/>
      <c r="O179" s="165">
        <v>28.18</v>
      </c>
    </row>
    <row r="180" spans="1:15" x14ac:dyDescent="0.25">
      <c r="A180" s="105" t="s">
        <v>307</v>
      </c>
      <c r="B180" s="115" t="s">
        <v>328</v>
      </c>
      <c r="C180" s="115" t="s">
        <v>206</v>
      </c>
      <c r="D180" s="115" t="s">
        <v>210</v>
      </c>
      <c r="E180" s="42">
        <v>33.07</v>
      </c>
      <c r="F180" s="165" t="s">
        <v>307</v>
      </c>
      <c r="G180" s="165" t="s">
        <v>209</v>
      </c>
      <c r="H180" s="165" t="s">
        <v>206</v>
      </c>
      <c r="I180" s="165" t="s">
        <v>210</v>
      </c>
      <c r="J180" s="165">
        <v>28.18</v>
      </c>
      <c r="K180" s="165" t="s">
        <v>308</v>
      </c>
      <c r="L180" s="42">
        <v>35.049999999999997</v>
      </c>
      <c r="M180" s="165"/>
      <c r="N180" s="165"/>
      <c r="O180" s="165">
        <v>28.55</v>
      </c>
    </row>
    <row r="181" spans="1:15" x14ac:dyDescent="0.25">
      <c r="A181" s="105" t="s">
        <v>308</v>
      </c>
      <c r="B181" s="115" t="s">
        <v>328</v>
      </c>
      <c r="C181" s="115" t="s">
        <v>206</v>
      </c>
      <c r="D181" s="115" t="s">
        <v>210</v>
      </c>
      <c r="E181" s="42">
        <v>35.049999999999997</v>
      </c>
      <c r="F181" s="165" t="s">
        <v>308</v>
      </c>
      <c r="G181" s="165" t="s">
        <v>209</v>
      </c>
      <c r="H181" s="165" t="s">
        <v>206</v>
      </c>
      <c r="I181" s="165" t="s">
        <v>210</v>
      </c>
      <c r="J181" s="165">
        <v>28.55</v>
      </c>
      <c r="K181" s="165" t="s">
        <v>309</v>
      </c>
      <c r="L181" s="42">
        <v>34.590000000000003</v>
      </c>
      <c r="M181" s="165"/>
      <c r="N181" s="165"/>
      <c r="O181" s="165">
        <v>28.34</v>
      </c>
    </row>
    <row r="182" spans="1:15" x14ac:dyDescent="0.25">
      <c r="A182" s="105" t="s">
        <v>309</v>
      </c>
      <c r="B182" s="115" t="s">
        <v>328</v>
      </c>
      <c r="C182" s="115" t="s">
        <v>206</v>
      </c>
      <c r="D182" s="115" t="s">
        <v>210</v>
      </c>
      <c r="E182" s="42">
        <v>34.590000000000003</v>
      </c>
      <c r="F182" s="165" t="s">
        <v>309</v>
      </c>
      <c r="G182" s="165" t="s">
        <v>209</v>
      </c>
      <c r="H182" s="165" t="s">
        <v>206</v>
      </c>
      <c r="I182" s="165" t="s">
        <v>210</v>
      </c>
      <c r="J182" s="165">
        <v>28.34</v>
      </c>
      <c r="K182" s="165" t="s">
        <v>310</v>
      </c>
      <c r="L182" s="42">
        <v>31.39</v>
      </c>
      <c r="M182" s="165"/>
      <c r="N182" s="165"/>
      <c r="O182" s="165">
        <v>28.11</v>
      </c>
    </row>
    <row r="183" spans="1:15" x14ac:dyDescent="0.25">
      <c r="A183" s="105" t="s">
        <v>310</v>
      </c>
      <c r="B183" s="115" t="s">
        <v>328</v>
      </c>
      <c r="C183" s="115" t="s">
        <v>206</v>
      </c>
      <c r="D183" s="115" t="s">
        <v>210</v>
      </c>
      <c r="E183" s="42">
        <v>31.39</v>
      </c>
      <c r="F183" s="165" t="s">
        <v>310</v>
      </c>
      <c r="G183" s="165" t="s">
        <v>209</v>
      </c>
      <c r="H183" s="165" t="s">
        <v>206</v>
      </c>
      <c r="I183" s="165" t="s">
        <v>210</v>
      </c>
      <c r="J183" s="165">
        <v>28.11</v>
      </c>
      <c r="K183" s="165" t="s">
        <v>311</v>
      </c>
      <c r="L183" s="42">
        <v>33.729999999999997</v>
      </c>
      <c r="M183" s="165"/>
      <c r="N183" s="165"/>
      <c r="O183" s="165">
        <v>28.33</v>
      </c>
    </row>
    <row r="184" spans="1:15" x14ac:dyDescent="0.25">
      <c r="A184" s="105" t="s">
        <v>311</v>
      </c>
      <c r="B184" s="115" t="s">
        <v>328</v>
      </c>
      <c r="C184" s="115" t="s">
        <v>206</v>
      </c>
      <c r="D184" s="115" t="s">
        <v>210</v>
      </c>
      <c r="E184" s="42">
        <v>33.729999999999997</v>
      </c>
      <c r="F184" s="165" t="s">
        <v>311</v>
      </c>
      <c r="G184" s="165" t="s">
        <v>209</v>
      </c>
      <c r="H184" s="165" t="s">
        <v>206</v>
      </c>
      <c r="I184" s="165" t="s">
        <v>210</v>
      </c>
      <c r="J184" s="165">
        <v>28.33</v>
      </c>
      <c r="K184" s="165" t="s">
        <v>312</v>
      </c>
      <c r="L184" s="42">
        <v>31.94</v>
      </c>
      <c r="M184" s="165"/>
      <c r="N184" s="165"/>
      <c r="O184" s="165">
        <v>28.32</v>
      </c>
    </row>
    <row r="185" spans="1:15" x14ac:dyDescent="0.25">
      <c r="A185" s="105" t="s">
        <v>312</v>
      </c>
      <c r="B185" s="115" t="s">
        <v>328</v>
      </c>
      <c r="C185" s="115" t="s">
        <v>206</v>
      </c>
      <c r="D185" s="115" t="s">
        <v>210</v>
      </c>
      <c r="E185" s="42">
        <v>31.94</v>
      </c>
      <c r="F185" s="165" t="s">
        <v>312</v>
      </c>
      <c r="G185" s="165" t="s">
        <v>209</v>
      </c>
      <c r="H185" s="165" t="s">
        <v>206</v>
      </c>
      <c r="I185" s="165" t="s">
        <v>210</v>
      </c>
      <c r="J185" s="165">
        <v>28.32</v>
      </c>
      <c r="K185" s="165" t="s">
        <v>313</v>
      </c>
      <c r="L185" s="42">
        <v>34.130000000000003</v>
      </c>
      <c r="M185" s="165"/>
      <c r="N185" s="165"/>
      <c r="O185" s="165">
        <v>28.32</v>
      </c>
    </row>
    <row r="186" spans="1:15" x14ac:dyDescent="0.25">
      <c r="A186" s="105" t="s">
        <v>313</v>
      </c>
      <c r="B186" s="115" t="s">
        <v>328</v>
      </c>
      <c r="C186" s="115" t="s">
        <v>206</v>
      </c>
      <c r="D186" s="115" t="s">
        <v>210</v>
      </c>
      <c r="E186" s="42">
        <v>34.130000000000003</v>
      </c>
      <c r="F186" s="165" t="s">
        <v>313</v>
      </c>
      <c r="G186" s="165" t="s">
        <v>209</v>
      </c>
      <c r="H186" s="165" t="s">
        <v>206</v>
      </c>
      <c r="I186" s="165" t="s">
        <v>210</v>
      </c>
      <c r="J186" s="165">
        <v>28.32</v>
      </c>
      <c r="K186" s="165" t="s">
        <v>314</v>
      </c>
      <c r="L186" s="42">
        <v>31.32</v>
      </c>
      <c r="M186" s="165"/>
      <c r="N186" s="165"/>
      <c r="O186" s="165">
        <v>28.31</v>
      </c>
    </row>
    <row r="187" spans="1:15" x14ac:dyDescent="0.25">
      <c r="A187" s="105" t="s">
        <v>314</v>
      </c>
      <c r="B187" s="115" t="s">
        <v>328</v>
      </c>
      <c r="C187" s="115" t="s">
        <v>206</v>
      </c>
      <c r="D187" s="115" t="s">
        <v>210</v>
      </c>
      <c r="E187" s="42">
        <v>31.32</v>
      </c>
      <c r="F187" s="165" t="s">
        <v>314</v>
      </c>
      <c r="G187" s="165" t="s">
        <v>209</v>
      </c>
      <c r="H187" s="165" t="s">
        <v>206</v>
      </c>
      <c r="I187" s="165" t="s">
        <v>210</v>
      </c>
      <c r="J187" s="165">
        <v>28.31</v>
      </c>
      <c r="K187" s="165" t="s">
        <v>315</v>
      </c>
      <c r="L187" s="42">
        <v>33.36</v>
      </c>
      <c r="M187" s="165"/>
      <c r="N187" s="165"/>
      <c r="O187" s="165">
        <v>28.24</v>
      </c>
    </row>
    <row r="188" spans="1:15" x14ac:dyDescent="0.25">
      <c r="A188" s="105" t="s">
        <v>315</v>
      </c>
      <c r="B188" s="115" t="s">
        <v>328</v>
      </c>
      <c r="C188" s="115" t="s">
        <v>206</v>
      </c>
      <c r="D188" s="115" t="s">
        <v>210</v>
      </c>
      <c r="E188" s="42">
        <v>33.36</v>
      </c>
      <c r="F188" s="165" t="s">
        <v>315</v>
      </c>
      <c r="G188" s="165" t="s">
        <v>209</v>
      </c>
      <c r="H188" s="165" t="s">
        <v>206</v>
      </c>
      <c r="I188" s="165" t="s">
        <v>210</v>
      </c>
      <c r="J188" s="165">
        <v>28.24</v>
      </c>
      <c r="K188" s="165" t="s">
        <v>316</v>
      </c>
      <c r="L188" s="42">
        <v>32.26</v>
      </c>
      <c r="M188" s="165"/>
      <c r="N188" s="165"/>
      <c r="O188" s="165">
        <v>28.1</v>
      </c>
    </row>
    <row r="189" spans="1:15" x14ac:dyDescent="0.25">
      <c r="A189" s="105" t="s">
        <v>316</v>
      </c>
      <c r="B189" s="115" t="s">
        <v>328</v>
      </c>
      <c r="C189" s="115" t="s">
        <v>206</v>
      </c>
      <c r="D189" s="115" t="s">
        <v>210</v>
      </c>
      <c r="E189" s="42">
        <v>32.26</v>
      </c>
      <c r="F189" s="165" t="s">
        <v>316</v>
      </c>
      <c r="G189" s="165" t="s">
        <v>209</v>
      </c>
      <c r="H189" s="165" t="s">
        <v>206</v>
      </c>
      <c r="I189" s="165" t="s">
        <v>210</v>
      </c>
      <c r="J189" s="165">
        <v>28.1</v>
      </c>
      <c r="K189" s="165" t="s">
        <v>317</v>
      </c>
      <c r="L189" s="42">
        <v>32.340000000000003</v>
      </c>
      <c r="M189" s="165"/>
      <c r="N189" s="165"/>
      <c r="O189" s="165">
        <v>28.13</v>
      </c>
    </row>
    <row r="190" spans="1:15" x14ac:dyDescent="0.25">
      <c r="A190" s="105" t="s">
        <v>317</v>
      </c>
      <c r="B190" s="115" t="s">
        <v>328</v>
      </c>
      <c r="C190" s="115" t="s">
        <v>206</v>
      </c>
      <c r="D190" s="115" t="s">
        <v>210</v>
      </c>
      <c r="E190" s="42">
        <v>32.340000000000003</v>
      </c>
      <c r="F190" s="165" t="s">
        <v>317</v>
      </c>
      <c r="G190" s="165" t="s">
        <v>209</v>
      </c>
      <c r="H190" s="165" t="s">
        <v>206</v>
      </c>
      <c r="I190" s="165" t="s">
        <v>210</v>
      </c>
      <c r="J190" s="165">
        <v>28.13</v>
      </c>
      <c r="K190" s="165" t="s">
        <v>318</v>
      </c>
      <c r="L190" s="42">
        <v>32.94</v>
      </c>
      <c r="M190" s="165"/>
      <c r="N190" s="165"/>
      <c r="O190" s="165">
        <v>28.35</v>
      </c>
    </row>
    <row r="191" spans="1:15" x14ac:dyDescent="0.25">
      <c r="A191" s="105" t="s">
        <v>318</v>
      </c>
      <c r="B191" s="115" t="s">
        <v>328</v>
      </c>
      <c r="C191" s="115" t="s">
        <v>206</v>
      </c>
      <c r="D191" s="115" t="s">
        <v>210</v>
      </c>
      <c r="E191" s="42">
        <v>32.94</v>
      </c>
      <c r="F191" s="165" t="s">
        <v>318</v>
      </c>
      <c r="G191" s="165" t="s">
        <v>209</v>
      </c>
      <c r="H191" s="165" t="s">
        <v>206</v>
      </c>
      <c r="I191" s="165" t="s">
        <v>210</v>
      </c>
      <c r="J191" s="165">
        <v>28.35</v>
      </c>
      <c r="K191" s="165" t="s">
        <v>319</v>
      </c>
      <c r="L191" s="42">
        <v>34.01</v>
      </c>
      <c r="M191" s="165"/>
      <c r="N191" s="165"/>
      <c r="O191" s="165">
        <v>28.22</v>
      </c>
    </row>
    <row r="192" spans="1:15" x14ac:dyDescent="0.25">
      <c r="A192" s="105" t="s">
        <v>319</v>
      </c>
      <c r="B192" s="115" t="s">
        <v>328</v>
      </c>
      <c r="C192" s="115" t="s">
        <v>206</v>
      </c>
      <c r="D192" s="115" t="s">
        <v>210</v>
      </c>
      <c r="E192" s="42">
        <v>34.01</v>
      </c>
      <c r="F192" s="165" t="s">
        <v>319</v>
      </c>
      <c r="G192" s="165" t="s">
        <v>209</v>
      </c>
      <c r="H192" s="165" t="s">
        <v>206</v>
      </c>
      <c r="I192" s="165" t="s">
        <v>210</v>
      </c>
      <c r="J192" s="165">
        <v>28.22</v>
      </c>
      <c r="K192" s="165" t="s">
        <v>321</v>
      </c>
      <c r="L192" s="42">
        <v>33.520000000000003</v>
      </c>
      <c r="M192" s="165"/>
      <c r="N192" s="165"/>
      <c r="O192" s="165">
        <v>28.08</v>
      </c>
    </row>
    <row r="193" spans="1:15" ht="15.75" thickBot="1" x14ac:dyDescent="0.3">
      <c r="A193" s="105" t="s">
        <v>321</v>
      </c>
      <c r="B193" s="115" t="s">
        <v>328</v>
      </c>
      <c r="C193" s="115" t="s">
        <v>206</v>
      </c>
      <c r="D193" s="115" t="s">
        <v>210</v>
      </c>
      <c r="E193" s="42">
        <v>33.520000000000003</v>
      </c>
      <c r="F193" s="165" t="s">
        <v>321</v>
      </c>
      <c r="G193" s="165" t="s">
        <v>209</v>
      </c>
      <c r="H193" s="165" t="s">
        <v>206</v>
      </c>
      <c r="I193" s="165" t="s">
        <v>210</v>
      </c>
      <c r="J193" s="165">
        <v>28.08</v>
      </c>
      <c r="K193" s="165" t="s">
        <v>322</v>
      </c>
      <c r="L193" s="43">
        <v>34.409999999999997</v>
      </c>
      <c r="M193" s="165"/>
      <c r="N193" s="165"/>
      <c r="O193" s="165">
        <v>28.28</v>
      </c>
    </row>
    <row r="194" spans="1:15" ht="15.75" thickBot="1" x14ac:dyDescent="0.3">
      <c r="A194" s="121" t="s">
        <v>322</v>
      </c>
      <c r="B194" s="122" t="s">
        <v>328</v>
      </c>
      <c r="C194" s="122" t="s">
        <v>206</v>
      </c>
      <c r="D194" s="122" t="s">
        <v>210</v>
      </c>
      <c r="E194" s="43">
        <v>34.409999999999997</v>
      </c>
      <c r="F194" s="165" t="s">
        <v>322</v>
      </c>
      <c r="G194" s="165" t="s">
        <v>209</v>
      </c>
      <c r="H194" s="165" t="s">
        <v>206</v>
      </c>
      <c r="I194" s="165" t="s">
        <v>210</v>
      </c>
      <c r="J194" s="165">
        <v>28.28</v>
      </c>
      <c r="K194" s="165"/>
      <c r="L194" s="165"/>
      <c r="M194" s="165"/>
      <c r="N194" s="165"/>
      <c r="O194" s="165"/>
    </row>
  </sheetData>
  <sortState xmlns:xlrd2="http://schemas.microsoft.com/office/spreadsheetml/2017/richdata2" ref="F3:J196">
    <sortCondition ref="G3:G196"/>
    <sortCondition ref="F3:F196"/>
  </sortState>
  <mergeCells count="2">
    <mergeCell ref="A1:E1"/>
    <mergeCell ref="F1:J1"/>
  </mergeCells>
  <phoneticPr fontId="12" type="noConversion"/>
  <pageMargins left="0.7" right="0.7" top="0.75" bottom="0.75" header="0.3" footer="0.3"/>
  <pageSetup scale="17" orientation="landscape"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8435-DC68-43D1-ACF3-E9B78C0C062D}">
  <sheetPr codeName="Sheet12"/>
  <dimension ref="A1:G18"/>
  <sheetViews>
    <sheetView workbookViewId="0">
      <selection activeCell="J10" sqref="J10"/>
    </sheetView>
  </sheetViews>
  <sheetFormatPr defaultRowHeight="15" x14ac:dyDescent="0.25"/>
  <sheetData>
    <row r="1" spans="1:7" x14ac:dyDescent="0.25">
      <c r="A1" s="165" t="s">
        <v>763</v>
      </c>
      <c r="B1" s="165"/>
      <c r="C1" s="165"/>
      <c r="D1" s="165"/>
      <c r="E1" s="165"/>
      <c r="F1" s="165"/>
      <c r="G1" s="165"/>
    </row>
    <row r="3" spans="1:7" ht="15.75" thickBot="1" x14ac:dyDescent="0.3">
      <c r="A3" s="165" t="s">
        <v>764</v>
      </c>
      <c r="B3" s="165"/>
      <c r="C3" s="165"/>
      <c r="D3" s="165"/>
      <c r="E3" s="165"/>
      <c r="F3" s="165"/>
      <c r="G3" s="165"/>
    </row>
    <row r="4" spans="1:7" x14ac:dyDescent="0.25">
      <c r="A4" s="47" t="s">
        <v>765</v>
      </c>
      <c r="B4" s="47" t="s">
        <v>766</v>
      </c>
      <c r="C4" s="47" t="s">
        <v>767</v>
      </c>
      <c r="D4" s="47" t="s">
        <v>768</v>
      </c>
      <c r="E4" s="47" t="s">
        <v>769</v>
      </c>
      <c r="F4" s="165"/>
      <c r="G4" s="165"/>
    </row>
    <row r="5" spans="1:7" x14ac:dyDescent="0.25">
      <c r="A5" s="45" t="s">
        <v>30</v>
      </c>
      <c r="B5" s="45">
        <v>11</v>
      </c>
      <c r="C5" s="45">
        <v>314.94000000000005</v>
      </c>
      <c r="D5" s="45">
        <v>28.630909090909096</v>
      </c>
      <c r="E5" s="45">
        <v>3.6709090909091038E-2</v>
      </c>
      <c r="F5" s="165"/>
      <c r="G5" s="165"/>
    </row>
    <row r="6" spans="1:7" x14ac:dyDescent="0.25">
      <c r="A6" s="45" t="s">
        <v>31</v>
      </c>
      <c r="B6" s="45">
        <v>11</v>
      </c>
      <c r="C6" s="45">
        <v>316.64999999999998</v>
      </c>
      <c r="D6" s="45">
        <v>28.786363636363635</v>
      </c>
      <c r="E6" s="45">
        <v>0.135465454545455</v>
      </c>
      <c r="F6" s="165"/>
      <c r="G6" s="165"/>
    </row>
    <row r="7" spans="1:7" x14ac:dyDescent="0.25">
      <c r="A7" s="45" t="s">
        <v>560</v>
      </c>
      <c r="B7" s="45">
        <v>11</v>
      </c>
      <c r="C7" s="45">
        <v>314.96000000000004</v>
      </c>
      <c r="D7" s="45">
        <v>28.632727272727276</v>
      </c>
      <c r="E7" s="45">
        <v>2.3861818181818251E-2</v>
      </c>
      <c r="F7" s="165"/>
      <c r="G7" s="165"/>
    </row>
    <row r="8" spans="1:7" x14ac:dyDescent="0.25">
      <c r="A8" s="45" t="s">
        <v>562</v>
      </c>
      <c r="B8" s="45">
        <v>11</v>
      </c>
      <c r="C8" s="45">
        <v>314.22999999999996</v>
      </c>
      <c r="D8" s="45">
        <v>28.566363636363633</v>
      </c>
      <c r="E8" s="45">
        <v>4.7765454545454576E-2</v>
      </c>
      <c r="F8" s="165"/>
      <c r="G8" s="165"/>
    </row>
    <row r="9" spans="1:7" x14ac:dyDescent="0.25">
      <c r="A9" s="45" t="s">
        <v>32</v>
      </c>
      <c r="B9" s="45">
        <v>11</v>
      </c>
      <c r="C9" s="45">
        <v>312.91000000000003</v>
      </c>
      <c r="D9" s="45">
        <v>28.446363636363639</v>
      </c>
      <c r="E9" s="45">
        <v>1.8645454545454639E-2</v>
      </c>
      <c r="F9" s="165"/>
      <c r="G9" s="165"/>
    </row>
    <row r="10" spans="1:7" ht="15.75" thickBot="1" x14ac:dyDescent="0.3">
      <c r="A10" s="46" t="s">
        <v>33</v>
      </c>
      <c r="B10" s="46">
        <v>11</v>
      </c>
      <c r="C10" s="46">
        <v>311.8</v>
      </c>
      <c r="D10" s="46">
        <v>28.345454545454547</v>
      </c>
      <c r="E10" s="46">
        <v>2.3027272727272785E-2</v>
      </c>
      <c r="F10" s="165"/>
      <c r="G10" s="165"/>
    </row>
    <row r="13" spans="1:7" ht="15.75" thickBot="1" x14ac:dyDescent="0.3">
      <c r="A13" s="165" t="s">
        <v>770</v>
      </c>
      <c r="B13" s="165"/>
      <c r="C13" s="165"/>
      <c r="D13" s="165"/>
      <c r="E13" s="165"/>
      <c r="F13" s="165"/>
      <c r="G13" s="165"/>
    </row>
    <row r="14" spans="1:7" x14ac:dyDescent="0.25">
      <c r="A14" s="47" t="s">
        <v>771</v>
      </c>
      <c r="B14" s="47" t="s">
        <v>772</v>
      </c>
      <c r="C14" s="47" t="s">
        <v>773</v>
      </c>
      <c r="D14" s="47" t="s">
        <v>774</v>
      </c>
      <c r="E14" s="47" t="s">
        <v>775</v>
      </c>
      <c r="F14" s="47" t="s">
        <v>776</v>
      </c>
      <c r="G14" s="47" t="s">
        <v>777</v>
      </c>
    </row>
    <row r="15" spans="1:7" x14ac:dyDescent="0.25">
      <c r="A15" s="45" t="s">
        <v>778</v>
      </c>
      <c r="B15" s="45">
        <v>1.3216984848484836</v>
      </c>
      <c r="C15" s="45">
        <v>5</v>
      </c>
      <c r="D15" s="45">
        <v>0.26433969696969672</v>
      </c>
      <c r="E15" s="45">
        <v>5.5557954538216849</v>
      </c>
      <c r="F15" s="45">
        <v>2.8604091927733318E-4</v>
      </c>
      <c r="G15" s="45">
        <v>2.3682702357010696</v>
      </c>
    </row>
    <row r="16" spans="1:7" x14ac:dyDescent="0.25">
      <c r="A16" s="45" t="s">
        <v>779</v>
      </c>
      <c r="B16" s="45">
        <v>2.8547454545454629</v>
      </c>
      <c r="C16" s="45">
        <v>60</v>
      </c>
      <c r="D16" s="45">
        <v>4.757909090909105E-2</v>
      </c>
      <c r="E16" s="45"/>
      <c r="F16" s="45"/>
      <c r="G16" s="45"/>
    </row>
    <row r="17" spans="1:7" x14ac:dyDescent="0.25">
      <c r="A17" s="45"/>
      <c r="B17" s="45"/>
      <c r="C17" s="45"/>
      <c r="D17" s="45"/>
      <c r="E17" s="45"/>
      <c r="F17" s="45"/>
      <c r="G17" s="45"/>
    </row>
    <row r="18" spans="1:7" ht="15.75" thickBot="1" x14ac:dyDescent="0.3">
      <c r="A18" s="46" t="s">
        <v>780</v>
      </c>
      <c r="B18" s="46">
        <v>4.1764439393939465</v>
      </c>
      <c r="C18" s="46">
        <v>65</v>
      </c>
      <c r="D18" s="46"/>
      <c r="E18" s="46"/>
      <c r="F18" s="46"/>
      <c r="G18" s="4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B0412-35A5-43DD-A39A-508D06E4A5E0}">
  <sheetPr codeName="Sheet13"/>
  <dimension ref="A1:AG193"/>
  <sheetViews>
    <sheetView topLeftCell="L1" zoomScale="115" zoomScaleNormal="115" workbookViewId="0">
      <selection activeCell="X5" sqref="X5"/>
    </sheetView>
  </sheetViews>
  <sheetFormatPr defaultRowHeight="15" x14ac:dyDescent="0.25"/>
  <cols>
    <col min="1" max="5" width="9.140625" style="26"/>
    <col min="9" max="13" width="9.140625" style="26"/>
  </cols>
  <sheetData>
    <row r="1" spans="1:33" ht="45" x14ac:dyDescent="0.25">
      <c r="A1" s="165" t="s">
        <v>198</v>
      </c>
      <c r="B1" s="165" t="s">
        <v>199</v>
      </c>
      <c r="C1" s="165" t="s">
        <v>200</v>
      </c>
      <c r="D1" s="165" t="s">
        <v>201</v>
      </c>
      <c r="E1" s="165" t="s">
        <v>202</v>
      </c>
      <c r="F1" s="165" t="s">
        <v>781</v>
      </c>
      <c r="G1" s="165" t="s">
        <v>732</v>
      </c>
      <c r="H1" s="165"/>
      <c r="I1" s="165" t="s">
        <v>198</v>
      </c>
      <c r="J1" s="165" t="s">
        <v>199</v>
      </c>
      <c r="K1" s="165" t="s">
        <v>200</v>
      </c>
      <c r="L1" s="165" t="s">
        <v>201</v>
      </c>
      <c r="M1" s="165" t="s">
        <v>202</v>
      </c>
      <c r="N1" s="165" t="s">
        <v>782</v>
      </c>
      <c r="O1" s="165" t="s">
        <v>735</v>
      </c>
      <c r="P1" s="165"/>
      <c r="Q1" s="165"/>
      <c r="R1" s="165"/>
      <c r="S1" s="165" t="s">
        <v>554</v>
      </c>
      <c r="T1" s="90" t="s">
        <v>20</v>
      </c>
      <c r="U1" s="90" t="s">
        <v>21</v>
      </c>
      <c r="V1" s="90" t="s">
        <v>22</v>
      </c>
      <c r="W1" s="90" t="s">
        <v>23</v>
      </c>
      <c r="X1" s="90" t="s">
        <v>25</v>
      </c>
      <c r="Y1" s="90" t="s">
        <v>736</v>
      </c>
      <c r="Z1" s="165" t="s">
        <v>731</v>
      </c>
      <c r="AA1" s="165" t="s">
        <v>732</v>
      </c>
      <c r="AB1" s="90" t="s">
        <v>737</v>
      </c>
      <c r="AC1" s="165" t="s">
        <v>734</v>
      </c>
      <c r="AD1" s="165" t="s">
        <v>735</v>
      </c>
      <c r="AE1" s="90" t="s">
        <v>737</v>
      </c>
      <c r="AF1" s="165" t="s">
        <v>738</v>
      </c>
      <c r="AG1" s="165" t="s">
        <v>783</v>
      </c>
    </row>
    <row r="2" spans="1:33" x14ac:dyDescent="0.25">
      <c r="A2" s="165" t="s">
        <v>204</v>
      </c>
      <c r="B2" s="165" t="s">
        <v>205</v>
      </c>
      <c r="C2" s="165" t="s">
        <v>206</v>
      </c>
      <c r="D2" s="165" t="s">
        <v>207</v>
      </c>
      <c r="E2" s="165">
        <v>33.53</v>
      </c>
      <c r="F2" s="165">
        <f>AVERAGE(E3:E13)</f>
        <v>33.370000000000005</v>
      </c>
      <c r="G2" s="165">
        <f>STDEV(E3:E13)</f>
        <v>0.25234896472939944</v>
      </c>
      <c r="H2" s="165"/>
      <c r="I2" s="165" t="s">
        <v>204</v>
      </c>
      <c r="J2" s="165" t="s">
        <v>205</v>
      </c>
      <c r="K2" s="165" t="s">
        <v>206</v>
      </c>
      <c r="L2" s="165" t="s">
        <v>207</v>
      </c>
      <c r="M2" s="165">
        <v>26.01</v>
      </c>
      <c r="N2" s="165">
        <f>AVERAGE(M3:M13)</f>
        <v>26.542727272727269</v>
      </c>
      <c r="O2" s="165">
        <f>STDEV(M3:M13)</f>
        <v>9.0784460023829242E-2</v>
      </c>
      <c r="P2" s="165"/>
      <c r="Q2" s="165"/>
      <c r="R2" s="165"/>
      <c r="S2" s="165" t="s">
        <v>557</v>
      </c>
      <c r="T2" s="89" t="s">
        <v>30</v>
      </c>
      <c r="U2" s="84">
        <v>0.1</v>
      </c>
      <c r="V2" s="165">
        <v>100000</v>
      </c>
      <c r="W2" s="89">
        <v>60220000000000.008</v>
      </c>
      <c r="X2" s="89">
        <v>120440000000.00002</v>
      </c>
      <c r="Y2" s="165">
        <f>LOG(X2)</f>
        <v>11.080770746840722</v>
      </c>
      <c r="Z2" s="165">
        <v>33.370000000000005</v>
      </c>
      <c r="AA2" s="165">
        <v>0.25234896472939944</v>
      </c>
      <c r="AB2" s="165">
        <f>2*AA2</f>
        <v>0.50469792945879888</v>
      </c>
      <c r="AC2" s="165">
        <v>26.542727272727269</v>
      </c>
      <c r="AD2" s="165">
        <v>9.0784460023829242E-2</v>
      </c>
      <c r="AE2" s="165">
        <f>2*AD2</f>
        <v>0.18156892004765848</v>
      </c>
      <c r="AF2" s="84">
        <f>AC2-Z2</f>
        <v>-6.8272727272727352</v>
      </c>
      <c r="AG2" s="84">
        <f>HI_std_vs_opt!AD2-LO_std_vs_opt!AC2</f>
        <v>-1.6281818181818153</v>
      </c>
    </row>
    <row r="3" spans="1:33" x14ac:dyDescent="0.25">
      <c r="A3" s="165" t="s">
        <v>211</v>
      </c>
      <c r="B3" s="165" t="s">
        <v>205</v>
      </c>
      <c r="C3" s="165" t="s">
        <v>206</v>
      </c>
      <c r="D3" s="165" t="s">
        <v>207</v>
      </c>
      <c r="E3" s="165">
        <v>33.9</v>
      </c>
      <c r="F3" s="165"/>
      <c r="G3" s="165"/>
      <c r="H3" s="165"/>
      <c r="I3" s="165" t="s">
        <v>211</v>
      </c>
      <c r="J3" s="165" t="s">
        <v>205</v>
      </c>
      <c r="K3" s="165" t="s">
        <v>206</v>
      </c>
      <c r="L3" s="165" t="s">
        <v>207</v>
      </c>
      <c r="M3" s="165">
        <v>26.55</v>
      </c>
      <c r="N3" s="165"/>
      <c r="O3" s="165"/>
      <c r="P3" s="165"/>
      <c r="Q3" s="165"/>
      <c r="R3" s="165"/>
      <c r="S3" s="165" t="s">
        <v>558</v>
      </c>
      <c r="T3" s="165" t="s">
        <v>31</v>
      </c>
      <c r="U3" s="165">
        <v>0.01</v>
      </c>
      <c r="V3" s="165">
        <v>10000</v>
      </c>
      <c r="W3" s="89">
        <v>6022000000000.001</v>
      </c>
      <c r="X3" s="89">
        <v>12044000000.000002</v>
      </c>
      <c r="Y3" s="165">
        <f t="shared" ref="Y3:Y8" si="0">LOG(X3)</f>
        <v>10.080770746840722</v>
      </c>
      <c r="Z3" s="165">
        <v>37.830909090909095</v>
      </c>
      <c r="AA3" s="165">
        <v>0.3797223866314583</v>
      </c>
      <c r="AB3" s="165">
        <f>2*AA3</f>
        <v>0.75944477326291659</v>
      </c>
      <c r="AC3" s="165">
        <v>30.929999999999996</v>
      </c>
      <c r="AD3" s="165">
        <v>0.22860446189871286</v>
      </c>
      <c r="AE3" s="165">
        <f t="shared" ref="AE3:AE6" si="1">2*AD3</f>
        <v>0.45720892379742573</v>
      </c>
      <c r="AF3" s="84">
        <f t="shared" ref="AF3" si="2">AC3-Z3</f>
        <v>-6.9009090909090993</v>
      </c>
      <c r="AG3" s="84">
        <f>HI_std_vs_opt!AD3-LO_std_vs_opt!AC3</f>
        <v>-1.4472727272727219</v>
      </c>
    </row>
    <row r="4" spans="1:33" x14ac:dyDescent="0.25">
      <c r="A4" s="165" t="s">
        <v>212</v>
      </c>
      <c r="B4" s="165" t="s">
        <v>205</v>
      </c>
      <c r="C4" s="165" t="s">
        <v>206</v>
      </c>
      <c r="D4" s="165" t="s">
        <v>207</v>
      </c>
      <c r="E4" s="165">
        <v>33.31</v>
      </c>
      <c r="F4" s="165"/>
      <c r="G4" s="165"/>
      <c r="H4" s="165"/>
      <c r="I4" s="165" t="s">
        <v>212</v>
      </c>
      <c r="J4" s="165" t="s">
        <v>205</v>
      </c>
      <c r="K4" s="165" t="s">
        <v>206</v>
      </c>
      <c r="L4" s="165" t="s">
        <v>207</v>
      </c>
      <c r="M4" s="165">
        <v>26.62</v>
      </c>
      <c r="N4" s="165"/>
      <c r="O4" s="165"/>
      <c r="P4" s="165"/>
      <c r="Q4" s="165"/>
      <c r="R4" s="165"/>
      <c r="S4" s="165" t="s">
        <v>559</v>
      </c>
      <c r="T4" s="165" t="s">
        <v>560</v>
      </c>
      <c r="U4" s="165">
        <v>5.0000000000000001E-3</v>
      </c>
      <c r="V4" s="165">
        <v>5000</v>
      </c>
      <c r="W4" s="89">
        <v>3011000000000.0005</v>
      </c>
      <c r="X4" s="89">
        <v>6022000000.000001</v>
      </c>
      <c r="Y4" s="165">
        <f t="shared" si="0"/>
        <v>9.7797407511767407</v>
      </c>
      <c r="Z4" s="84"/>
      <c r="AA4" s="84"/>
      <c r="AB4" s="165">
        <f>2*AA4</f>
        <v>0</v>
      </c>
      <c r="AC4" s="165">
        <v>32.980909090909094</v>
      </c>
      <c r="AD4" s="165">
        <v>0.30972421750500895</v>
      </c>
      <c r="AE4" s="165">
        <f t="shared" si="1"/>
        <v>0.61944843501001789</v>
      </c>
      <c r="AF4" s="84"/>
      <c r="AG4" s="84">
        <f>HI_std_vs_opt!AD4-LO_std_vs_opt!AC4</f>
        <v>-1.537272727272736</v>
      </c>
    </row>
    <row r="5" spans="1:33" x14ac:dyDescent="0.25">
      <c r="A5" s="165" t="s">
        <v>213</v>
      </c>
      <c r="B5" s="165" t="s">
        <v>205</v>
      </c>
      <c r="C5" s="165" t="s">
        <v>206</v>
      </c>
      <c r="D5" s="165" t="s">
        <v>207</v>
      </c>
      <c r="E5" s="165">
        <v>33.340000000000003</v>
      </c>
      <c r="F5" s="165"/>
      <c r="G5" s="165"/>
      <c r="H5" s="165"/>
      <c r="I5" s="165" t="s">
        <v>213</v>
      </c>
      <c r="J5" s="165" t="s">
        <v>205</v>
      </c>
      <c r="K5" s="165" t="s">
        <v>206</v>
      </c>
      <c r="L5" s="165" t="s">
        <v>207</v>
      </c>
      <c r="M5" s="165">
        <v>26.52</v>
      </c>
      <c r="N5" s="165"/>
      <c r="O5" s="165"/>
      <c r="P5" s="165"/>
      <c r="Q5" s="165"/>
      <c r="R5" s="165"/>
      <c r="S5" s="165" t="s">
        <v>561</v>
      </c>
      <c r="T5" s="165" t="s">
        <v>562</v>
      </c>
      <c r="U5" s="165">
        <v>2.5000000000000001E-3</v>
      </c>
      <c r="V5" s="165">
        <v>2500</v>
      </c>
      <c r="W5" s="89">
        <v>1505500000000.0002</v>
      </c>
      <c r="X5" s="89">
        <v>3011000000.0000005</v>
      </c>
      <c r="Y5" s="165">
        <f t="shared" si="0"/>
        <v>9.4787107555127594</v>
      </c>
      <c r="Z5" s="84"/>
      <c r="AA5" s="84"/>
      <c r="AB5" s="165">
        <f>2*AA5</f>
        <v>0</v>
      </c>
      <c r="AC5" s="165">
        <v>34.853636363636362</v>
      </c>
      <c r="AD5" s="165">
        <v>0.16378478117778389</v>
      </c>
      <c r="AE5" s="165">
        <f t="shared" si="1"/>
        <v>0.32756956235556778</v>
      </c>
      <c r="AF5" s="84"/>
      <c r="AG5" s="84">
        <f>HI_std_vs_opt!AD5-LO_std_vs_opt!AC5</f>
        <v>0.48363636363636431</v>
      </c>
    </row>
    <row r="6" spans="1:33" x14ac:dyDescent="0.25">
      <c r="A6" s="165" t="s">
        <v>214</v>
      </c>
      <c r="B6" s="165" t="s">
        <v>205</v>
      </c>
      <c r="C6" s="165" t="s">
        <v>206</v>
      </c>
      <c r="D6" s="165" t="s">
        <v>207</v>
      </c>
      <c r="E6" s="165">
        <v>33.200000000000003</v>
      </c>
      <c r="F6" s="165"/>
      <c r="G6" s="165"/>
      <c r="H6" s="165"/>
      <c r="I6" s="165" t="s">
        <v>214</v>
      </c>
      <c r="J6" s="165" t="s">
        <v>205</v>
      </c>
      <c r="K6" s="165" t="s">
        <v>206</v>
      </c>
      <c r="L6" s="165" t="s">
        <v>207</v>
      </c>
      <c r="M6" s="165">
        <v>26.56</v>
      </c>
      <c r="N6" s="165"/>
      <c r="O6" s="165"/>
      <c r="P6" s="165"/>
      <c r="Q6" s="165"/>
      <c r="R6" s="165"/>
      <c r="S6" s="165" t="s">
        <v>563</v>
      </c>
      <c r="T6" s="165" t="s">
        <v>564</v>
      </c>
      <c r="U6" s="165">
        <v>1.25E-3</v>
      </c>
      <c r="V6" s="165">
        <v>1250</v>
      </c>
      <c r="W6" s="89">
        <v>752750000000.00012</v>
      </c>
      <c r="X6" s="89">
        <v>1505500000.0000002</v>
      </c>
      <c r="Y6" s="165">
        <f t="shared" si="0"/>
        <v>9.1776807598487782</v>
      </c>
      <c r="Z6" s="165"/>
      <c r="AA6" s="165"/>
      <c r="AB6" s="165"/>
      <c r="AC6" s="165">
        <v>37.284545454545452</v>
      </c>
      <c r="AD6" s="165">
        <v>0.87984502767662065</v>
      </c>
      <c r="AE6" s="165">
        <f t="shared" si="1"/>
        <v>1.7596900553532413</v>
      </c>
      <c r="AF6" s="165"/>
      <c r="AG6" s="165"/>
    </row>
    <row r="7" spans="1:33" x14ac:dyDescent="0.25">
      <c r="A7" s="165" t="s">
        <v>215</v>
      </c>
      <c r="B7" s="165" t="s">
        <v>205</v>
      </c>
      <c r="C7" s="165" t="s">
        <v>206</v>
      </c>
      <c r="D7" s="165" t="s">
        <v>207</v>
      </c>
      <c r="E7" s="165">
        <v>33.04</v>
      </c>
      <c r="F7" s="165"/>
      <c r="G7" s="165"/>
      <c r="H7" s="165"/>
      <c r="I7" s="165" t="s">
        <v>215</v>
      </c>
      <c r="J7" s="165" t="s">
        <v>205</v>
      </c>
      <c r="K7" s="165" t="s">
        <v>206</v>
      </c>
      <c r="L7" s="165" t="s">
        <v>207</v>
      </c>
      <c r="M7" s="165">
        <v>26.45</v>
      </c>
      <c r="N7" s="165"/>
      <c r="O7" s="165"/>
      <c r="P7" s="165"/>
      <c r="Q7" s="165"/>
      <c r="R7" s="165"/>
      <c r="S7" s="165" t="s">
        <v>565</v>
      </c>
      <c r="T7" s="165" t="s">
        <v>32</v>
      </c>
      <c r="U7" s="165">
        <v>1E-3</v>
      </c>
      <c r="V7" s="165">
        <v>1000</v>
      </c>
      <c r="W7" s="89">
        <v>602200000000.00012</v>
      </c>
      <c r="X7" s="89">
        <v>1204400000.0000002</v>
      </c>
      <c r="Y7" s="165">
        <f t="shared" si="0"/>
        <v>9.0807707468407219</v>
      </c>
      <c r="Z7" s="165"/>
      <c r="AA7" s="165"/>
      <c r="AB7" s="165"/>
      <c r="AC7" s="165"/>
      <c r="AD7" s="165"/>
      <c r="AE7" s="165"/>
      <c r="AF7" s="84"/>
      <c r="AG7" s="165"/>
    </row>
    <row r="8" spans="1:33" x14ac:dyDescent="0.25">
      <c r="A8" s="165" t="s">
        <v>216</v>
      </c>
      <c r="B8" s="165" t="s">
        <v>205</v>
      </c>
      <c r="C8" s="165" t="s">
        <v>206</v>
      </c>
      <c r="D8" s="165" t="s">
        <v>207</v>
      </c>
      <c r="E8" s="165">
        <v>33.479999999999997</v>
      </c>
      <c r="F8" s="165"/>
      <c r="G8" s="165"/>
      <c r="H8" s="165"/>
      <c r="I8" s="165" t="s">
        <v>216</v>
      </c>
      <c r="J8" s="165" t="s">
        <v>205</v>
      </c>
      <c r="K8" s="165" t="s">
        <v>206</v>
      </c>
      <c r="L8" s="165" t="s">
        <v>207</v>
      </c>
      <c r="M8" s="165">
        <v>26.69</v>
      </c>
      <c r="N8" s="165"/>
      <c r="O8" s="165"/>
      <c r="P8" s="165"/>
      <c r="Q8" s="165"/>
      <c r="R8" s="165"/>
      <c r="S8" s="165" t="s">
        <v>566</v>
      </c>
      <c r="T8" s="165" t="s">
        <v>33</v>
      </c>
      <c r="U8" s="165">
        <v>1E-4</v>
      </c>
      <c r="V8" s="165">
        <v>100</v>
      </c>
      <c r="W8" s="89">
        <v>301100000000.00006</v>
      </c>
      <c r="X8" s="89">
        <v>602200000.00000012</v>
      </c>
      <c r="Y8" s="165">
        <f t="shared" si="0"/>
        <v>8.7797407511767407</v>
      </c>
      <c r="Z8" s="165"/>
      <c r="AA8" s="165"/>
      <c r="AB8" s="165"/>
      <c r="AC8" s="165"/>
      <c r="AD8" s="165"/>
      <c r="AE8" s="165"/>
      <c r="AF8" s="84"/>
      <c r="AG8" s="165"/>
    </row>
    <row r="9" spans="1:33" x14ac:dyDescent="0.25">
      <c r="A9" s="165" t="s">
        <v>217</v>
      </c>
      <c r="B9" s="165" t="s">
        <v>205</v>
      </c>
      <c r="C9" s="165" t="s">
        <v>206</v>
      </c>
      <c r="D9" s="165" t="s">
        <v>207</v>
      </c>
      <c r="E9" s="165">
        <v>33.729999999999997</v>
      </c>
      <c r="F9" s="165"/>
      <c r="G9" s="165"/>
      <c r="H9" s="165"/>
      <c r="I9" s="165" t="s">
        <v>217</v>
      </c>
      <c r="J9" s="165" t="s">
        <v>205</v>
      </c>
      <c r="K9" s="165" t="s">
        <v>206</v>
      </c>
      <c r="L9" s="165" t="s">
        <v>207</v>
      </c>
      <c r="M9" s="165">
        <v>26.41</v>
      </c>
      <c r="N9" s="165"/>
      <c r="O9" s="165"/>
      <c r="P9" s="165"/>
      <c r="Q9" s="165"/>
      <c r="R9" s="165"/>
      <c r="S9" s="165"/>
      <c r="T9" s="165"/>
      <c r="U9" s="165"/>
      <c r="V9" s="165"/>
      <c r="W9" s="165"/>
      <c r="X9" s="165"/>
      <c r="Y9" s="165"/>
      <c r="Z9" s="165"/>
      <c r="AA9" s="165"/>
      <c r="AB9" s="165"/>
      <c r="AC9" s="165"/>
      <c r="AD9" s="165"/>
      <c r="AE9" s="165"/>
      <c r="AF9" s="165"/>
      <c r="AG9" s="165"/>
    </row>
    <row r="10" spans="1:33" x14ac:dyDescent="0.25">
      <c r="A10" s="165" t="s">
        <v>218</v>
      </c>
      <c r="B10" s="165" t="s">
        <v>205</v>
      </c>
      <c r="C10" s="165" t="s">
        <v>206</v>
      </c>
      <c r="D10" s="165" t="s">
        <v>207</v>
      </c>
      <c r="E10" s="165">
        <v>33.39</v>
      </c>
      <c r="F10" s="165"/>
      <c r="G10" s="165"/>
      <c r="H10" s="165"/>
      <c r="I10" s="165" t="s">
        <v>218</v>
      </c>
      <c r="J10" s="165" t="s">
        <v>205</v>
      </c>
      <c r="K10" s="165" t="s">
        <v>206</v>
      </c>
      <c r="L10" s="165" t="s">
        <v>207</v>
      </c>
      <c r="M10" s="165">
        <v>26.58</v>
      </c>
      <c r="N10" s="165"/>
      <c r="O10" s="165"/>
      <c r="P10" s="165"/>
      <c r="Q10" s="165"/>
      <c r="R10" s="165"/>
      <c r="S10" s="165"/>
      <c r="T10" s="165"/>
      <c r="U10" s="165"/>
      <c r="V10" s="165"/>
      <c r="W10" s="165"/>
      <c r="X10" s="165"/>
      <c r="Y10" s="165"/>
      <c r="Z10" s="165"/>
      <c r="AA10" s="165"/>
      <c r="AB10" s="165"/>
      <c r="AC10" s="165"/>
      <c r="AD10" s="165"/>
      <c r="AE10" s="165"/>
      <c r="AF10" s="165"/>
      <c r="AG10" s="165"/>
    </row>
    <row r="11" spans="1:33" x14ac:dyDescent="0.25">
      <c r="A11" s="165" t="s">
        <v>219</v>
      </c>
      <c r="B11" s="165" t="s">
        <v>205</v>
      </c>
      <c r="C11" s="165" t="s">
        <v>206</v>
      </c>
      <c r="D11" s="165" t="s">
        <v>207</v>
      </c>
      <c r="E11" s="165">
        <v>33.299999999999997</v>
      </c>
      <c r="F11" s="165"/>
      <c r="G11" s="165"/>
      <c r="H11" s="165"/>
      <c r="I11" s="165" t="s">
        <v>219</v>
      </c>
      <c r="J11" s="165" t="s">
        <v>205</v>
      </c>
      <c r="K11" s="165" t="s">
        <v>206</v>
      </c>
      <c r="L11" s="165" t="s">
        <v>207</v>
      </c>
      <c r="M11" s="165">
        <v>26.61</v>
      </c>
      <c r="N11" s="165"/>
      <c r="O11" s="165"/>
      <c r="P11" s="165"/>
      <c r="Q11" s="165"/>
      <c r="R11" s="165"/>
      <c r="S11" s="165"/>
      <c r="T11" s="165"/>
      <c r="U11" s="165"/>
      <c r="V11" s="165"/>
      <c r="W11" s="165"/>
      <c r="X11" s="165"/>
      <c r="Y11" s="165"/>
      <c r="Z11" s="165"/>
      <c r="AA11" s="165"/>
      <c r="AB11" s="165"/>
      <c r="AC11" s="165"/>
      <c r="AD11" s="165"/>
      <c r="AE11" s="165"/>
      <c r="AF11" s="165"/>
      <c r="AG11" s="165"/>
    </row>
    <row r="12" spans="1:33" x14ac:dyDescent="0.25">
      <c r="A12" s="165" t="s">
        <v>221</v>
      </c>
      <c r="B12" s="165" t="s">
        <v>205</v>
      </c>
      <c r="C12" s="165" t="s">
        <v>206</v>
      </c>
      <c r="D12" s="165" t="s">
        <v>207</v>
      </c>
      <c r="E12" s="165">
        <v>33.159999999999997</v>
      </c>
      <c r="F12" s="165"/>
      <c r="G12" s="165"/>
      <c r="H12" s="165"/>
      <c r="I12" s="165" t="s">
        <v>221</v>
      </c>
      <c r="J12" s="165" t="s">
        <v>205</v>
      </c>
      <c r="K12" s="165" t="s">
        <v>206</v>
      </c>
      <c r="L12" s="165" t="s">
        <v>207</v>
      </c>
      <c r="M12" s="165">
        <v>26.4</v>
      </c>
      <c r="N12" s="165"/>
      <c r="O12" s="165"/>
      <c r="P12" s="165"/>
      <c r="Q12" s="165"/>
      <c r="R12" s="165"/>
      <c r="S12" s="165"/>
      <c r="T12" s="165"/>
      <c r="U12" s="165"/>
      <c r="V12" s="165"/>
      <c r="W12" s="165"/>
      <c r="X12" s="165"/>
      <c r="Y12" s="165"/>
      <c r="Z12" s="165"/>
      <c r="AA12" s="165"/>
      <c r="AB12" s="165"/>
      <c r="AC12" s="165"/>
      <c r="AD12" s="165"/>
      <c r="AE12" s="165"/>
      <c r="AF12" s="165"/>
      <c r="AG12" s="165"/>
    </row>
    <row r="13" spans="1:33" x14ac:dyDescent="0.25">
      <c r="A13" s="165" t="s">
        <v>222</v>
      </c>
      <c r="B13" s="165" t="s">
        <v>205</v>
      </c>
      <c r="C13" s="165" t="s">
        <v>206</v>
      </c>
      <c r="D13" s="165" t="s">
        <v>207</v>
      </c>
      <c r="E13" s="165">
        <v>33.22</v>
      </c>
      <c r="F13" s="165"/>
      <c r="G13" s="165"/>
      <c r="H13" s="165"/>
      <c r="I13" s="165" t="s">
        <v>222</v>
      </c>
      <c r="J13" s="165" t="s">
        <v>205</v>
      </c>
      <c r="K13" s="165" t="s">
        <v>206</v>
      </c>
      <c r="L13" s="165" t="s">
        <v>207</v>
      </c>
      <c r="M13" s="165">
        <v>26.58</v>
      </c>
      <c r="N13" s="165"/>
      <c r="O13" s="165"/>
      <c r="P13" s="165"/>
      <c r="Q13" s="165"/>
      <c r="R13" s="165"/>
      <c r="S13" s="165"/>
      <c r="T13" s="165"/>
      <c r="U13" s="165"/>
      <c r="V13" s="165"/>
      <c r="W13" s="165"/>
      <c r="X13" s="165"/>
      <c r="Y13" s="165"/>
      <c r="Z13" s="165"/>
      <c r="AA13" s="165"/>
      <c r="AB13" s="165"/>
      <c r="AC13" s="165"/>
      <c r="AD13" s="165"/>
      <c r="AE13" s="165"/>
      <c r="AF13" s="165"/>
      <c r="AG13" s="165"/>
    </row>
    <row r="14" spans="1:33" x14ac:dyDescent="0.25">
      <c r="A14" s="165" t="s">
        <v>223</v>
      </c>
      <c r="B14" s="165" t="s">
        <v>205</v>
      </c>
      <c r="C14" s="165" t="s">
        <v>206</v>
      </c>
      <c r="D14" s="165" t="s">
        <v>207</v>
      </c>
      <c r="E14" s="165">
        <v>37.21</v>
      </c>
      <c r="F14" s="165">
        <f>AVERAGE(E15:E25)</f>
        <v>37.830909090909095</v>
      </c>
      <c r="G14" s="165">
        <f>STDEV(E15:E25)</f>
        <v>0.3797223866314583</v>
      </c>
      <c r="H14" s="165"/>
      <c r="I14" s="165" t="s">
        <v>223</v>
      </c>
      <c r="J14" s="165" t="s">
        <v>205</v>
      </c>
      <c r="K14" s="165" t="s">
        <v>206</v>
      </c>
      <c r="L14" s="165" t="s">
        <v>207</v>
      </c>
      <c r="M14" s="165">
        <v>30.25</v>
      </c>
      <c r="N14" s="165">
        <f>AVERAGE(M15:M25)</f>
        <v>30.929999999999996</v>
      </c>
      <c r="O14" s="165">
        <f>STDEV(M15:M25)</f>
        <v>0.22860446189871286</v>
      </c>
      <c r="P14" s="165"/>
      <c r="Q14" s="165"/>
      <c r="R14" s="165"/>
      <c r="S14" s="165"/>
      <c r="T14" s="165"/>
      <c r="U14" s="165"/>
      <c r="V14" s="165"/>
      <c r="W14" s="165"/>
      <c r="X14" s="165"/>
      <c r="Y14" s="165"/>
      <c r="Z14" s="165"/>
      <c r="AA14" s="165"/>
      <c r="AB14" s="165"/>
      <c r="AC14" s="165"/>
      <c r="AD14" s="165"/>
      <c r="AE14" s="165"/>
      <c r="AF14" s="165"/>
      <c r="AG14" s="165"/>
    </row>
    <row r="15" spans="1:33" x14ac:dyDescent="0.25">
      <c r="A15" s="165" t="s">
        <v>234</v>
      </c>
      <c r="B15" s="165" t="s">
        <v>205</v>
      </c>
      <c r="C15" s="165" t="s">
        <v>206</v>
      </c>
      <c r="D15" s="165" t="s">
        <v>207</v>
      </c>
      <c r="E15" s="165">
        <v>37.78</v>
      </c>
      <c r="F15" s="165"/>
      <c r="G15" s="165"/>
      <c r="H15" s="165"/>
      <c r="I15" s="165" t="s">
        <v>234</v>
      </c>
      <c r="J15" s="165" t="s">
        <v>205</v>
      </c>
      <c r="K15" s="165" t="s">
        <v>206</v>
      </c>
      <c r="L15" s="165" t="s">
        <v>207</v>
      </c>
      <c r="M15" s="165">
        <v>30.88</v>
      </c>
      <c r="N15" s="165"/>
      <c r="O15" s="165"/>
      <c r="P15" s="165"/>
      <c r="Q15" s="165"/>
      <c r="R15" s="165"/>
      <c r="S15" s="165"/>
      <c r="T15" s="165"/>
      <c r="U15" s="165"/>
      <c r="V15" s="165"/>
      <c r="W15" s="165"/>
      <c r="X15" s="165"/>
      <c r="Y15" s="165"/>
      <c r="Z15" s="165"/>
      <c r="AA15" s="165"/>
      <c r="AB15" s="165"/>
      <c r="AC15" s="165"/>
      <c r="AD15" s="165"/>
      <c r="AE15" s="165"/>
      <c r="AF15" s="165"/>
      <c r="AG15" s="165"/>
    </row>
    <row r="16" spans="1:33" x14ac:dyDescent="0.25">
      <c r="A16" s="165" t="s">
        <v>235</v>
      </c>
      <c r="B16" s="165" t="s">
        <v>205</v>
      </c>
      <c r="C16" s="165" t="s">
        <v>206</v>
      </c>
      <c r="D16" s="165" t="s">
        <v>207</v>
      </c>
      <c r="E16" s="165">
        <v>37.32</v>
      </c>
      <c r="F16" s="165"/>
      <c r="G16" s="165"/>
      <c r="H16" s="165"/>
      <c r="I16" s="165" t="s">
        <v>235</v>
      </c>
      <c r="J16" s="165" t="s">
        <v>205</v>
      </c>
      <c r="K16" s="165" t="s">
        <v>206</v>
      </c>
      <c r="L16" s="165" t="s">
        <v>207</v>
      </c>
      <c r="M16" s="165">
        <v>30.57</v>
      </c>
      <c r="N16" s="165"/>
      <c r="O16" s="165"/>
      <c r="P16" s="165"/>
      <c r="Q16" s="165"/>
      <c r="R16" s="165"/>
      <c r="S16" s="165"/>
      <c r="T16" s="165"/>
      <c r="U16" s="165"/>
      <c r="V16" s="165"/>
      <c r="W16" s="165"/>
      <c r="X16" s="165"/>
      <c r="Y16" s="165"/>
      <c r="Z16" s="165"/>
      <c r="AA16" s="165"/>
      <c r="AB16" s="165"/>
      <c r="AC16" s="165"/>
      <c r="AD16" s="165"/>
      <c r="AE16" s="165"/>
      <c r="AF16" s="165"/>
      <c r="AG16" s="165"/>
    </row>
    <row r="17" spans="1:24" x14ac:dyDescent="0.25">
      <c r="A17" s="165" t="s">
        <v>236</v>
      </c>
      <c r="B17" s="165" t="s">
        <v>205</v>
      </c>
      <c r="C17" s="165" t="s">
        <v>206</v>
      </c>
      <c r="D17" s="165" t="s">
        <v>207</v>
      </c>
      <c r="E17" s="165">
        <v>37.57</v>
      </c>
      <c r="F17" s="165"/>
      <c r="G17" s="165"/>
      <c r="H17" s="165"/>
      <c r="I17" s="165" t="s">
        <v>236</v>
      </c>
      <c r="J17" s="165" t="s">
        <v>205</v>
      </c>
      <c r="K17" s="165" t="s">
        <v>206</v>
      </c>
      <c r="L17" s="165" t="s">
        <v>207</v>
      </c>
      <c r="M17" s="165">
        <v>30.75</v>
      </c>
      <c r="N17" s="165"/>
      <c r="O17" s="165"/>
      <c r="P17" s="165"/>
      <c r="Q17" s="165"/>
      <c r="R17" s="165"/>
      <c r="S17" s="165"/>
      <c r="T17" s="165"/>
      <c r="U17" s="165"/>
      <c r="V17" s="165"/>
      <c r="W17" s="165"/>
      <c r="X17" s="165"/>
    </row>
    <row r="18" spans="1:24" x14ac:dyDescent="0.25">
      <c r="A18" s="165" t="s">
        <v>237</v>
      </c>
      <c r="B18" s="165" t="s">
        <v>205</v>
      </c>
      <c r="C18" s="165" t="s">
        <v>206</v>
      </c>
      <c r="D18" s="165" t="s">
        <v>207</v>
      </c>
      <c r="E18" s="165">
        <v>37.840000000000003</v>
      </c>
      <c r="F18" s="165"/>
      <c r="G18" s="165"/>
      <c r="H18" s="165"/>
      <c r="I18" s="165" t="s">
        <v>237</v>
      </c>
      <c r="J18" s="165" t="s">
        <v>205</v>
      </c>
      <c r="K18" s="165" t="s">
        <v>206</v>
      </c>
      <c r="L18" s="165" t="s">
        <v>207</v>
      </c>
      <c r="M18" s="165">
        <v>30.95</v>
      </c>
      <c r="N18" s="165"/>
      <c r="O18" s="165"/>
      <c r="P18" s="165"/>
      <c r="Q18" s="165"/>
      <c r="R18" s="165"/>
      <c r="S18" s="165"/>
      <c r="T18" s="165"/>
      <c r="U18" s="165"/>
      <c r="V18" s="165"/>
      <c r="W18" s="165"/>
      <c r="X18" s="165"/>
    </row>
    <row r="19" spans="1:24" x14ac:dyDescent="0.25">
      <c r="A19" s="165" t="s">
        <v>238</v>
      </c>
      <c r="B19" s="165" t="s">
        <v>205</v>
      </c>
      <c r="C19" s="165" t="s">
        <v>206</v>
      </c>
      <c r="D19" s="165" t="s">
        <v>207</v>
      </c>
      <c r="E19" s="165">
        <v>37.81</v>
      </c>
      <c r="F19" s="165"/>
      <c r="G19" s="165"/>
      <c r="H19" s="165"/>
      <c r="I19" s="165" t="s">
        <v>238</v>
      </c>
      <c r="J19" s="165" t="s">
        <v>205</v>
      </c>
      <c r="K19" s="165" t="s">
        <v>206</v>
      </c>
      <c r="L19" s="165" t="s">
        <v>207</v>
      </c>
      <c r="M19" s="165">
        <v>30.81</v>
      </c>
      <c r="N19" s="165"/>
      <c r="O19" s="165"/>
      <c r="P19" s="165"/>
      <c r="Q19" s="165"/>
      <c r="R19" s="165"/>
      <c r="S19" s="165"/>
      <c r="T19" s="165"/>
      <c r="U19" s="165"/>
      <c r="V19" s="165"/>
      <c r="W19" s="165"/>
      <c r="X19" s="165"/>
    </row>
    <row r="20" spans="1:24" x14ac:dyDescent="0.25">
      <c r="A20" s="165" t="s">
        <v>239</v>
      </c>
      <c r="B20" s="165" t="s">
        <v>205</v>
      </c>
      <c r="C20" s="165" t="s">
        <v>206</v>
      </c>
      <c r="D20" s="165" t="s">
        <v>207</v>
      </c>
      <c r="E20" s="165">
        <v>38.68</v>
      </c>
      <c r="F20" s="165"/>
      <c r="G20" s="165"/>
      <c r="H20" s="165"/>
      <c r="I20" s="165" t="s">
        <v>239</v>
      </c>
      <c r="J20" s="165" t="s">
        <v>205</v>
      </c>
      <c r="K20" s="165" t="s">
        <v>206</v>
      </c>
      <c r="L20" s="165" t="s">
        <v>207</v>
      </c>
      <c r="M20" s="165">
        <v>31.36</v>
      </c>
      <c r="N20" s="165"/>
      <c r="O20" s="165"/>
      <c r="P20" s="165"/>
      <c r="Q20" s="165"/>
      <c r="R20" s="165"/>
      <c r="S20" s="165"/>
      <c r="T20" s="165"/>
      <c r="U20" s="165"/>
      <c r="V20" s="165"/>
      <c r="W20" s="165"/>
      <c r="X20" s="165"/>
    </row>
    <row r="21" spans="1:24" x14ac:dyDescent="0.25">
      <c r="A21" s="165" t="s">
        <v>242</v>
      </c>
      <c r="B21" s="165" t="s">
        <v>205</v>
      </c>
      <c r="C21" s="165" t="s">
        <v>206</v>
      </c>
      <c r="D21" s="165" t="s">
        <v>207</v>
      </c>
      <c r="E21" s="165">
        <v>37.9</v>
      </c>
      <c r="F21" s="165"/>
      <c r="G21" s="165"/>
      <c r="H21" s="165"/>
      <c r="I21" s="165" t="s">
        <v>242</v>
      </c>
      <c r="J21" s="165" t="s">
        <v>205</v>
      </c>
      <c r="K21" s="165" t="s">
        <v>206</v>
      </c>
      <c r="L21" s="165" t="s">
        <v>207</v>
      </c>
      <c r="M21" s="165">
        <v>30.82</v>
      </c>
      <c r="N21" s="165"/>
      <c r="O21" s="165"/>
      <c r="P21" s="165"/>
      <c r="Q21" s="165"/>
      <c r="R21" s="165"/>
      <c r="S21" s="165"/>
      <c r="T21" s="165"/>
      <c r="U21" s="165"/>
      <c r="V21" s="165"/>
      <c r="W21" s="165"/>
      <c r="X21" s="165"/>
    </row>
    <row r="22" spans="1:24" x14ac:dyDescent="0.25">
      <c r="A22" s="165" t="s">
        <v>243</v>
      </c>
      <c r="B22" s="165" t="s">
        <v>205</v>
      </c>
      <c r="C22" s="165" t="s">
        <v>206</v>
      </c>
      <c r="D22" s="165" t="s">
        <v>207</v>
      </c>
      <c r="E22" s="165">
        <v>37.549999999999997</v>
      </c>
      <c r="F22" s="165"/>
      <c r="G22" s="165"/>
      <c r="H22" s="165"/>
      <c r="I22" s="165" t="s">
        <v>243</v>
      </c>
      <c r="J22" s="165" t="s">
        <v>205</v>
      </c>
      <c r="K22" s="165" t="s">
        <v>206</v>
      </c>
      <c r="L22" s="165" t="s">
        <v>207</v>
      </c>
      <c r="M22" s="165">
        <v>30.8</v>
      </c>
      <c r="N22" s="165"/>
      <c r="O22" s="165"/>
      <c r="P22" s="165"/>
      <c r="Q22" s="165"/>
      <c r="R22" s="165"/>
      <c r="S22" s="165"/>
      <c r="T22" s="165"/>
      <c r="U22" s="165"/>
      <c r="V22" s="165"/>
      <c r="W22" s="165"/>
      <c r="X22" s="165"/>
    </row>
    <row r="23" spans="1:24" x14ac:dyDescent="0.25">
      <c r="A23" s="165" t="s">
        <v>244</v>
      </c>
      <c r="B23" s="165" t="s">
        <v>205</v>
      </c>
      <c r="C23" s="165" t="s">
        <v>206</v>
      </c>
      <c r="D23" s="165" t="s">
        <v>207</v>
      </c>
      <c r="E23" s="165">
        <v>37.54</v>
      </c>
      <c r="F23" s="165"/>
      <c r="G23" s="165"/>
      <c r="H23" s="165"/>
      <c r="I23" s="165" t="s">
        <v>244</v>
      </c>
      <c r="J23" s="165" t="s">
        <v>205</v>
      </c>
      <c r="K23" s="165" t="s">
        <v>206</v>
      </c>
      <c r="L23" s="165" t="s">
        <v>207</v>
      </c>
      <c r="M23" s="165">
        <v>31.07</v>
      </c>
      <c r="N23" s="165"/>
      <c r="O23" s="165"/>
      <c r="P23" s="165"/>
      <c r="Q23" s="165"/>
      <c r="R23" s="165"/>
      <c r="S23" s="165"/>
      <c r="T23" s="165"/>
      <c r="U23" s="165"/>
      <c r="V23" s="165"/>
      <c r="W23" s="165"/>
      <c r="X23" s="165"/>
    </row>
    <row r="24" spans="1:24" x14ac:dyDescent="0.25">
      <c r="A24" s="165" t="s">
        <v>245</v>
      </c>
      <c r="B24" s="165" t="s">
        <v>205</v>
      </c>
      <c r="C24" s="165" t="s">
        <v>206</v>
      </c>
      <c r="D24" s="165" t="s">
        <v>207</v>
      </c>
      <c r="E24" s="165">
        <v>38.299999999999997</v>
      </c>
      <c r="F24" s="165"/>
      <c r="G24" s="165"/>
      <c r="H24" s="165"/>
      <c r="I24" s="165" t="s">
        <v>245</v>
      </c>
      <c r="J24" s="165" t="s">
        <v>205</v>
      </c>
      <c r="K24" s="165" t="s">
        <v>206</v>
      </c>
      <c r="L24" s="165" t="s">
        <v>207</v>
      </c>
      <c r="M24" s="165">
        <v>31.26</v>
      </c>
      <c r="N24" s="165"/>
      <c r="O24" s="165"/>
      <c r="P24" s="165"/>
      <c r="Q24" s="165"/>
      <c r="R24" s="165"/>
      <c r="S24" s="165"/>
      <c r="T24" s="165"/>
      <c r="U24" s="165"/>
      <c r="V24" s="165"/>
      <c r="W24" s="165"/>
      <c r="X24" s="165"/>
    </row>
    <row r="25" spans="1:24" x14ac:dyDescent="0.25">
      <c r="A25" s="165" t="s">
        <v>247</v>
      </c>
      <c r="B25" s="165" t="s">
        <v>205</v>
      </c>
      <c r="C25" s="165" t="s">
        <v>206</v>
      </c>
      <c r="D25" s="165" t="s">
        <v>207</v>
      </c>
      <c r="E25" s="165">
        <v>37.85</v>
      </c>
      <c r="F25" s="165"/>
      <c r="G25" s="165"/>
      <c r="H25" s="165"/>
      <c r="I25" s="165" t="s">
        <v>247</v>
      </c>
      <c r="J25" s="165" t="s">
        <v>205</v>
      </c>
      <c r="K25" s="165" t="s">
        <v>206</v>
      </c>
      <c r="L25" s="165" t="s">
        <v>207</v>
      </c>
      <c r="M25" s="165">
        <v>30.96</v>
      </c>
      <c r="N25" s="165"/>
      <c r="O25" s="165"/>
      <c r="P25" s="165"/>
      <c r="Q25" s="165"/>
      <c r="R25" s="165"/>
      <c r="S25" s="165"/>
      <c r="T25" s="165"/>
      <c r="U25" s="165"/>
      <c r="V25" s="165"/>
      <c r="W25" s="165"/>
      <c r="X25" s="165"/>
    </row>
    <row r="26" spans="1:24" x14ac:dyDescent="0.25">
      <c r="A26" s="165" t="s">
        <v>248</v>
      </c>
      <c r="B26" s="165" t="s">
        <v>205</v>
      </c>
      <c r="C26" s="165" t="s">
        <v>206</v>
      </c>
      <c r="D26" s="165" t="s">
        <v>207</v>
      </c>
      <c r="E26" s="165" t="s">
        <v>220</v>
      </c>
      <c r="F26" s="165"/>
      <c r="G26" s="165"/>
      <c r="H26" s="165"/>
      <c r="I26" s="165" t="s">
        <v>248</v>
      </c>
      <c r="J26" s="165" t="s">
        <v>205</v>
      </c>
      <c r="K26" s="165" t="s">
        <v>206</v>
      </c>
      <c r="L26" s="165" t="s">
        <v>207</v>
      </c>
      <c r="M26" s="165">
        <v>31.94</v>
      </c>
      <c r="N26" s="165">
        <f>AVERAGE(M27:M37)</f>
        <v>32.980909090909094</v>
      </c>
      <c r="O26" s="165">
        <f>STDEV(M27:M37)</f>
        <v>0.30972421750500895</v>
      </c>
      <c r="P26" s="165"/>
      <c r="Q26" s="165"/>
      <c r="R26" s="165"/>
      <c r="S26" s="165"/>
      <c r="T26" s="165"/>
      <c r="U26" s="165"/>
      <c r="V26" s="165"/>
      <c r="W26" s="165"/>
      <c r="X26" s="165"/>
    </row>
    <row r="27" spans="1:24" x14ac:dyDescent="0.25">
      <c r="A27" s="165" t="s">
        <v>249</v>
      </c>
      <c r="B27" s="165" t="s">
        <v>205</v>
      </c>
      <c r="C27" s="165" t="s">
        <v>206</v>
      </c>
      <c r="D27" s="165" t="s">
        <v>207</v>
      </c>
      <c r="E27" s="165" t="s">
        <v>220</v>
      </c>
      <c r="F27" s="165"/>
      <c r="G27" s="165"/>
      <c r="H27" s="165"/>
      <c r="I27" s="165" t="s">
        <v>249</v>
      </c>
      <c r="J27" s="165" t="s">
        <v>205</v>
      </c>
      <c r="K27" s="165" t="s">
        <v>206</v>
      </c>
      <c r="L27" s="165" t="s">
        <v>207</v>
      </c>
      <c r="M27" s="165">
        <v>32.94</v>
      </c>
      <c r="N27" s="165"/>
      <c r="O27" s="165"/>
      <c r="P27" s="165"/>
      <c r="Q27" s="165"/>
      <c r="R27" s="165"/>
      <c r="S27" s="165"/>
      <c r="T27" s="165"/>
      <c r="U27" s="165"/>
      <c r="V27" s="165"/>
      <c r="W27" s="165"/>
      <c r="X27" s="165"/>
    </row>
    <row r="28" spans="1:24" x14ac:dyDescent="0.25">
      <c r="A28" s="165" t="s">
        <v>250</v>
      </c>
      <c r="B28" s="165" t="s">
        <v>205</v>
      </c>
      <c r="C28" s="165" t="s">
        <v>206</v>
      </c>
      <c r="D28" s="165" t="s">
        <v>207</v>
      </c>
      <c r="E28" s="165" t="s">
        <v>220</v>
      </c>
      <c r="F28" s="165"/>
      <c r="G28" s="165"/>
      <c r="H28" s="165"/>
      <c r="I28" s="165" t="s">
        <v>250</v>
      </c>
      <c r="J28" s="165" t="s">
        <v>205</v>
      </c>
      <c r="K28" s="165" t="s">
        <v>206</v>
      </c>
      <c r="L28" s="165" t="s">
        <v>207</v>
      </c>
      <c r="M28" s="165">
        <v>32.9</v>
      </c>
      <c r="N28" s="165"/>
      <c r="O28" s="165"/>
      <c r="P28" s="165"/>
      <c r="Q28" s="165"/>
      <c r="R28" s="165"/>
      <c r="S28" s="165"/>
      <c r="T28" s="165"/>
      <c r="U28" s="165"/>
      <c r="V28" s="165"/>
      <c r="W28" s="165"/>
      <c r="X28" s="165"/>
    </row>
    <row r="29" spans="1:24" ht="45" x14ac:dyDescent="0.25">
      <c r="A29" s="165" t="s">
        <v>251</v>
      </c>
      <c r="B29" s="165" t="s">
        <v>205</v>
      </c>
      <c r="C29" s="165" t="s">
        <v>206</v>
      </c>
      <c r="D29" s="165" t="s">
        <v>207</v>
      </c>
      <c r="E29" s="165" t="s">
        <v>220</v>
      </c>
      <c r="F29" s="165"/>
      <c r="G29" s="165"/>
      <c r="H29" s="165"/>
      <c r="I29" s="165" t="s">
        <v>251</v>
      </c>
      <c r="J29" s="165" t="s">
        <v>205</v>
      </c>
      <c r="K29" s="165" t="s">
        <v>206</v>
      </c>
      <c r="L29" s="165" t="s">
        <v>207</v>
      </c>
      <c r="M29" s="165">
        <v>33.479999999999997</v>
      </c>
      <c r="N29" s="165"/>
      <c r="O29" s="165"/>
      <c r="P29" s="90" t="s">
        <v>20</v>
      </c>
      <c r="Q29" s="90" t="s">
        <v>25</v>
      </c>
      <c r="R29" s="90" t="s">
        <v>736</v>
      </c>
      <c r="S29" s="110" t="s">
        <v>731</v>
      </c>
      <c r="T29" s="110" t="s">
        <v>732</v>
      </c>
      <c r="U29" s="110" t="s">
        <v>737</v>
      </c>
      <c r="V29" s="110" t="s">
        <v>734</v>
      </c>
      <c r="W29" s="110" t="s">
        <v>735</v>
      </c>
      <c r="X29" s="110" t="s">
        <v>737</v>
      </c>
    </row>
    <row r="30" spans="1:24" x14ac:dyDescent="0.25">
      <c r="A30" s="165" t="s">
        <v>252</v>
      </c>
      <c r="B30" s="165" t="s">
        <v>205</v>
      </c>
      <c r="C30" s="165" t="s">
        <v>206</v>
      </c>
      <c r="D30" s="165" t="s">
        <v>207</v>
      </c>
      <c r="E30" s="165" t="s">
        <v>220</v>
      </c>
      <c r="F30" s="165"/>
      <c r="G30" s="165"/>
      <c r="H30" s="165"/>
      <c r="I30" s="165" t="s">
        <v>252</v>
      </c>
      <c r="J30" s="165" t="s">
        <v>205</v>
      </c>
      <c r="K30" s="165" t="s">
        <v>206</v>
      </c>
      <c r="L30" s="165" t="s">
        <v>207</v>
      </c>
      <c r="M30" s="165">
        <v>33.619999999999997</v>
      </c>
      <c r="N30" s="165"/>
      <c r="O30" s="165"/>
      <c r="P30" s="89" t="s">
        <v>30</v>
      </c>
      <c r="Q30" s="89">
        <v>120440000000.00002</v>
      </c>
      <c r="R30" s="165">
        <v>11.080770746840722</v>
      </c>
      <c r="S30" s="165">
        <v>12.705</v>
      </c>
      <c r="T30" s="165">
        <v>0.51618795026618003</v>
      </c>
      <c r="U30" s="165">
        <f>2*T30</f>
        <v>1.0323759005323601</v>
      </c>
      <c r="V30" s="165">
        <v>37.597500000000004</v>
      </c>
      <c r="W30" s="165">
        <v>1.0811997304581868</v>
      </c>
      <c r="X30" s="165">
        <f>2*W30</f>
        <v>2.1623994609163737</v>
      </c>
    </row>
    <row r="31" spans="1:24" x14ac:dyDescent="0.25">
      <c r="A31" s="165" t="s">
        <v>253</v>
      </c>
      <c r="B31" s="165" t="s">
        <v>205</v>
      </c>
      <c r="C31" s="165" t="s">
        <v>206</v>
      </c>
      <c r="D31" s="165" t="s">
        <v>207</v>
      </c>
      <c r="E31" s="165" t="s">
        <v>220</v>
      </c>
      <c r="F31" s="165"/>
      <c r="G31" s="165"/>
      <c r="H31" s="165"/>
      <c r="I31" s="165" t="s">
        <v>253</v>
      </c>
      <c r="J31" s="165" t="s">
        <v>205</v>
      </c>
      <c r="K31" s="165" t="s">
        <v>206</v>
      </c>
      <c r="L31" s="165" t="s">
        <v>207</v>
      </c>
      <c r="M31" s="165">
        <v>33</v>
      </c>
      <c r="N31" s="165"/>
      <c r="O31" s="165"/>
      <c r="P31" s="165" t="s">
        <v>31</v>
      </c>
      <c r="Q31" s="89">
        <v>12044000000.000002</v>
      </c>
      <c r="R31" s="165">
        <v>10.080770746840722</v>
      </c>
      <c r="S31" s="165">
        <v>11.133333333333335</v>
      </c>
      <c r="T31" s="165">
        <v>8.6690618485124045</v>
      </c>
      <c r="U31" s="165">
        <f t="shared" ref="U31:U34" si="3">2*T31</f>
        <v>17.338123697024809</v>
      </c>
      <c r="V31" s="165">
        <v>35.637272727272723</v>
      </c>
      <c r="W31" s="165">
        <v>0.84797512828019839</v>
      </c>
      <c r="X31" s="165">
        <f t="shared" ref="X31:X35" si="4">2*W31</f>
        <v>1.6959502565603968</v>
      </c>
    </row>
    <row r="32" spans="1:24" x14ac:dyDescent="0.25">
      <c r="A32" s="165" t="s">
        <v>254</v>
      </c>
      <c r="B32" s="165" t="s">
        <v>205</v>
      </c>
      <c r="C32" s="165" t="s">
        <v>206</v>
      </c>
      <c r="D32" s="165" t="s">
        <v>207</v>
      </c>
      <c r="E32" s="165" t="s">
        <v>220</v>
      </c>
      <c r="F32" s="165"/>
      <c r="G32" s="165"/>
      <c r="H32" s="165"/>
      <c r="I32" s="165" t="s">
        <v>254</v>
      </c>
      <c r="J32" s="165" t="s">
        <v>205</v>
      </c>
      <c r="K32" s="165" t="s">
        <v>206</v>
      </c>
      <c r="L32" s="165" t="s">
        <v>207</v>
      </c>
      <c r="M32" s="165">
        <v>32.97</v>
      </c>
      <c r="N32" s="165"/>
      <c r="O32" s="165"/>
      <c r="P32" s="165" t="s">
        <v>560</v>
      </c>
      <c r="Q32" s="89">
        <v>6022000000.000001</v>
      </c>
      <c r="R32" s="165">
        <v>9.7797407511767407</v>
      </c>
      <c r="S32" s="165">
        <v>15.4</v>
      </c>
      <c r="T32" s="165" t="e">
        <v>#DIV/0!</v>
      </c>
      <c r="U32" s="165" t="e">
        <f t="shared" si="3"/>
        <v>#DIV/0!</v>
      </c>
      <c r="V32" s="165">
        <v>35.421818181818175</v>
      </c>
      <c r="W32" s="165">
        <v>0.48979216371473722</v>
      </c>
      <c r="X32" s="165">
        <f t="shared" si="4"/>
        <v>0.97958432742947443</v>
      </c>
    </row>
    <row r="33" spans="1:24" x14ac:dyDescent="0.25">
      <c r="A33" s="165" t="s">
        <v>255</v>
      </c>
      <c r="B33" s="165" t="s">
        <v>205</v>
      </c>
      <c r="C33" s="165" t="s">
        <v>206</v>
      </c>
      <c r="D33" s="165" t="s">
        <v>207</v>
      </c>
      <c r="E33" s="165" t="s">
        <v>220</v>
      </c>
      <c r="F33" s="165"/>
      <c r="G33" s="165"/>
      <c r="H33" s="165"/>
      <c r="I33" s="165" t="s">
        <v>255</v>
      </c>
      <c r="J33" s="165" t="s">
        <v>205</v>
      </c>
      <c r="K33" s="165" t="s">
        <v>206</v>
      </c>
      <c r="L33" s="165" t="s">
        <v>207</v>
      </c>
      <c r="M33" s="165">
        <v>32.630000000000003</v>
      </c>
      <c r="N33" s="165"/>
      <c r="O33" s="165"/>
      <c r="P33" s="165" t="s">
        <v>562</v>
      </c>
      <c r="Q33" s="89">
        <v>3011000000.0000005</v>
      </c>
      <c r="R33" s="165">
        <v>9.4787107555127594</v>
      </c>
      <c r="S33" s="165">
        <v>10.653333333333334</v>
      </c>
      <c r="T33" s="165">
        <v>2.1169868524233495</v>
      </c>
      <c r="U33" s="165">
        <v>0</v>
      </c>
      <c r="V33" s="165">
        <v>36.444000000000003</v>
      </c>
      <c r="W33" s="165">
        <v>0.85575437805222743</v>
      </c>
      <c r="X33" s="165">
        <f t="shared" si="4"/>
        <v>1.7115087561044549</v>
      </c>
    </row>
    <row r="34" spans="1:24" x14ac:dyDescent="0.25">
      <c r="A34" s="165" t="s">
        <v>256</v>
      </c>
      <c r="B34" s="165" t="s">
        <v>205</v>
      </c>
      <c r="C34" s="165" t="s">
        <v>206</v>
      </c>
      <c r="D34" s="165" t="s">
        <v>207</v>
      </c>
      <c r="E34" s="165" t="s">
        <v>220</v>
      </c>
      <c r="F34" s="165"/>
      <c r="G34" s="165"/>
      <c r="H34" s="165"/>
      <c r="I34" s="165" t="s">
        <v>256</v>
      </c>
      <c r="J34" s="165" t="s">
        <v>205</v>
      </c>
      <c r="K34" s="165" t="s">
        <v>206</v>
      </c>
      <c r="L34" s="165" t="s">
        <v>207</v>
      </c>
      <c r="M34" s="165">
        <v>32.85</v>
      </c>
      <c r="N34" s="165"/>
      <c r="O34" s="165"/>
      <c r="P34" s="165" t="s">
        <v>32</v>
      </c>
      <c r="Q34" s="89">
        <v>1204400000.0000002</v>
      </c>
      <c r="R34" s="165">
        <v>9.0807707468407219</v>
      </c>
      <c r="S34" s="165">
        <v>12.63</v>
      </c>
      <c r="T34" s="165" t="e">
        <v>#DIV/0!</v>
      </c>
      <c r="U34" s="165" t="e">
        <f t="shared" si="3"/>
        <v>#DIV/0!</v>
      </c>
      <c r="V34" s="165">
        <v>35.851818181818182</v>
      </c>
      <c r="W34" s="165">
        <v>0.82064387138171113</v>
      </c>
      <c r="X34" s="165">
        <f t="shared" si="4"/>
        <v>1.6412877427634223</v>
      </c>
    </row>
    <row r="35" spans="1:24" x14ac:dyDescent="0.25">
      <c r="A35" s="165" t="s">
        <v>257</v>
      </c>
      <c r="B35" s="165" t="s">
        <v>205</v>
      </c>
      <c r="C35" s="165" t="s">
        <v>206</v>
      </c>
      <c r="D35" s="165" t="s">
        <v>207</v>
      </c>
      <c r="E35" s="165" t="s">
        <v>220</v>
      </c>
      <c r="F35" s="165"/>
      <c r="G35" s="165"/>
      <c r="H35" s="165"/>
      <c r="I35" s="165" t="s">
        <v>257</v>
      </c>
      <c r="J35" s="165" t="s">
        <v>205</v>
      </c>
      <c r="K35" s="165" t="s">
        <v>206</v>
      </c>
      <c r="L35" s="165" t="s">
        <v>207</v>
      </c>
      <c r="M35" s="165">
        <v>32.97</v>
      </c>
      <c r="N35" s="165"/>
      <c r="O35" s="165"/>
      <c r="P35" s="165" t="s">
        <v>33</v>
      </c>
      <c r="Q35" s="89">
        <v>602200000.00000012</v>
      </c>
      <c r="R35" s="165">
        <v>8.7797407511767407</v>
      </c>
      <c r="S35" s="165" t="e">
        <v>#DIV/0!</v>
      </c>
      <c r="T35" s="165" t="e">
        <v>#DIV/0!</v>
      </c>
      <c r="U35" s="165" t="e">
        <f>2*T35</f>
        <v>#DIV/0!</v>
      </c>
      <c r="V35" s="165">
        <v>37.262</v>
      </c>
      <c r="W35" s="165">
        <v>0.99572196029927107</v>
      </c>
      <c r="X35" s="165">
        <f t="shared" si="4"/>
        <v>1.9914439205985421</v>
      </c>
    </row>
    <row r="36" spans="1:24" x14ac:dyDescent="0.25">
      <c r="A36" s="165" t="s">
        <v>258</v>
      </c>
      <c r="B36" s="165" t="s">
        <v>205</v>
      </c>
      <c r="C36" s="165" t="s">
        <v>206</v>
      </c>
      <c r="D36" s="165" t="s">
        <v>207</v>
      </c>
      <c r="E36" s="165" t="s">
        <v>220</v>
      </c>
      <c r="F36" s="165"/>
      <c r="G36" s="165"/>
      <c r="H36" s="165"/>
      <c r="I36" s="165" t="s">
        <v>258</v>
      </c>
      <c r="J36" s="165" t="s">
        <v>205</v>
      </c>
      <c r="K36" s="165" t="s">
        <v>206</v>
      </c>
      <c r="L36" s="165" t="s">
        <v>207</v>
      </c>
      <c r="M36" s="165">
        <v>32.79</v>
      </c>
      <c r="N36" s="165"/>
      <c r="O36" s="165"/>
      <c r="P36" s="165"/>
      <c r="Q36" s="165"/>
      <c r="R36" s="165"/>
      <c r="S36" s="300" t="s">
        <v>784</v>
      </c>
      <c r="T36" s="300"/>
      <c r="U36" s="300"/>
      <c r="V36" s="300" t="s">
        <v>785</v>
      </c>
      <c r="W36" s="300"/>
      <c r="X36" s="300"/>
    </row>
    <row r="37" spans="1:24" ht="45" x14ac:dyDescent="0.25">
      <c r="A37" s="165" t="s">
        <v>259</v>
      </c>
      <c r="B37" s="165" t="s">
        <v>205</v>
      </c>
      <c r="C37" s="165" t="s">
        <v>206</v>
      </c>
      <c r="D37" s="165" t="s">
        <v>207</v>
      </c>
      <c r="E37" s="165" t="s">
        <v>220</v>
      </c>
      <c r="F37" s="165"/>
      <c r="G37" s="165"/>
      <c r="H37" s="165"/>
      <c r="I37" s="165" t="s">
        <v>259</v>
      </c>
      <c r="J37" s="165" t="s">
        <v>205</v>
      </c>
      <c r="K37" s="165" t="s">
        <v>206</v>
      </c>
      <c r="L37" s="165" t="s">
        <v>207</v>
      </c>
      <c r="M37" s="165">
        <v>32.64</v>
      </c>
      <c r="N37" s="165"/>
      <c r="O37" s="165"/>
      <c r="P37" s="90" t="s">
        <v>20</v>
      </c>
      <c r="Q37" s="90" t="s">
        <v>25</v>
      </c>
      <c r="R37" s="90" t="s">
        <v>736</v>
      </c>
      <c r="S37" s="110" t="s">
        <v>734</v>
      </c>
      <c r="T37" s="110" t="s">
        <v>735</v>
      </c>
      <c r="U37" s="110" t="s">
        <v>737</v>
      </c>
      <c r="V37" s="110" t="s">
        <v>734</v>
      </c>
      <c r="W37" s="110" t="s">
        <v>735</v>
      </c>
      <c r="X37" s="110" t="s">
        <v>737</v>
      </c>
    </row>
    <row r="38" spans="1:24" x14ac:dyDescent="0.25">
      <c r="A38" s="165" t="s">
        <v>260</v>
      </c>
      <c r="B38" s="165" t="s">
        <v>205</v>
      </c>
      <c r="C38" s="165" t="s">
        <v>206</v>
      </c>
      <c r="D38" s="165" t="s">
        <v>207</v>
      </c>
      <c r="E38" s="165" t="s">
        <v>220</v>
      </c>
      <c r="F38" s="165"/>
      <c r="G38" s="165"/>
      <c r="H38" s="165"/>
      <c r="I38" s="165" t="s">
        <v>260</v>
      </c>
      <c r="J38" s="165" t="s">
        <v>205</v>
      </c>
      <c r="K38" s="165" t="s">
        <v>206</v>
      </c>
      <c r="L38" s="165" t="s">
        <v>207</v>
      </c>
      <c r="M38" s="165">
        <v>34.11</v>
      </c>
      <c r="N38" s="165">
        <f>AVERAGE(M39:M49)</f>
        <v>34.853636363636362</v>
      </c>
      <c r="O38" s="165">
        <f>STDEV(M39:M49)</f>
        <v>0.16378478117778389</v>
      </c>
      <c r="P38" s="89" t="s">
        <v>30</v>
      </c>
      <c r="Q38" s="89">
        <v>120440000000.00002</v>
      </c>
      <c r="R38" s="165">
        <v>11.080770746840722</v>
      </c>
      <c r="S38" s="165">
        <v>28.630909090909096</v>
      </c>
      <c r="T38" s="165">
        <v>0.19159616621710113</v>
      </c>
      <c r="U38" s="165">
        <f>2*T38</f>
        <v>0.38319233243420225</v>
      </c>
      <c r="V38" s="165">
        <v>37.597500000000004</v>
      </c>
      <c r="W38" s="165">
        <v>1.0811997304581868</v>
      </c>
      <c r="X38" s="165">
        <f>2*W38</f>
        <v>2.1623994609163737</v>
      </c>
    </row>
    <row r="39" spans="1:24" x14ac:dyDescent="0.25">
      <c r="A39" s="165" t="s">
        <v>261</v>
      </c>
      <c r="B39" s="165" t="s">
        <v>205</v>
      </c>
      <c r="C39" s="165" t="s">
        <v>206</v>
      </c>
      <c r="D39" s="165" t="s">
        <v>207</v>
      </c>
      <c r="E39" s="165" t="s">
        <v>220</v>
      </c>
      <c r="F39" s="165"/>
      <c r="G39" s="165"/>
      <c r="H39" s="165"/>
      <c r="I39" s="165" t="s">
        <v>261</v>
      </c>
      <c r="J39" s="165" t="s">
        <v>205</v>
      </c>
      <c r="K39" s="165" t="s">
        <v>206</v>
      </c>
      <c r="L39" s="165" t="s">
        <v>207</v>
      </c>
      <c r="M39" s="165">
        <v>35.04</v>
      </c>
      <c r="N39" s="165"/>
      <c r="O39" s="165"/>
      <c r="P39" s="165" t="s">
        <v>31</v>
      </c>
      <c r="Q39" s="89">
        <v>12044000000.000002</v>
      </c>
      <c r="R39" s="165">
        <v>10.080770746840722</v>
      </c>
      <c r="S39" s="165">
        <v>28.786363636363635</v>
      </c>
      <c r="T39" s="165">
        <v>0.36805631980099868</v>
      </c>
      <c r="U39" s="165">
        <f t="shared" ref="U39:U43" si="5">2*T39</f>
        <v>0.73611263960199735</v>
      </c>
      <c r="V39" s="165">
        <v>35.637272727272723</v>
      </c>
      <c r="W39" s="165">
        <v>0.84797512828019839</v>
      </c>
      <c r="X39" s="165">
        <f t="shared" ref="X39:X43" si="6">2*W39</f>
        <v>1.6959502565603968</v>
      </c>
    </row>
    <row r="40" spans="1:24" x14ac:dyDescent="0.25">
      <c r="A40" s="165" t="s">
        <v>262</v>
      </c>
      <c r="B40" s="165" t="s">
        <v>205</v>
      </c>
      <c r="C40" s="165" t="s">
        <v>206</v>
      </c>
      <c r="D40" s="165" t="s">
        <v>207</v>
      </c>
      <c r="E40" s="165" t="s">
        <v>220</v>
      </c>
      <c r="F40" s="165"/>
      <c r="G40" s="165"/>
      <c r="H40" s="165"/>
      <c r="I40" s="165" t="s">
        <v>262</v>
      </c>
      <c r="J40" s="165" t="s">
        <v>205</v>
      </c>
      <c r="K40" s="165" t="s">
        <v>206</v>
      </c>
      <c r="L40" s="165" t="s">
        <v>207</v>
      </c>
      <c r="M40" s="165">
        <v>34.64</v>
      </c>
      <c r="N40" s="165"/>
      <c r="O40" s="165"/>
      <c r="P40" s="165" t="s">
        <v>560</v>
      </c>
      <c r="Q40" s="89">
        <v>6022000000.000001</v>
      </c>
      <c r="R40" s="165">
        <v>9.7797407511767407</v>
      </c>
      <c r="S40" s="165">
        <v>28.632727272727276</v>
      </c>
      <c r="T40" s="165">
        <v>0.15447271015237043</v>
      </c>
      <c r="U40" s="165">
        <f t="shared" si="5"/>
        <v>0.30894542030474087</v>
      </c>
      <c r="V40" s="165">
        <v>35.421818181818175</v>
      </c>
      <c r="W40" s="165">
        <v>0.48979216371473722</v>
      </c>
      <c r="X40" s="165">
        <f t="shared" si="6"/>
        <v>0.97958432742947443</v>
      </c>
    </row>
    <row r="41" spans="1:24" x14ac:dyDescent="0.25">
      <c r="A41" s="165" t="s">
        <v>263</v>
      </c>
      <c r="B41" s="165" t="s">
        <v>205</v>
      </c>
      <c r="C41" s="165" t="s">
        <v>206</v>
      </c>
      <c r="D41" s="165" t="s">
        <v>207</v>
      </c>
      <c r="E41" s="165" t="s">
        <v>220</v>
      </c>
      <c r="F41" s="165"/>
      <c r="G41" s="165"/>
      <c r="H41" s="165"/>
      <c r="I41" s="165" t="s">
        <v>263</v>
      </c>
      <c r="J41" s="165" t="s">
        <v>205</v>
      </c>
      <c r="K41" s="165" t="s">
        <v>206</v>
      </c>
      <c r="L41" s="165" t="s">
        <v>207</v>
      </c>
      <c r="M41" s="165">
        <v>35.06</v>
      </c>
      <c r="N41" s="165"/>
      <c r="O41" s="165"/>
      <c r="P41" s="165" t="s">
        <v>562</v>
      </c>
      <c r="Q41" s="89">
        <v>3011000000.0000005</v>
      </c>
      <c r="R41" s="165">
        <v>9.4787107555127594</v>
      </c>
      <c r="S41" s="165">
        <v>28.566363636363633</v>
      </c>
      <c r="T41" s="165">
        <v>0.21855309319580579</v>
      </c>
      <c r="U41" s="165">
        <f t="shared" si="5"/>
        <v>0.43710618639161158</v>
      </c>
      <c r="V41" s="165">
        <v>36.444000000000003</v>
      </c>
      <c r="W41" s="165">
        <v>0.85575437805222743</v>
      </c>
      <c r="X41" s="165">
        <f t="shared" si="6"/>
        <v>1.7115087561044549</v>
      </c>
    </row>
    <row r="42" spans="1:24" x14ac:dyDescent="0.25">
      <c r="A42" s="165" t="s">
        <v>264</v>
      </c>
      <c r="B42" s="165" t="s">
        <v>205</v>
      </c>
      <c r="C42" s="165" t="s">
        <v>206</v>
      </c>
      <c r="D42" s="165" t="s">
        <v>207</v>
      </c>
      <c r="E42" s="165" t="s">
        <v>220</v>
      </c>
      <c r="F42" s="165"/>
      <c r="G42" s="165"/>
      <c r="H42" s="165"/>
      <c r="I42" s="165" t="s">
        <v>264</v>
      </c>
      <c r="J42" s="165" t="s">
        <v>205</v>
      </c>
      <c r="K42" s="165" t="s">
        <v>206</v>
      </c>
      <c r="L42" s="165" t="s">
        <v>207</v>
      </c>
      <c r="M42" s="165">
        <v>34.78</v>
      </c>
      <c r="N42" s="165"/>
      <c r="O42" s="165"/>
      <c r="P42" s="165" t="s">
        <v>32</v>
      </c>
      <c r="Q42" s="89">
        <v>1204400000.0000002</v>
      </c>
      <c r="R42" s="165">
        <v>9.0807707468407219</v>
      </c>
      <c r="S42" s="165">
        <v>28.446363636363639</v>
      </c>
      <c r="T42" s="165">
        <v>0.13654835973183507</v>
      </c>
      <c r="U42" s="165">
        <f t="shared" si="5"/>
        <v>0.27309671946367015</v>
      </c>
      <c r="V42" s="165">
        <v>35.851818181818182</v>
      </c>
      <c r="W42" s="165">
        <v>0.82064387138171113</v>
      </c>
      <c r="X42" s="165">
        <f t="shared" si="6"/>
        <v>1.6412877427634223</v>
      </c>
    </row>
    <row r="43" spans="1:24" x14ac:dyDescent="0.25">
      <c r="A43" s="165" t="s">
        <v>265</v>
      </c>
      <c r="B43" s="165" t="s">
        <v>205</v>
      </c>
      <c r="C43" s="165" t="s">
        <v>206</v>
      </c>
      <c r="D43" s="165" t="s">
        <v>207</v>
      </c>
      <c r="E43" s="165" t="s">
        <v>220</v>
      </c>
      <c r="F43" s="165"/>
      <c r="G43" s="165"/>
      <c r="H43" s="165"/>
      <c r="I43" s="165" t="s">
        <v>265</v>
      </c>
      <c r="J43" s="165" t="s">
        <v>205</v>
      </c>
      <c r="K43" s="165" t="s">
        <v>206</v>
      </c>
      <c r="L43" s="165" t="s">
        <v>207</v>
      </c>
      <c r="M43" s="165">
        <v>35</v>
      </c>
      <c r="N43" s="165"/>
      <c r="O43" s="165"/>
      <c r="P43" s="165" t="s">
        <v>33</v>
      </c>
      <c r="Q43" s="89">
        <v>602200000.00000012</v>
      </c>
      <c r="R43" s="165">
        <v>8.7797407511767407</v>
      </c>
      <c r="S43" s="165">
        <v>28.345454545454547</v>
      </c>
      <c r="T43" s="165">
        <v>0.151747397761124</v>
      </c>
      <c r="U43" s="165">
        <f t="shared" si="5"/>
        <v>0.30349479552224801</v>
      </c>
      <c r="V43" s="165">
        <v>37.262</v>
      </c>
      <c r="W43" s="165">
        <v>0.99572196029927107</v>
      </c>
      <c r="X43" s="165">
        <f t="shared" si="6"/>
        <v>1.9914439205985421</v>
      </c>
    </row>
    <row r="44" spans="1:24" x14ac:dyDescent="0.25">
      <c r="A44" s="165" t="s">
        <v>266</v>
      </c>
      <c r="B44" s="165" t="s">
        <v>205</v>
      </c>
      <c r="C44" s="165" t="s">
        <v>206</v>
      </c>
      <c r="D44" s="165" t="s">
        <v>207</v>
      </c>
      <c r="E44" s="165" t="s">
        <v>220</v>
      </c>
      <c r="F44" s="165"/>
      <c r="G44" s="165"/>
      <c r="H44" s="165"/>
      <c r="I44" s="165" t="s">
        <v>266</v>
      </c>
      <c r="J44" s="165" t="s">
        <v>205</v>
      </c>
      <c r="K44" s="165" t="s">
        <v>206</v>
      </c>
      <c r="L44" s="165" t="s">
        <v>207</v>
      </c>
      <c r="M44" s="165">
        <v>34.78</v>
      </c>
      <c r="N44" s="165"/>
      <c r="O44" s="165"/>
      <c r="P44" s="165"/>
      <c r="Q44" s="165"/>
      <c r="R44" s="165"/>
      <c r="S44" s="165"/>
      <c r="T44" s="165"/>
      <c r="U44" s="165"/>
      <c r="V44" s="165"/>
      <c r="W44" s="165"/>
      <c r="X44" s="165"/>
    </row>
    <row r="45" spans="1:24" x14ac:dyDescent="0.25">
      <c r="A45" s="165" t="s">
        <v>267</v>
      </c>
      <c r="B45" s="165" t="s">
        <v>205</v>
      </c>
      <c r="C45" s="165" t="s">
        <v>206</v>
      </c>
      <c r="D45" s="165" t="s">
        <v>207</v>
      </c>
      <c r="E45" s="165" t="s">
        <v>220</v>
      </c>
      <c r="F45" s="165"/>
      <c r="G45" s="165"/>
      <c r="H45" s="165"/>
      <c r="I45" s="165" t="s">
        <v>267</v>
      </c>
      <c r="J45" s="165" t="s">
        <v>205</v>
      </c>
      <c r="K45" s="165" t="s">
        <v>206</v>
      </c>
      <c r="L45" s="165" t="s">
        <v>207</v>
      </c>
      <c r="M45" s="165">
        <v>34.99</v>
      </c>
      <c r="N45" s="165"/>
      <c r="O45" s="165"/>
      <c r="P45" s="165"/>
      <c r="Q45" s="165"/>
      <c r="R45" s="165"/>
      <c r="S45" s="165"/>
      <c r="T45" s="165"/>
      <c r="U45" s="165"/>
      <c r="V45" s="165"/>
      <c r="W45" s="165"/>
      <c r="X45" s="165"/>
    </row>
    <row r="46" spans="1:24" x14ac:dyDescent="0.25">
      <c r="A46" s="165" t="s">
        <v>268</v>
      </c>
      <c r="B46" s="165" t="s">
        <v>205</v>
      </c>
      <c r="C46" s="165" t="s">
        <v>206</v>
      </c>
      <c r="D46" s="165" t="s">
        <v>207</v>
      </c>
      <c r="E46" s="165" t="s">
        <v>220</v>
      </c>
      <c r="F46" s="165"/>
      <c r="G46" s="165"/>
      <c r="H46" s="165"/>
      <c r="I46" s="165" t="s">
        <v>268</v>
      </c>
      <c r="J46" s="165" t="s">
        <v>205</v>
      </c>
      <c r="K46" s="165" t="s">
        <v>206</v>
      </c>
      <c r="L46" s="165" t="s">
        <v>207</v>
      </c>
      <c r="M46" s="165">
        <v>34.71</v>
      </c>
      <c r="N46" s="165"/>
      <c r="O46" s="165"/>
      <c r="P46" s="165"/>
      <c r="Q46" s="165"/>
      <c r="R46" s="165"/>
      <c r="S46" s="165"/>
      <c r="T46" s="165"/>
      <c r="U46" s="165"/>
      <c r="V46" s="165"/>
      <c r="W46" s="165"/>
      <c r="X46" s="165"/>
    </row>
    <row r="47" spans="1:24" x14ac:dyDescent="0.25">
      <c r="A47" s="165" t="s">
        <v>270</v>
      </c>
      <c r="B47" s="165" t="s">
        <v>205</v>
      </c>
      <c r="C47" s="165" t="s">
        <v>206</v>
      </c>
      <c r="D47" s="165" t="s">
        <v>207</v>
      </c>
      <c r="E47" s="165" t="s">
        <v>220</v>
      </c>
      <c r="F47" s="165"/>
      <c r="G47" s="165"/>
      <c r="H47" s="165"/>
      <c r="I47" s="165" t="s">
        <v>270</v>
      </c>
      <c r="J47" s="165" t="s">
        <v>205</v>
      </c>
      <c r="K47" s="165" t="s">
        <v>206</v>
      </c>
      <c r="L47" s="165" t="s">
        <v>207</v>
      </c>
      <c r="M47" s="165">
        <v>34.6</v>
      </c>
      <c r="N47" s="165"/>
      <c r="O47" s="165"/>
      <c r="P47" s="165"/>
      <c r="Q47" s="165"/>
      <c r="R47" s="165"/>
      <c r="S47" s="165"/>
      <c r="T47" s="165"/>
      <c r="U47" s="165"/>
      <c r="V47" s="165"/>
      <c r="W47" s="165"/>
      <c r="X47" s="165"/>
    </row>
    <row r="48" spans="1:24" x14ac:dyDescent="0.25">
      <c r="A48" s="165" t="s">
        <v>272</v>
      </c>
      <c r="B48" s="165" t="s">
        <v>205</v>
      </c>
      <c r="C48" s="165" t="s">
        <v>206</v>
      </c>
      <c r="D48" s="165" t="s">
        <v>207</v>
      </c>
      <c r="E48" s="165" t="s">
        <v>220</v>
      </c>
      <c r="F48" s="165"/>
      <c r="G48" s="165"/>
      <c r="H48" s="165"/>
      <c r="I48" s="165" t="s">
        <v>272</v>
      </c>
      <c r="J48" s="165" t="s">
        <v>205</v>
      </c>
      <c r="K48" s="165" t="s">
        <v>206</v>
      </c>
      <c r="L48" s="165" t="s">
        <v>207</v>
      </c>
      <c r="M48" s="165">
        <v>34.950000000000003</v>
      </c>
      <c r="N48" s="165"/>
      <c r="O48" s="165"/>
      <c r="P48" s="165"/>
      <c r="Q48" s="165"/>
      <c r="R48" s="165"/>
      <c r="S48" s="165"/>
      <c r="T48" s="165"/>
      <c r="U48" s="165"/>
      <c r="V48" s="165"/>
      <c r="W48" s="165"/>
      <c r="X48" s="165"/>
    </row>
    <row r="49" spans="1:15" x14ac:dyDescent="0.25">
      <c r="A49" s="165" t="s">
        <v>273</v>
      </c>
      <c r="B49" s="165" t="s">
        <v>205</v>
      </c>
      <c r="C49" s="165" t="s">
        <v>206</v>
      </c>
      <c r="D49" s="165" t="s">
        <v>207</v>
      </c>
      <c r="E49" s="165" t="s">
        <v>220</v>
      </c>
      <c r="F49" s="165"/>
      <c r="G49" s="165"/>
      <c r="H49" s="165"/>
      <c r="I49" s="165" t="s">
        <v>273</v>
      </c>
      <c r="J49" s="165" t="s">
        <v>205</v>
      </c>
      <c r="K49" s="165" t="s">
        <v>206</v>
      </c>
      <c r="L49" s="165" t="s">
        <v>207</v>
      </c>
      <c r="M49" s="165">
        <v>34.840000000000003</v>
      </c>
      <c r="N49" s="165"/>
      <c r="O49" s="165"/>
    </row>
    <row r="50" spans="1:15" x14ac:dyDescent="0.25">
      <c r="A50" s="165" t="s">
        <v>274</v>
      </c>
      <c r="B50" s="165" t="s">
        <v>205</v>
      </c>
      <c r="C50" s="165" t="s">
        <v>206</v>
      </c>
      <c r="D50" s="165" t="s">
        <v>207</v>
      </c>
      <c r="E50" s="165" t="s">
        <v>220</v>
      </c>
      <c r="F50" s="165"/>
      <c r="G50" s="165"/>
      <c r="H50" s="165"/>
      <c r="I50" s="165" t="s">
        <v>274</v>
      </c>
      <c r="J50" s="165" t="s">
        <v>205</v>
      </c>
      <c r="K50" s="165" t="s">
        <v>206</v>
      </c>
      <c r="L50" s="165" t="s">
        <v>207</v>
      </c>
      <c r="M50" s="165">
        <v>36.03</v>
      </c>
      <c r="N50" s="165">
        <f>AVERAGE(M51:M61)</f>
        <v>37.284545454545452</v>
      </c>
      <c r="O50" s="165">
        <f>STDEV(M51:M61)</f>
        <v>0.87984502767662065</v>
      </c>
    </row>
    <row r="51" spans="1:15" x14ac:dyDescent="0.25">
      <c r="A51" s="165" t="s">
        <v>275</v>
      </c>
      <c r="B51" s="165" t="s">
        <v>205</v>
      </c>
      <c r="C51" s="165" t="s">
        <v>206</v>
      </c>
      <c r="D51" s="165" t="s">
        <v>207</v>
      </c>
      <c r="E51" s="165" t="s">
        <v>220</v>
      </c>
      <c r="F51" s="165"/>
      <c r="G51" s="165"/>
      <c r="H51" s="165"/>
      <c r="I51" s="165" t="s">
        <v>275</v>
      </c>
      <c r="J51" s="165" t="s">
        <v>205</v>
      </c>
      <c r="K51" s="165" t="s">
        <v>206</v>
      </c>
      <c r="L51" s="165" t="s">
        <v>207</v>
      </c>
      <c r="M51" s="165">
        <v>36.979999999999997</v>
      </c>
      <c r="N51" s="165"/>
      <c r="O51" s="165"/>
    </row>
    <row r="52" spans="1:15" x14ac:dyDescent="0.25">
      <c r="A52" s="165" t="s">
        <v>276</v>
      </c>
      <c r="B52" s="165" t="s">
        <v>205</v>
      </c>
      <c r="C52" s="165" t="s">
        <v>206</v>
      </c>
      <c r="D52" s="165" t="s">
        <v>207</v>
      </c>
      <c r="E52" s="165" t="s">
        <v>220</v>
      </c>
      <c r="F52" s="165"/>
      <c r="G52" s="165"/>
      <c r="H52" s="165"/>
      <c r="I52" s="165" t="s">
        <v>276</v>
      </c>
      <c r="J52" s="165" t="s">
        <v>205</v>
      </c>
      <c r="K52" s="165" t="s">
        <v>206</v>
      </c>
      <c r="L52" s="165" t="s">
        <v>207</v>
      </c>
      <c r="M52" s="165">
        <v>37.71</v>
      </c>
      <c r="N52" s="165"/>
      <c r="O52" s="165"/>
    </row>
    <row r="53" spans="1:15" x14ac:dyDescent="0.25">
      <c r="A53" s="165" t="s">
        <v>277</v>
      </c>
      <c r="B53" s="165" t="s">
        <v>205</v>
      </c>
      <c r="C53" s="165" t="s">
        <v>206</v>
      </c>
      <c r="D53" s="165" t="s">
        <v>207</v>
      </c>
      <c r="E53" s="165" t="s">
        <v>220</v>
      </c>
      <c r="F53" s="165"/>
      <c r="G53" s="165"/>
      <c r="H53" s="165"/>
      <c r="I53" s="165" t="s">
        <v>277</v>
      </c>
      <c r="J53" s="165" t="s">
        <v>205</v>
      </c>
      <c r="K53" s="165" t="s">
        <v>206</v>
      </c>
      <c r="L53" s="165" t="s">
        <v>207</v>
      </c>
      <c r="M53" s="165">
        <v>39.25</v>
      </c>
      <c r="N53" s="165"/>
      <c r="O53" s="165"/>
    </row>
    <row r="54" spans="1:15" x14ac:dyDescent="0.25">
      <c r="A54" s="165" t="s">
        <v>278</v>
      </c>
      <c r="B54" s="165" t="s">
        <v>205</v>
      </c>
      <c r="C54" s="165" t="s">
        <v>206</v>
      </c>
      <c r="D54" s="165" t="s">
        <v>207</v>
      </c>
      <c r="E54" s="165" t="s">
        <v>220</v>
      </c>
      <c r="F54" s="165"/>
      <c r="G54" s="165"/>
      <c r="H54" s="165"/>
      <c r="I54" s="165" t="s">
        <v>278</v>
      </c>
      <c r="J54" s="165" t="s">
        <v>205</v>
      </c>
      <c r="K54" s="165" t="s">
        <v>206</v>
      </c>
      <c r="L54" s="165" t="s">
        <v>207</v>
      </c>
      <c r="M54" s="165">
        <v>37.049999999999997</v>
      </c>
      <c r="N54" s="165"/>
      <c r="O54" s="165"/>
    </row>
    <row r="55" spans="1:15" x14ac:dyDescent="0.25">
      <c r="A55" s="165" t="s">
        <v>279</v>
      </c>
      <c r="B55" s="165" t="s">
        <v>205</v>
      </c>
      <c r="C55" s="165" t="s">
        <v>206</v>
      </c>
      <c r="D55" s="165" t="s">
        <v>207</v>
      </c>
      <c r="E55" s="165" t="s">
        <v>220</v>
      </c>
      <c r="F55" s="165"/>
      <c r="G55" s="165"/>
      <c r="H55" s="165"/>
      <c r="I55" s="165" t="s">
        <v>279</v>
      </c>
      <c r="J55" s="165" t="s">
        <v>205</v>
      </c>
      <c r="K55" s="165" t="s">
        <v>206</v>
      </c>
      <c r="L55" s="165" t="s">
        <v>207</v>
      </c>
      <c r="M55" s="165">
        <v>36.53</v>
      </c>
      <c r="N55" s="165"/>
      <c r="O55" s="165"/>
    </row>
    <row r="56" spans="1:15" x14ac:dyDescent="0.25">
      <c r="A56" s="165" t="s">
        <v>280</v>
      </c>
      <c r="B56" s="165" t="s">
        <v>205</v>
      </c>
      <c r="C56" s="165" t="s">
        <v>206</v>
      </c>
      <c r="D56" s="165" t="s">
        <v>207</v>
      </c>
      <c r="E56" s="165" t="s">
        <v>220</v>
      </c>
      <c r="F56" s="165"/>
      <c r="G56" s="165"/>
      <c r="H56" s="165"/>
      <c r="I56" s="165" t="s">
        <v>280</v>
      </c>
      <c r="J56" s="165" t="s">
        <v>205</v>
      </c>
      <c r="K56" s="165" t="s">
        <v>206</v>
      </c>
      <c r="L56" s="165" t="s">
        <v>207</v>
      </c>
      <c r="M56" s="165">
        <v>36.93</v>
      </c>
      <c r="N56" s="165"/>
      <c r="O56" s="165"/>
    </row>
    <row r="57" spans="1:15" x14ac:dyDescent="0.25">
      <c r="A57" s="165" t="s">
        <v>281</v>
      </c>
      <c r="B57" s="165" t="s">
        <v>205</v>
      </c>
      <c r="C57" s="165" t="s">
        <v>206</v>
      </c>
      <c r="D57" s="165" t="s">
        <v>207</v>
      </c>
      <c r="E57" s="165" t="s">
        <v>220</v>
      </c>
      <c r="F57" s="165"/>
      <c r="G57" s="165"/>
      <c r="H57" s="165"/>
      <c r="I57" s="165" t="s">
        <v>281</v>
      </c>
      <c r="J57" s="165" t="s">
        <v>205</v>
      </c>
      <c r="K57" s="165" t="s">
        <v>206</v>
      </c>
      <c r="L57" s="165" t="s">
        <v>207</v>
      </c>
      <c r="M57" s="165">
        <v>36.89</v>
      </c>
      <c r="N57" s="165"/>
      <c r="O57" s="165"/>
    </row>
    <row r="58" spans="1:15" x14ac:dyDescent="0.25">
      <c r="A58" s="165" t="s">
        <v>282</v>
      </c>
      <c r="B58" s="165" t="s">
        <v>205</v>
      </c>
      <c r="C58" s="165" t="s">
        <v>206</v>
      </c>
      <c r="D58" s="165" t="s">
        <v>207</v>
      </c>
      <c r="E58" s="165" t="s">
        <v>220</v>
      </c>
      <c r="F58" s="165"/>
      <c r="G58" s="165"/>
      <c r="H58" s="165"/>
      <c r="I58" s="165" t="s">
        <v>282</v>
      </c>
      <c r="J58" s="165" t="s">
        <v>205</v>
      </c>
      <c r="K58" s="165" t="s">
        <v>206</v>
      </c>
      <c r="L58" s="165" t="s">
        <v>207</v>
      </c>
      <c r="M58" s="165">
        <v>36.9</v>
      </c>
      <c r="N58" s="165"/>
      <c r="O58" s="165"/>
    </row>
    <row r="59" spans="1:15" x14ac:dyDescent="0.25">
      <c r="A59" s="165" t="s">
        <v>283</v>
      </c>
      <c r="B59" s="165" t="s">
        <v>205</v>
      </c>
      <c r="C59" s="165" t="s">
        <v>206</v>
      </c>
      <c r="D59" s="165" t="s">
        <v>207</v>
      </c>
      <c r="E59" s="165" t="s">
        <v>220</v>
      </c>
      <c r="F59" s="165"/>
      <c r="G59" s="165"/>
      <c r="H59" s="165"/>
      <c r="I59" s="165" t="s">
        <v>283</v>
      </c>
      <c r="J59" s="165" t="s">
        <v>205</v>
      </c>
      <c r="K59" s="165" t="s">
        <v>206</v>
      </c>
      <c r="L59" s="165" t="s">
        <v>207</v>
      </c>
      <c r="M59" s="165">
        <v>37.130000000000003</v>
      </c>
      <c r="N59" s="165"/>
      <c r="O59" s="165"/>
    </row>
    <row r="60" spans="1:15" x14ac:dyDescent="0.25">
      <c r="A60" s="165" t="s">
        <v>284</v>
      </c>
      <c r="B60" s="165" t="s">
        <v>205</v>
      </c>
      <c r="C60" s="165" t="s">
        <v>206</v>
      </c>
      <c r="D60" s="165" t="s">
        <v>207</v>
      </c>
      <c r="E60" s="165" t="s">
        <v>220</v>
      </c>
      <c r="F60" s="165"/>
      <c r="G60" s="165"/>
      <c r="H60" s="165"/>
      <c r="I60" s="165" t="s">
        <v>284</v>
      </c>
      <c r="J60" s="165" t="s">
        <v>205</v>
      </c>
      <c r="K60" s="165" t="s">
        <v>206</v>
      </c>
      <c r="L60" s="165" t="s">
        <v>207</v>
      </c>
      <c r="M60" s="165">
        <v>36.26</v>
      </c>
      <c r="N60" s="165"/>
      <c r="O60" s="165"/>
    </row>
    <row r="61" spans="1:15" x14ac:dyDescent="0.25">
      <c r="A61" s="165" t="s">
        <v>285</v>
      </c>
      <c r="B61" s="165" t="s">
        <v>205</v>
      </c>
      <c r="C61" s="165" t="s">
        <v>206</v>
      </c>
      <c r="D61" s="165" t="s">
        <v>207</v>
      </c>
      <c r="E61" s="165" t="s">
        <v>220</v>
      </c>
      <c r="F61" s="165"/>
      <c r="G61" s="165"/>
      <c r="H61" s="165"/>
      <c r="I61" s="165" t="s">
        <v>285</v>
      </c>
      <c r="J61" s="165" t="s">
        <v>205</v>
      </c>
      <c r="K61" s="165" t="s">
        <v>206</v>
      </c>
      <c r="L61" s="165" t="s">
        <v>207</v>
      </c>
      <c r="M61" s="165">
        <v>38.5</v>
      </c>
      <c r="N61" s="165"/>
      <c r="O61" s="165"/>
    </row>
    <row r="62" spans="1:15" x14ac:dyDescent="0.25">
      <c r="A62" s="165" t="s">
        <v>286</v>
      </c>
      <c r="B62" s="165" t="s">
        <v>205</v>
      </c>
      <c r="C62" s="165" t="s">
        <v>206</v>
      </c>
      <c r="D62" s="165" t="s">
        <v>207</v>
      </c>
      <c r="E62" s="165" t="s">
        <v>220</v>
      </c>
      <c r="F62" s="165"/>
      <c r="G62" s="165"/>
      <c r="H62" s="165"/>
      <c r="I62" s="165" t="s">
        <v>286</v>
      </c>
      <c r="J62" s="165" t="s">
        <v>205</v>
      </c>
      <c r="K62" s="165" t="s">
        <v>206</v>
      </c>
      <c r="L62" s="165" t="s">
        <v>207</v>
      </c>
      <c r="M62" s="165" t="s">
        <v>220</v>
      </c>
      <c r="N62" s="165"/>
      <c r="O62" s="165"/>
    </row>
    <row r="63" spans="1:15" x14ac:dyDescent="0.25">
      <c r="A63" s="165" t="s">
        <v>287</v>
      </c>
      <c r="B63" s="165" t="s">
        <v>205</v>
      </c>
      <c r="C63" s="165" t="s">
        <v>206</v>
      </c>
      <c r="D63" s="165" t="s">
        <v>207</v>
      </c>
      <c r="E63" s="165" t="s">
        <v>220</v>
      </c>
      <c r="F63" s="165"/>
      <c r="G63" s="165"/>
      <c r="H63" s="165"/>
      <c r="I63" s="165" t="s">
        <v>287</v>
      </c>
      <c r="J63" s="165" t="s">
        <v>205</v>
      </c>
      <c r="K63" s="165" t="s">
        <v>206</v>
      </c>
      <c r="L63" s="165" t="s">
        <v>207</v>
      </c>
      <c r="M63" s="165" t="s">
        <v>220</v>
      </c>
      <c r="N63" s="165"/>
      <c r="O63" s="165"/>
    </row>
    <row r="64" spans="1:15" x14ac:dyDescent="0.25">
      <c r="A64" s="165" t="s">
        <v>288</v>
      </c>
      <c r="B64" s="165" t="s">
        <v>205</v>
      </c>
      <c r="C64" s="165" t="s">
        <v>206</v>
      </c>
      <c r="D64" s="165" t="s">
        <v>207</v>
      </c>
      <c r="E64" s="165" t="s">
        <v>220</v>
      </c>
      <c r="F64" s="165"/>
      <c r="G64" s="165"/>
      <c r="H64" s="165"/>
      <c r="I64" s="165" t="s">
        <v>288</v>
      </c>
      <c r="J64" s="165" t="s">
        <v>205</v>
      </c>
      <c r="K64" s="165" t="s">
        <v>206</v>
      </c>
      <c r="L64" s="165" t="s">
        <v>207</v>
      </c>
      <c r="M64" s="165" t="s">
        <v>220</v>
      </c>
      <c r="N64" s="165"/>
      <c r="O64" s="165"/>
    </row>
    <row r="65" spans="1:23" x14ac:dyDescent="0.25">
      <c r="A65" s="165" t="s">
        <v>289</v>
      </c>
      <c r="B65" s="165" t="s">
        <v>205</v>
      </c>
      <c r="C65" s="165" t="s">
        <v>206</v>
      </c>
      <c r="D65" s="165" t="s">
        <v>207</v>
      </c>
      <c r="E65" s="165" t="s">
        <v>220</v>
      </c>
      <c r="F65" s="165"/>
      <c r="G65" s="165"/>
      <c r="H65" s="165"/>
      <c r="I65" s="165" t="s">
        <v>289</v>
      </c>
      <c r="J65" s="165" t="s">
        <v>205</v>
      </c>
      <c r="K65" s="165" t="s">
        <v>206</v>
      </c>
      <c r="L65" s="165" t="s">
        <v>207</v>
      </c>
      <c r="M65" s="165" t="s">
        <v>220</v>
      </c>
      <c r="N65" s="165"/>
      <c r="O65" s="165"/>
      <c r="P65" s="165"/>
      <c r="Q65" s="165"/>
      <c r="R65" s="165"/>
      <c r="S65" s="165"/>
      <c r="T65" s="165"/>
      <c r="U65" s="165"/>
      <c r="V65" s="165"/>
      <c r="W65" s="165"/>
    </row>
    <row r="66" spans="1:23" x14ac:dyDescent="0.25">
      <c r="A66" s="165" t="s">
        <v>290</v>
      </c>
      <c r="B66" s="165" t="s">
        <v>205</v>
      </c>
      <c r="C66" s="165" t="s">
        <v>206</v>
      </c>
      <c r="D66" s="165" t="s">
        <v>207</v>
      </c>
      <c r="E66" s="165" t="s">
        <v>220</v>
      </c>
      <c r="F66" s="165"/>
      <c r="G66" s="165"/>
      <c r="H66" s="165"/>
      <c r="I66" s="165" t="s">
        <v>290</v>
      </c>
      <c r="J66" s="165" t="s">
        <v>205</v>
      </c>
      <c r="K66" s="165" t="s">
        <v>206</v>
      </c>
      <c r="L66" s="165" t="s">
        <v>207</v>
      </c>
      <c r="M66" s="165" t="s">
        <v>220</v>
      </c>
      <c r="N66" s="165"/>
      <c r="O66" s="165"/>
      <c r="P66" s="165"/>
      <c r="Q66" s="165"/>
      <c r="R66" s="165"/>
      <c r="S66" s="165"/>
      <c r="T66" s="165"/>
      <c r="U66" s="165"/>
      <c r="V66" s="165"/>
      <c r="W66" s="165"/>
    </row>
    <row r="67" spans="1:23" x14ac:dyDescent="0.25">
      <c r="A67" s="165" t="s">
        <v>291</v>
      </c>
      <c r="B67" s="165" t="s">
        <v>205</v>
      </c>
      <c r="C67" s="165" t="s">
        <v>206</v>
      </c>
      <c r="D67" s="165" t="s">
        <v>207</v>
      </c>
      <c r="E67" s="165" t="s">
        <v>220</v>
      </c>
      <c r="F67" s="165"/>
      <c r="G67" s="165"/>
      <c r="H67" s="165"/>
      <c r="I67" s="165" t="s">
        <v>291</v>
      </c>
      <c r="J67" s="165" t="s">
        <v>205</v>
      </c>
      <c r="K67" s="165" t="s">
        <v>206</v>
      </c>
      <c r="L67" s="165" t="s">
        <v>207</v>
      </c>
      <c r="M67" s="165" t="s">
        <v>220</v>
      </c>
      <c r="N67" s="165"/>
      <c r="O67" s="165"/>
      <c r="P67" s="165"/>
      <c r="Q67" s="165"/>
      <c r="R67" s="165"/>
      <c r="S67" s="165"/>
      <c r="T67" s="165"/>
      <c r="U67" s="165"/>
      <c r="V67" s="165"/>
      <c r="W67" s="165"/>
    </row>
    <row r="68" spans="1:23" ht="30" x14ac:dyDescent="0.25">
      <c r="A68" s="165" t="s">
        <v>292</v>
      </c>
      <c r="B68" s="165" t="s">
        <v>205</v>
      </c>
      <c r="C68" s="165" t="s">
        <v>206</v>
      </c>
      <c r="D68" s="165" t="s">
        <v>207</v>
      </c>
      <c r="E68" s="165" t="s">
        <v>220</v>
      </c>
      <c r="F68" s="165"/>
      <c r="G68" s="165"/>
      <c r="H68" s="165"/>
      <c r="I68" s="165" t="s">
        <v>292</v>
      </c>
      <c r="J68" s="165" t="s">
        <v>205</v>
      </c>
      <c r="K68" s="165" t="s">
        <v>206</v>
      </c>
      <c r="L68" s="165" t="s">
        <v>207</v>
      </c>
      <c r="M68" s="165" t="s">
        <v>220</v>
      </c>
      <c r="N68" s="165"/>
      <c r="O68" s="165"/>
      <c r="P68" s="165"/>
      <c r="Q68" s="90" t="s">
        <v>20</v>
      </c>
      <c r="R68" s="89" t="s">
        <v>30</v>
      </c>
      <c r="S68" s="165" t="s">
        <v>31</v>
      </c>
      <c r="T68" s="165" t="s">
        <v>560</v>
      </c>
      <c r="U68" s="165" t="s">
        <v>562</v>
      </c>
      <c r="V68" s="165" t="s">
        <v>32</v>
      </c>
      <c r="W68" s="165" t="s">
        <v>33</v>
      </c>
    </row>
    <row r="69" spans="1:23" ht="45" x14ac:dyDescent="0.25">
      <c r="A69" s="165" t="s">
        <v>293</v>
      </c>
      <c r="B69" s="165" t="s">
        <v>205</v>
      </c>
      <c r="C69" s="165" t="s">
        <v>206</v>
      </c>
      <c r="D69" s="165" t="s">
        <v>207</v>
      </c>
      <c r="E69" s="165" t="s">
        <v>220</v>
      </c>
      <c r="F69" s="165"/>
      <c r="G69" s="165"/>
      <c r="H69" s="165"/>
      <c r="I69" s="165" t="s">
        <v>293</v>
      </c>
      <c r="J69" s="165" t="s">
        <v>205</v>
      </c>
      <c r="K69" s="165" t="s">
        <v>206</v>
      </c>
      <c r="L69" s="165" t="s">
        <v>207</v>
      </c>
      <c r="M69" s="165" t="s">
        <v>220</v>
      </c>
      <c r="N69" s="165"/>
      <c r="O69" s="165"/>
      <c r="P69" s="165"/>
      <c r="Q69" s="90" t="s">
        <v>25</v>
      </c>
      <c r="R69" s="89">
        <v>120440000000.00002</v>
      </c>
      <c r="S69" s="89">
        <v>12044000000.000002</v>
      </c>
      <c r="T69" s="89">
        <v>6022000000.000001</v>
      </c>
      <c r="U69" s="89">
        <v>3011000000.0000005</v>
      </c>
      <c r="V69" s="89">
        <v>1204400000.0000002</v>
      </c>
      <c r="W69" s="89">
        <v>602200000.00000012</v>
      </c>
    </row>
    <row r="70" spans="1:23" x14ac:dyDescent="0.25">
      <c r="A70" s="165" t="s">
        <v>294</v>
      </c>
      <c r="B70" s="165" t="s">
        <v>205</v>
      </c>
      <c r="C70" s="165" t="s">
        <v>206</v>
      </c>
      <c r="D70" s="165" t="s">
        <v>207</v>
      </c>
      <c r="E70" s="165" t="s">
        <v>220</v>
      </c>
      <c r="F70" s="165"/>
      <c r="G70" s="165"/>
      <c r="H70" s="165"/>
      <c r="I70" s="165" t="s">
        <v>294</v>
      </c>
      <c r="J70" s="165" t="s">
        <v>205</v>
      </c>
      <c r="K70" s="165" t="s">
        <v>206</v>
      </c>
      <c r="L70" s="165" t="s">
        <v>207</v>
      </c>
      <c r="M70" s="165" t="s">
        <v>220</v>
      </c>
      <c r="N70" s="165"/>
      <c r="O70" s="165"/>
      <c r="P70" s="165"/>
      <c r="Q70" s="165"/>
      <c r="R70" s="165">
        <v>36.520000000000003</v>
      </c>
      <c r="S70" s="165">
        <v>34.6</v>
      </c>
      <c r="T70" s="165">
        <v>35.200000000000003</v>
      </c>
      <c r="U70" s="165">
        <v>36.78</v>
      </c>
      <c r="V70" s="165">
        <v>35.119999999999997</v>
      </c>
      <c r="W70" s="165">
        <v>37.65</v>
      </c>
    </row>
    <row r="71" spans="1:23" x14ac:dyDescent="0.25">
      <c r="A71" s="165" t="s">
        <v>295</v>
      </c>
      <c r="B71" s="165" t="s">
        <v>205</v>
      </c>
      <c r="C71" s="165" t="s">
        <v>206</v>
      </c>
      <c r="D71" s="165" t="s">
        <v>207</v>
      </c>
      <c r="E71" s="165" t="s">
        <v>220</v>
      </c>
      <c r="F71" s="165"/>
      <c r="G71" s="165"/>
      <c r="H71" s="165"/>
      <c r="I71" s="165" t="s">
        <v>295</v>
      </c>
      <c r="J71" s="165" t="s">
        <v>205</v>
      </c>
      <c r="K71" s="165" t="s">
        <v>206</v>
      </c>
      <c r="L71" s="165" t="s">
        <v>207</v>
      </c>
      <c r="M71" s="165" t="s">
        <v>220</v>
      </c>
      <c r="N71" s="165"/>
      <c r="O71" s="165"/>
      <c r="P71" s="165"/>
      <c r="Q71" s="165"/>
      <c r="R71" s="165">
        <v>38.57</v>
      </c>
      <c r="S71" s="165">
        <v>34.979999999999997</v>
      </c>
      <c r="T71" s="165">
        <v>35.049999999999997</v>
      </c>
      <c r="U71" s="165">
        <v>36.33</v>
      </c>
      <c r="V71" s="165">
        <v>35.75</v>
      </c>
      <c r="W71" s="165">
        <v>37.520000000000003</v>
      </c>
    </row>
    <row r="72" spans="1:23" x14ac:dyDescent="0.25">
      <c r="A72" s="165" t="s">
        <v>296</v>
      </c>
      <c r="B72" s="165" t="s">
        <v>205</v>
      </c>
      <c r="C72" s="165" t="s">
        <v>206</v>
      </c>
      <c r="D72" s="165" t="s">
        <v>207</v>
      </c>
      <c r="E72" s="165" t="s">
        <v>220</v>
      </c>
      <c r="F72" s="165"/>
      <c r="G72" s="165"/>
      <c r="H72" s="165"/>
      <c r="I72" s="165" t="s">
        <v>296</v>
      </c>
      <c r="J72" s="165" t="s">
        <v>205</v>
      </c>
      <c r="K72" s="165" t="s">
        <v>206</v>
      </c>
      <c r="L72" s="165" t="s">
        <v>207</v>
      </c>
      <c r="M72" s="165" t="s">
        <v>220</v>
      </c>
      <c r="N72" s="165"/>
      <c r="O72" s="165"/>
      <c r="P72" s="165"/>
      <c r="Q72" s="165"/>
      <c r="R72" s="165">
        <v>37.68</v>
      </c>
      <c r="S72" s="165">
        <v>34.26</v>
      </c>
      <c r="T72" s="165">
        <v>35.56</v>
      </c>
      <c r="U72" s="165">
        <v>37.19</v>
      </c>
      <c r="V72" s="165">
        <v>35.89</v>
      </c>
      <c r="W72" s="165">
        <v>36.35</v>
      </c>
    </row>
    <row r="73" spans="1:23" x14ac:dyDescent="0.25">
      <c r="A73" s="165" t="s">
        <v>297</v>
      </c>
      <c r="B73" s="165" t="s">
        <v>205</v>
      </c>
      <c r="C73" s="165" t="s">
        <v>206</v>
      </c>
      <c r="D73" s="165" t="s">
        <v>207</v>
      </c>
      <c r="E73" s="165" t="s">
        <v>220</v>
      </c>
      <c r="F73" s="165"/>
      <c r="G73" s="165"/>
      <c r="H73" s="165"/>
      <c r="I73" s="165" t="s">
        <v>297</v>
      </c>
      <c r="J73" s="165" t="s">
        <v>205</v>
      </c>
      <c r="K73" s="165" t="s">
        <v>206</v>
      </c>
      <c r="L73" s="165" t="s">
        <v>207</v>
      </c>
      <c r="M73" s="165" t="s">
        <v>220</v>
      </c>
      <c r="N73" s="165"/>
      <c r="O73" s="165"/>
      <c r="P73" s="165"/>
      <c r="Q73" s="165"/>
      <c r="R73" s="165">
        <v>37.35</v>
      </c>
      <c r="S73" s="165">
        <v>36.47</v>
      </c>
      <c r="T73" s="165">
        <v>35.64</v>
      </c>
      <c r="U73" s="165">
        <v>38.4</v>
      </c>
      <c r="V73" s="165">
        <v>35.79</v>
      </c>
      <c r="W73" s="165">
        <v>38.630000000000003</v>
      </c>
    </row>
    <row r="74" spans="1:23" x14ac:dyDescent="0.25">
      <c r="A74" s="165" t="s">
        <v>298</v>
      </c>
      <c r="B74" s="165" t="s">
        <v>205</v>
      </c>
      <c r="C74" s="165" t="s">
        <v>206</v>
      </c>
      <c r="D74" s="165" t="s">
        <v>207</v>
      </c>
      <c r="E74" s="165">
        <v>32.700000000000003</v>
      </c>
      <c r="F74" s="165"/>
      <c r="G74" s="165"/>
      <c r="H74" s="165"/>
      <c r="I74" s="165" t="s">
        <v>298</v>
      </c>
      <c r="J74" s="165" t="s">
        <v>205</v>
      </c>
      <c r="K74" s="165" t="s">
        <v>206</v>
      </c>
      <c r="L74" s="165" t="s">
        <v>207</v>
      </c>
      <c r="M74" s="165">
        <v>26.21</v>
      </c>
      <c r="N74" s="165"/>
      <c r="O74" s="165"/>
      <c r="P74" s="165"/>
      <c r="Q74" s="165"/>
      <c r="R74" s="165">
        <v>36.53</v>
      </c>
      <c r="S74" s="165">
        <v>35.56</v>
      </c>
      <c r="T74" s="165">
        <v>35.75</v>
      </c>
      <c r="U74" s="165">
        <v>35.729999999999997</v>
      </c>
      <c r="V74" s="165">
        <v>37.229999999999997</v>
      </c>
      <c r="W74" s="165">
        <v>35.57</v>
      </c>
    </row>
    <row r="75" spans="1:23" x14ac:dyDescent="0.25">
      <c r="A75" s="165" t="s">
        <v>299</v>
      </c>
      <c r="B75" s="165" t="s">
        <v>205</v>
      </c>
      <c r="C75" s="165" t="s">
        <v>206</v>
      </c>
      <c r="D75" s="165" t="s">
        <v>207</v>
      </c>
      <c r="E75" s="165">
        <v>32.909999999999997</v>
      </c>
      <c r="F75" s="165"/>
      <c r="G75" s="165"/>
      <c r="H75" s="165"/>
      <c r="I75" s="165" t="s">
        <v>299</v>
      </c>
      <c r="J75" s="165" t="s">
        <v>205</v>
      </c>
      <c r="K75" s="165" t="s">
        <v>206</v>
      </c>
      <c r="L75" s="165" t="s">
        <v>207</v>
      </c>
      <c r="M75" s="165">
        <v>26.51</v>
      </c>
      <c r="N75" s="165"/>
      <c r="O75" s="165"/>
      <c r="P75" s="165"/>
      <c r="Q75" s="165"/>
      <c r="R75" s="165">
        <v>36.369999999999997</v>
      </c>
      <c r="S75" s="165">
        <v>37.24</v>
      </c>
      <c r="T75" s="165">
        <v>36.6</v>
      </c>
      <c r="U75" s="165">
        <v>36.35</v>
      </c>
      <c r="V75" s="165">
        <v>36.28</v>
      </c>
      <c r="W75" s="165">
        <v>37.68</v>
      </c>
    </row>
    <row r="76" spans="1:23" x14ac:dyDescent="0.25">
      <c r="A76" s="165" t="s">
        <v>300</v>
      </c>
      <c r="B76" s="165" t="s">
        <v>205</v>
      </c>
      <c r="C76" s="165" t="s">
        <v>206</v>
      </c>
      <c r="D76" s="165" t="s">
        <v>207</v>
      </c>
      <c r="E76" s="165">
        <v>32.97</v>
      </c>
      <c r="F76" s="165"/>
      <c r="G76" s="165"/>
      <c r="H76" s="165"/>
      <c r="I76" s="165" t="s">
        <v>300</v>
      </c>
      <c r="J76" s="165" t="s">
        <v>205</v>
      </c>
      <c r="K76" s="165" t="s">
        <v>206</v>
      </c>
      <c r="L76" s="165" t="s">
        <v>207</v>
      </c>
      <c r="M76" s="165">
        <v>26.52</v>
      </c>
      <c r="N76" s="165"/>
      <c r="O76" s="165"/>
      <c r="P76" s="165"/>
      <c r="Q76" s="165"/>
      <c r="R76" s="165">
        <v>39.07</v>
      </c>
      <c r="S76" s="165">
        <v>35.32</v>
      </c>
      <c r="T76" s="165">
        <v>35.299999999999997</v>
      </c>
      <c r="U76" s="165">
        <v>35.42</v>
      </c>
      <c r="V76" s="165">
        <v>35.14</v>
      </c>
      <c r="W76" s="165">
        <v>36.6</v>
      </c>
    </row>
    <row r="77" spans="1:23" x14ac:dyDescent="0.25">
      <c r="A77" s="165" t="s">
        <v>301</v>
      </c>
      <c r="B77" s="165" t="s">
        <v>205</v>
      </c>
      <c r="C77" s="165" t="s">
        <v>206</v>
      </c>
      <c r="D77" s="165" t="s">
        <v>207</v>
      </c>
      <c r="E77" s="165">
        <v>36.880000000000003</v>
      </c>
      <c r="F77" s="165"/>
      <c r="G77" s="165"/>
      <c r="H77" s="165"/>
      <c r="I77" s="165" t="s">
        <v>301</v>
      </c>
      <c r="J77" s="165" t="s">
        <v>205</v>
      </c>
      <c r="K77" s="165" t="s">
        <v>206</v>
      </c>
      <c r="L77" s="165" t="s">
        <v>207</v>
      </c>
      <c r="M77" s="165">
        <v>30.76</v>
      </c>
      <c r="N77" s="165"/>
      <c r="O77" s="165"/>
      <c r="P77" s="165"/>
      <c r="Q77" s="165"/>
      <c r="R77" s="165">
        <v>38.69</v>
      </c>
      <c r="S77" s="165">
        <v>35.869999999999997</v>
      </c>
      <c r="T77" s="165">
        <v>35.200000000000003</v>
      </c>
      <c r="U77" s="165">
        <v>36.28</v>
      </c>
      <c r="V77" s="165">
        <v>35.619999999999997</v>
      </c>
      <c r="W77" s="165">
        <v>37.200000000000003</v>
      </c>
    </row>
    <row r="78" spans="1:23" x14ac:dyDescent="0.25">
      <c r="A78" s="165" t="s">
        <v>302</v>
      </c>
      <c r="B78" s="165" t="s">
        <v>205</v>
      </c>
      <c r="C78" s="165" t="s">
        <v>206</v>
      </c>
      <c r="D78" s="165" t="s">
        <v>207</v>
      </c>
      <c r="E78" s="165">
        <v>37.5</v>
      </c>
      <c r="F78" s="165"/>
      <c r="G78" s="165"/>
      <c r="H78" s="165"/>
      <c r="I78" s="165" t="s">
        <v>302</v>
      </c>
      <c r="J78" s="165" t="s">
        <v>205</v>
      </c>
      <c r="K78" s="165" t="s">
        <v>206</v>
      </c>
      <c r="L78" s="165" t="s">
        <v>207</v>
      </c>
      <c r="M78" s="165">
        <v>31.32</v>
      </c>
      <c r="N78" s="165"/>
      <c r="O78" s="165"/>
      <c r="P78" s="165"/>
      <c r="Q78" s="165"/>
      <c r="R78" s="165"/>
      <c r="S78" s="165">
        <v>36.22</v>
      </c>
      <c r="T78" s="165">
        <v>35.56</v>
      </c>
      <c r="U78" s="165">
        <v>35.81</v>
      </c>
      <c r="V78" s="165">
        <v>37.36</v>
      </c>
      <c r="W78" s="165">
        <v>38.74</v>
      </c>
    </row>
    <row r="79" spans="1:23" x14ac:dyDescent="0.25">
      <c r="A79" s="165" t="s">
        <v>303</v>
      </c>
      <c r="B79" s="165" t="s">
        <v>205</v>
      </c>
      <c r="C79" s="165" t="s">
        <v>206</v>
      </c>
      <c r="D79" s="165" t="s">
        <v>207</v>
      </c>
      <c r="E79" s="165">
        <v>37.32</v>
      </c>
      <c r="F79" s="165"/>
      <c r="G79" s="165"/>
      <c r="H79" s="165"/>
      <c r="I79" s="165" t="s">
        <v>303</v>
      </c>
      <c r="J79" s="165" t="s">
        <v>205</v>
      </c>
      <c r="K79" s="165" t="s">
        <v>206</v>
      </c>
      <c r="L79" s="165" t="s">
        <v>207</v>
      </c>
      <c r="M79" s="165">
        <v>30.91</v>
      </c>
      <c r="N79" s="165"/>
      <c r="O79" s="165"/>
      <c r="P79" s="165"/>
      <c r="Q79" s="165"/>
      <c r="R79" s="165"/>
      <c r="S79" s="165">
        <v>35.75</v>
      </c>
      <c r="T79" s="165">
        <v>34.880000000000003</v>
      </c>
      <c r="U79" s="165">
        <v>36.15</v>
      </c>
      <c r="V79" s="165">
        <v>35.340000000000003</v>
      </c>
      <c r="W79" s="165">
        <v>36.68</v>
      </c>
    </row>
    <row r="80" spans="1:23" x14ac:dyDescent="0.25">
      <c r="A80" s="165" t="s">
        <v>304</v>
      </c>
      <c r="B80" s="165" t="s">
        <v>205</v>
      </c>
      <c r="C80" s="165" t="s">
        <v>206</v>
      </c>
      <c r="D80" s="165" t="s">
        <v>207</v>
      </c>
      <c r="E80" s="165" t="s">
        <v>220</v>
      </c>
      <c r="F80" s="165"/>
      <c r="G80" s="165"/>
      <c r="H80" s="165"/>
      <c r="I80" s="165" t="s">
        <v>304</v>
      </c>
      <c r="J80" s="165" t="s">
        <v>205</v>
      </c>
      <c r="K80" s="165" t="s">
        <v>206</v>
      </c>
      <c r="L80" s="165" t="s">
        <v>207</v>
      </c>
      <c r="M80" s="165">
        <v>33.11</v>
      </c>
      <c r="N80" s="165"/>
      <c r="O80" s="165"/>
      <c r="P80" s="165"/>
      <c r="Q80" s="165"/>
      <c r="R80" s="165"/>
      <c r="S80" s="165">
        <v>35.74</v>
      </c>
      <c r="T80" s="165">
        <v>34.9</v>
      </c>
      <c r="U80" s="165"/>
      <c r="V80" s="165">
        <v>34.85</v>
      </c>
      <c r="W80" s="165"/>
    </row>
    <row r="81" spans="1:13" x14ac:dyDescent="0.25">
      <c r="A81" s="165" t="s">
        <v>305</v>
      </c>
      <c r="B81" s="165" t="s">
        <v>205</v>
      </c>
      <c r="C81" s="165" t="s">
        <v>206</v>
      </c>
      <c r="D81" s="165" t="s">
        <v>207</v>
      </c>
      <c r="E81" s="165">
        <v>39.65</v>
      </c>
      <c r="F81" s="165"/>
      <c r="G81" s="165"/>
      <c r="H81" s="165"/>
      <c r="I81" s="165" t="s">
        <v>305</v>
      </c>
      <c r="J81" s="165" t="s">
        <v>205</v>
      </c>
      <c r="K81" s="165" t="s">
        <v>206</v>
      </c>
      <c r="L81" s="165" t="s">
        <v>207</v>
      </c>
      <c r="M81" s="165">
        <v>32.65</v>
      </c>
    </row>
    <row r="82" spans="1:13" x14ac:dyDescent="0.25">
      <c r="A82" s="165" t="s">
        <v>306</v>
      </c>
      <c r="B82" s="165" t="s">
        <v>205</v>
      </c>
      <c r="C82" s="165" t="s">
        <v>206</v>
      </c>
      <c r="D82" s="165" t="s">
        <v>207</v>
      </c>
      <c r="E82" s="165">
        <v>39.69</v>
      </c>
      <c r="F82" s="165"/>
      <c r="G82" s="165"/>
      <c r="H82" s="165"/>
      <c r="I82" s="165" t="s">
        <v>306</v>
      </c>
      <c r="J82" s="165" t="s">
        <v>205</v>
      </c>
      <c r="K82" s="165" t="s">
        <v>206</v>
      </c>
      <c r="L82" s="165" t="s">
        <v>207</v>
      </c>
      <c r="M82" s="165">
        <v>32.76</v>
      </c>
    </row>
    <row r="83" spans="1:13" x14ac:dyDescent="0.25">
      <c r="A83" s="165" t="s">
        <v>307</v>
      </c>
      <c r="B83" s="165" t="s">
        <v>205</v>
      </c>
      <c r="C83" s="165" t="s">
        <v>206</v>
      </c>
      <c r="D83" s="165" t="s">
        <v>207</v>
      </c>
      <c r="E83" s="165" t="s">
        <v>220</v>
      </c>
      <c r="F83" s="165"/>
      <c r="G83" s="165"/>
      <c r="H83" s="165"/>
      <c r="I83" s="165" t="s">
        <v>307</v>
      </c>
      <c r="J83" s="165" t="s">
        <v>205</v>
      </c>
      <c r="K83" s="165" t="s">
        <v>206</v>
      </c>
      <c r="L83" s="165" t="s">
        <v>207</v>
      </c>
      <c r="M83" s="165">
        <v>34.43</v>
      </c>
    </row>
    <row r="84" spans="1:13" x14ac:dyDescent="0.25">
      <c r="A84" s="165" t="s">
        <v>308</v>
      </c>
      <c r="B84" s="165" t="s">
        <v>205</v>
      </c>
      <c r="C84" s="165" t="s">
        <v>206</v>
      </c>
      <c r="D84" s="165" t="s">
        <v>207</v>
      </c>
      <c r="E84" s="165" t="s">
        <v>220</v>
      </c>
      <c r="F84" s="165"/>
      <c r="G84" s="165"/>
      <c r="H84" s="165"/>
      <c r="I84" s="165" t="s">
        <v>308</v>
      </c>
      <c r="J84" s="165" t="s">
        <v>205</v>
      </c>
      <c r="K84" s="165" t="s">
        <v>206</v>
      </c>
      <c r="L84" s="165" t="s">
        <v>207</v>
      </c>
      <c r="M84" s="165">
        <v>35.15</v>
      </c>
    </row>
    <row r="85" spans="1:13" x14ac:dyDescent="0.25">
      <c r="A85" s="165" t="s">
        <v>309</v>
      </c>
      <c r="B85" s="165" t="s">
        <v>205</v>
      </c>
      <c r="C85" s="165" t="s">
        <v>206</v>
      </c>
      <c r="D85" s="165" t="s">
        <v>207</v>
      </c>
      <c r="E85" s="165" t="s">
        <v>220</v>
      </c>
      <c r="F85" s="165"/>
      <c r="G85" s="165"/>
      <c r="H85" s="165"/>
      <c r="I85" s="165" t="s">
        <v>309</v>
      </c>
      <c r="J85" s="165" t="s">
        <v>205</v>
      </c>
      <c r="K85" s="165" t="s">
        <v>206</v>
      </c>
      <c r="L85" s="165" t="s">
        <v>207</v>
      </c>
      <c r="M85" s="165">
        <v>34.72</v>
      </c>
    </row>
    <row r="86" spans="1:13" x14ac:dyDescent="0.25">
      <c r="A86" s="165" t="s">
        <v>310</v>
      </c>
      <c r="B86" s="165" t="s">
        <v>205</v>
      </c>
      <c r="C86" s="165" t="s">
        <v>206</v>
      </c>
      <c r="D86" s="165" t="s">
        <v>207</v>
      </c>
      <c r="E86" s="165" t="s">
        <v>220</v>
      </c>
      <c r="F86" s="165"/>
      <c r="G86" s="165"/>
      <c r="H86" s="165"/>
      <c r="I86" s="165" t="s">
        <v>310</v>
      </c>
      <c r="J86" s="165" t="s">
        <v>205</v>
      </c>
      <c r="K86" s="165" t="s">
        <v>206</v>
      </c>
      <c r="L86" s="165" t="s">
        <v>207</v>
      </c>
      <c r="M86" s="165">
        <v>35.450000000000003</v>
      </c>
    </row>
    <row r="87" spans="1:13" x14ac:dyDescent="0.25">
      <c r="A87" s="165" t="s">
        <v>311</v>
      </c>
      <c r="B87" s="165" t="s">
        <v>205</v>
      </c>
      <c r="C87" s="165" t="s">
        <v>206</v>
      </c>
      <c r="D87" s="165" t="s">
        <v>207</v>
      </c>
      <c r="E87" s="165" t="s">
        <v>220</v>
      </c>
      <c r="F87" s="165"/>
      <c r="G87" s="165"/>
      <c r="H87" s="165"/>
      <c r="I87" s="165" t="s">
        <v>311</v>
      </c>
      <c r="J87" s="165" t="s">
        <v>205</v>
      </c>
      <c r="K87" s="165" t="s">
        <v>206</v>
      </c>
      <c r="L87" s="165" t="s">
        <v>207</v>
      </c>
      <c r="M87" s="165">
        <v>35.01</v>
      </c>
    </row>
    <row r="88" spans="1:13" x14ac:dyDescent="0.25">
      <c r="A88" s="165" t="s">
        <v>312</v>
      </c>
      <c r="B88" s="165" t="s">
        <v>205</v>
      </c>
      <c r="C88" s="165" t="s">
        <v>206</v>
      </c>
      <c r="D88" s="165" t="s">
        <v>207</v>
      </c>
      <c r="E88" s="165" t="s">
        <v>220</v>
      </c>
      <c r="F88" s="165"/>
      <c r="G88" s="165"/>
      <c r="H88" s="165"/>
      <c r="I88" s="165" t="s">
        <v>312</v>
      </c>
      <c r="J88" s="165" t="s">
        <v>205</v>
      </c>
      <c r="K88" s="165" t="s">
        <v>206</v>
      </c>
      <c r="L88" s="165" t="s">
        <v>207</v>
      </c>
      <c r="M88" s="165">
        <v>34.909999999999997</v>
      </c>
    </row>
    <row r="89" spans="1:13" x14ac:dyDescent="0.25">
      <c r="A89" s="165" t="s">
        <v>313</v>
      </c>
      <c r="B89" s="165" t="s">
        <v>205</v>
      </c>
      <c r="C89" s="165" t="s">
        <v>206</v>
      </c>
      <c r="D89" s="165" t="s">
        <v>207</v>
      </c>
      <c r="E89" s="165" t="s">
        <v>220</v>
      </c>
      <c r="F89" s="165"/>
      <c r="G89" s="165"/>
      <c r="H89" s="165"/>
      <c r="I89" s="165" t="s">
        <v>313</v>
      </c>
      <c r="J89" s="165" t="s">
        <v>205</v>
      </c>
      <c r="K89" s="165" t="s">
        <v>206</v>
      </c>
      <c r="L89" s="165" t="s">
        <v>207</v>
      </c>
      <c r="M89" s="165">
        <v>37.020000000000003</v>
      </c>
    </row>
    <row r="90" spans="1:13" x14ac:dyDescent="0.25">
      <c r="A90" s="165" t="s">
        <v>314</v>
      </c>
      <c r="B90" s="165" t="s">
        <v>205</v>
      </c>
      <c r="C90" s="165" t="s">
        <v>206</v>
      </c>
      <c r="D90" s="165" t="s">
        <v>207</v>
      </c>
      <c r="E90" s="165" t="s">
        <v>220</v>
      </c>
      <c r="F90" s="165"/>
      <c r="G90" s="165"/>
      <c r="H90" s="165"/>
      <c r="I90" s="165" t="s">
        <v>314</v>
      </c>
      <c r="J90" s="165" t="s">
        <v>205</v>
      </c>
      <c r="K90" s="165" t="s">
        <v>206</v>
      </c>
      <c r="L90" s="165" t="s">
        <v>207</v>
      </c>
      <c r="M90" s="165">
        <v>36.880000000000003</v>
      </c>
    </row>
    <row r="91" spans="1:13" x14ac:dyDescent="0.25">
      <c r="A91" s="165" t="s">
        <v>315</v>
      </c>
      <c r="B91" s="165" t="s">
        <v>205</v>
      </c>
      <c r="C91" s="165" t="s">
        <v>206</v>
      </c>
      <c r="D91" s="165" t="s">
        <v>207</v>
      </c>
      <c r="E91" s="165" t="s">
        <v>220</v>
      </c>
      <c r="F91" s="165"/>
      <c r="G91" s="165"/>
      <c r="H91" s="165"/>
      <c r="I91" s="165" t="s">
        <v>315</v>
      </c>
      <c r="J91" s="165" t="s">
        <v>205</v>
      </c>
      <c r="K91" s="165" t="s">
        <v>206</v>
      </c>
      <c r="L91" s="165" t="s">
        <v>207</v>
      </c>
      <c r="M91" s="165">
        <v>37.49</v>
      </c>
    </row>
    <row r="92" spans="1:13" x14ac:dyDescent="0.25">
      <c r="A92" s="165" t="s">
        <v>316</v>
      </c>
      <c r="B92" s="165" t="s">
        <v>205</v>
      </c>
      <c r="C92" s="165" t="s">
        <v>206</v>
      </c>
      <c r="D92" s="165" t="s">
        <v>207</v>
      </c>
      <c r="E92" s="165" t="s">
        <v>220</v>
      </c>
      <c r="F92" s="165"/>
      <c r="G92" s="165"/>
      <c r="H92" s="165"/>
      <c r="I92" s="165" t="s">
        <v>316</v>
      </c>
      <c r="J92" s="165" t="s">
        <v>205</v>
      </c>
      <c r="K92" s="165" t="s">
        <v>206</v>
      </c>
      <c r="L92" s="165" t="s">
        <v>207</v>
      </c>
      <c r="M92" s="165" t="s">
        <v>220</v>
      </c>
    </row>
    <row r="93" spans="1:13" x14ac:dyDescent="0.25">
      <c r="A93" s="165" t="s">
        <v>317</v>
      </c>
      <c r="B93" s="165" t="s">
        <v>205</v>
      </c>
      <c r="C93" s="165" t="s">
        <v>206</v>
      </c>
      <c r="D93" s="165" t="s">
        <v>207</v>
      </c>
      <c r="E93" s="165" t="s">
        <v>220</v>
      </c>
      <c r="F93" s="165"/>
      <c r="G93" s="165"/>
      <c r="H93" s="165"/>
      <c r="I93" s="165" t="s">
        <v>317</v>
      </c>
      <c r="J93" s="165" t="s">
        <v>205</v>
      </c>
      <c r="K93" s="165" t="s">
        <v>206</v>
      </c>
      <c r="L93" s="165" t="s">
        <v>207</v>
      </c>
      <c r="M93" s="165" t="s">
        <v>220</v>
      </c>
    </row>
    <row r="94" spans="1:13" x14ac:dyDescent="0.25">
      <c r="A94" s="165" t="s">
        <v>318</v>
      </c>
      <c r="B94" s="165" t="s">
        <v>205</v>
      </c>
      <c r="C94" s="165" t="s">
        <v>206</v>
      </c>
      <c r="D94" s="165" t="s">
        <v>207</v>
      </c>
      <c r="E94" s="165" t="s">
        <v>220</v>
      </c>
      <c r="F94" s="165"/>
      <c r="G94" s="165"/>
      <c r="H94" s="165"/>
      <c r="I94" s="165" t="s">
        <v>318</v>
      </c>
      <c r="J94" s="165" t="s">
        <v>205</v>
      </c>
      <c r="K94" s="165" t="s">
        <v>206</v>
      </c>
      <c r="L94" s="165" t="s">
        <v>207</v>
      </c>
      <c r="M94" s="165" t="s">
        <v>220</v>
      </c>
    </row>
    <row r="95" spans="1:13" x14ac:dyDescent="0.25">
      <c r="A95" s="165" t="s">
        <v>319</v>
      </c>
      <c r="B95" s="165" t="s">
        <v>205</v>
      </c>
      <c r="C95" s="165" t="s">
        <v>206</v>
      </c>
      <c r="D95" s="165" t="s">
        <v>207</v>
      </c>
      <c r="E95" s="165" t="s">
        <v>220</v>
      </c>
      <c r="F95" s="165"/>
      <c r="G95" s="165"/>
      <c r="H95" s="165"/>
      <c r="I95" s="165" t="s">
        <v>319</v>
      </c>
      <c r="J95" s="165" t="s">
        <v>205</v>
      </c>
      <c r="K95" s="165" t="s">
        <v>320</v>
      </c>
      <c r="L95" s="165" t="s">
        <v>207</v>
      </c>
      <c r="M95" s="165" t="s">
        <v>220</v>
      </c>
    </row>
    <row r="96" spans="1:13" x14ac:dyDescent="0.25">
      <c r="A96" s="165" t="s">
        <v>321</v>
      </c>
      <c r="B96" s="165" t="s">
        <v>205</v>
      </c>
      <c r="C96" s="165" t="s">
        <v>206</v>
      </c>
      <c r="D96" s="165" t="s">
        <v>207</v>
      </c>
      <c r="E96" s="165" t="s">
        <v>220</v>
      </c>
      <c r="F96" s="165"/>
      <c r="G96" s="165"/>
      <c r="H96" s="165"/>
      <c r="I96" s="165" t="s">
        <v>321</v>
      </c>
      <c r="J96" s="165" t="s">
        <v>205</v>
      </c>
      <c r="K96" s="165" t="s">
        <v>320</v>
      </c>
      <c r="L96" s="165" t="s">
        <v>207</v>
      </c>
      <c r="M96" s="165" t="s">
        <v>220</v>
      </c>
    </row>
    <row r="97" spans="1:15" x14ac:dyDescent="0.25">
      <c r="A97" s="165" t="s">
        <v>322</v>
      </c>
      <c r="B97" s="165" t="s">
        <v>205</v>
      </c>
      <c r="C97" s="165" t="s">
        <v>206</v>
      </c>
      <c r="D97" s="165" t="s">
        <v>207</v>
      </c>
      <c r="E97" s="165" t="s">
        <v>220</v>
      </c>
      <c r="F97" s="165"/>
      <c r="G97" s="165"/>
      <c r="H97" s="165"/>
      <c r="I97" s="165" t="s">
        <v>322</v>
      </c>
      <c r="J97" s="165" t="s">
        <v>205</v>
      </c>
      <c r="K97" s="165" t="s">
        <v>320</v>
      </c>
      <c r="L97" s="165" t="s">
        <v>207</v>
      </c>
      <c r="M97" s="165" t="s">
        <v>220</v>
      </c>
      <c r="N97" s="165"/>
      <c r="O97" s="165"/>
    </row>
    <row r="98" spans="1:15" x14ac:dyDescent="0.25">
      <c r="A98" s="165" t="s">
        <v>204</v>
      </c>
      <c r="B98" s="165" t="s">
        <v>209</v>
      </c>
      <c r="C98" s="165" t="s">
        <v>206</v>
      </c>
      <c r="D98" s="165" t="s">
        <v>210</v>
      </c>
      <c r="E98" s="165" t="s">
        <v>220</v>
      </c>
      <c r="F98" s="165">
        <f>AVERAGE(E99:E109)</f>
        <v>12.705</v>
      </c>
      <c r="G98" s="165">
        <f>STDEV(E99:E109)</f>
        <v>0.51618795026618003</v>
      </c>
      <c r="H98" s="165"/>
      <c r="I98" s="165" t="s">
        <v>204</v>
      </c>
      <c r="J98" s="165" t="s">
        <v>209</v>
      </c>
      <c r="K98" s="165" t="s">
        <v>206</v>
      </c>
      <c r="L98" s="165" t="s">
        <v>210</v>
      </c>
      <c r="M98" s="165">
        <v>35.9</v>
      </c>
      <c r="N98" s="165">
        <f>AVERAGE(M99:M109)</f>
        <v>37.597500000000004</v>
      </c>
      <c r="O98" s="165">
        <f>STDEV(M99:M109)</f>
        <v>1.0811997304581868</v>
      </c>
    </row>
    <row r="99" spans="1:15" x14ac:dyDescent="0.25">
      <c r="A99" s="165" t="s">
        <v>211</v>
      </c>
      <c r="B99" s="165" t="s">
        <v>209</v>
      </c>
      <c r="C99" s="165" t="s">
        <v>206</v>
      </c>
      <c r="D99" s="165" t="s">
        <v>210</v>
      </c>
      <c r="E99" s="165" t="s">
        <v>220</v>
      </c>
      <c r="F99" s="165"/>
      <c r="G99" s="165"/>
      <c r="H99" s="165"/>
      <c r="I99" s="165" t="s">
        <v>211</v>
      </c>
      <c r="J99" s="165" t="s">
        <v>209</v>
      </c>
      <c r="K99" s="165" t="s">
        <v>206</v>
      </c>
      <c r="L99" s="165" t="s">
        <v>210</v>
      </c>
      <c r="M99" s="165">
        <v>36.520000000000003</v>
      </c>
      <c r="N99" s="165"/>
      <c r="O99" s="165"/>
    </row>
    <row r="100" spans="1:15" x14ac:dyDescent="0.25">
      <c r="A100" s="165" t="s">
        <v>212</v>
      </c>
      <c r="B100" s="165" t="s">
        <v>209</v>
      </c>
      <c r="C100" s="165" t="s">
        <v>206</v>
      </c>
      <c r="D100" s="165" t="s">
        <v>210</v>
      </c>
      <c r="E100" s="165" t="s">
        <v>220</v>
      </c>
      <c r="F100" s="165"/>
      <c r="G100" s="165"/>
      <c r="H100" s="165"/>
      <c r="I100" s="165" t="s">
        <v>212</v>
      </c>
      <c r="J100" s="165" t="s">
        <v>209</v>
      </c>
      <c r="K100" s="165" t="s">
        <v>206</v>
      </c>
      <c r="L100" s="165" t="s">
        <v>210</v>
      </c>
      <c r="M100" s="165">
        <v>38.57</v>
      </c>
      <c r="N100" s="165"/>
      <c r="O100" s="165"/>
    </row>
    <row r="101" spans="1:15" x14ac:dyDescent="0.25">
      <c r="A101" s="165" t="s">
        <v>213</v>
      </c>
      <c r="B101" s="165" t="s">
        <v>209</v>
      </c>
      <c r="C101" s="165" t="s">
        <v>206</v>
      </c>
      <c r="D101" s="165" t="s">
        <v>210</v>
      </c>
      <c r="E101" s="165" t="s">
        <v>220</v>
      </c>
      <c r="F101" s="165"/>
      <c r="G101" s="165"/>
      <c r="H101" s="165"/>
      <c r="I101" s="165" t="s">
        <v>213</v>
      </c>
      <c r="J101" s="165" t="s">
        <v>209</v>
      </c>
      <c r="K101" s="165" t="s">
        <v>206</v>
      </c>
      <c r="L101" s="165" t="s">
        <v>210</v>
      </c>
      <c r="M101" s="165">
        <v>37.68</v>
      </c>
      <c r="N101" s="165"/>
      <c r="O101" s="165"/>
    </row>
    <row r="102" spans="1:15" x14ac:dyDescent="0.25">
      <c r="A102" s="165" t="s">
        <v>214</v>
      </c>
      <c r="B102" s="165" t="s">
        <v>209</v>
      </c>
      <c r="C102" s="165" t="s">
        <v>206</v>
      </c>
      <c r="D102" s="165" t="s">
        <v>210</v>
      </c>
      <c r="E102" s="165" t="s">
        <v>220</v>
      </c>
      <c r="F102" s="165"/>
      <c r="G102" s="165"/>
      <c r="H102" s="165"/>
      <c r="I102" s="165" t="s">
        <v>214</v>
      </c>
      <c r="J102" s="165" t="s">
        <v>209</v>
      </c>
      <c r="K102" s="165" t="s">
        <v>206</v>
      </c>
      <c r="L102" s="165" t="s">
        <v>210</v>
      </c>
      <c r="M102" s="165">
        <v>37.35</v>
      </c>
      <c r="N102" s="165"/>
      <c r="O102" s="165"/>
    </row>
    <row r="103" spans="1:15" x14ac:dyDescent="0.25">
      <c r="A103" s="165" t="s">
        <v>215</v>
      </c>
      <c r="B103" s="165" t="s">
        <v>209</v>
      </c>
      <c r="C103" s="165" t="s">
        <v>206</v>
      </c>
      <c r="D103" s="165" t="s">
        <v>210</v>
      </c>
      <c r="E103" s="165" t="s">
        <v>220</v>
      </c>
      <c r="F103" s="165"/>
      <c r="G103" s="165"/>
      <c r="H103" s="165"/>
      <c r="I103" s="165" t="s">
        <v>215</v>
      </c>
      <c r="J103" s="165" t="s">
        <v>209</v>
      </c>
      <c r="K103" s="165" t="s">
        <v>206</v>
      </c>
      <c r="L103" s="165" t="s">
        <v>210</v>
      </c>
      <c r="M103" s="165" t="s">
        <v>220</v>
      </c>
      <c r="N103" s="165"/>
      <c r="O103" s="165"/>
    </row>
    <row r="104" spans="1:15" x14ac:dyDescent="0.25">
      <c r="A104" s="165" t="s">
        <v>216</v>
      </c>
      <c r="B104" s="165" t="s">
        <v>209</v>
      </c>
      <c r="C104" s="165" t="s">
        <v>206</v>
      </c>
      <c r="D104" s="165" t="s">
        <v>210</v>
      </c>
      <c r="E104" s="165">
        <v>13.07</v>
      </c>
      <c r="F104" s="165"/>
      <c r="G104" s="165"/>
      <c r="H104" s="165"/>
      <c r="I104" s="165" t="s">
        <v>216</v>
      </c>
      <c r="J104" s="165" t="s">
        <v>209</v>
      </c>
      <c r="K104" s="165" t="s">
        <v>206</v>
      </c>
      <c r="L104" s="165" t="s">
        <v>210</v>
      </c>
      <c r="M104" s="165">
        <v>36.53</v>
      </c>
      <c r="N104" s="165"/>
      <c r="O104" s="165"/>
    </row>
    <row r="105" spans="1:15" x14ac:dyDescent="0.25">
      <c r="A105" s="165" t="s">
        <v>217</v>
      </c>
      <c r="B105" s="165" t="s">
        <v>209</v>
      </c>
      <c r="C105" s="165" t="s">
        <v>206</v>
      </c>
      <c r="D105" s="165" t="s">
        <v>210</v>
      </c>
      <c r="E105" s="165" t="s">
        <v>220</v>
      </c>
      <c r="F105" s="165"/>
      <c r="G105" s="165"/>
      <c r="H105" s="165"/>
      <c r="I105" s="165" t="s">
        <v>217</v>
      </c>
      <c r="J105" s="165" t="s">
        <v>209</v>
      </c>
      <c r="K105" s="165" t="s">
        <v>206</v>
      </c>
      <c r="L105" s="165" t="s">
        <v>210</v>
      </c>
      <c r="M105" s="165">
        <v>36.369999999999997</v>
      </c>
      <c r="N105" s="165"/>
      <c r="O105" s="165"/>
    </row>
    <row r="106" spans="1:15" x14ac:dyDescent="0.25">
      <c r="A106" s="165" t="s">
        <v>218</v>
      </c>
      <c r="B106" s="165" t="s">
        <v>209</v>
      </c>
      <c r="C106" s="165" t="s">
        <v>206</v>
      </c>
      <c r="D106" s="165" t="s">
        <v>210</v>
      </c>
      <c r="E106" s="165" t="s">
        <v>220</v>
      </c>
      <c r="F106" s="165"/>
      <c r="G106" s="165"/>
      <c r="H106" s="165"/>
      <c r="I106" s="165" t="s">
        <v>218</v>
      </c>
      <c r="J106" s="165" t="s">
        <v>209</v>
      </c>
      <c r="K106" s="165" t="s">
        <v>206</v>
      </c>
      <c r="L106" s="165" t="s">
        <v>210</v>
      </c>
      <c r="M106" s="165" t="s">
        <v>220</v>
      </c>
      <c r="N106" s="165"/>
      <c r="O106" s="165"/>
    </row>
    <row r="107" spans="1:15" x14ac:dyDescent="0.25">
      <c r="A107" s="165" t="s">
        <v>219</v>
      </c>
      <c r="B107" s="165" t="s">
        <v>209</v>
      </c>
      <c r="C107" s="165" t="s">
        <v>206</v>
      </c>
      <c r="D107" s="165" t="s">
        <v>210</v>
      </c>
      <c r="E107" s="165" t="s">
        <v>220</v>
      </c>
      <c r="F107" s="165"/>
      <c r="G107" s="165"/>
      <c r="H107" s="165"/>
      <c r="I107" s="165" t="s">
        <v>219</v>
      </c>
      <c r="J107" s="165" t="s">
        <v>209</v>
      </c>
      <c r="K107" s="165" t="s">
        <v>206</v>
      </c>
      <c r="L107" s="165" t="s">
        <v>210</v>
      </c>
      <c r="M107" s="165">
        <v>39.07</v>
      </c>
      <c r="N107" s="165"/>
      <c r="O107" s="165"/>
    </row>
    <row r="108" spans="1:15" x14ac:dyDescent="0.25">
      <c r="A108" s="165" t="s">
        <v>221</v>
      </c>
      <c r="B108" s="165" t="s">
        <v>209</v>
      </c>
      <c r="C108" s="165" t="s">
        <v>206</v>
      </c>
      <c r="D108" s="165" t="s">
        <v>210</v>
      </c>
      <c r="E108" s="165">
        <v>12.34</v>
      </c>
      <c r="F108" s="165"/>
      <c r="G108" s="165"/>
      <c r="H108" s="165"/>
      <c r="I108" s="165" t="s">
        <v>221</v>
      </c>
      <c r="J108" s="165" t="s">
        <v>209</v>
      </c>
      <c r="K108" s="165" t="s">
        <v>206</v>
      </c>
      <c r="L108" s="165" t="s">
        <v>210</v>
      </c>
      <c r="M108" s="165">
        <v>38.69</v>
      </c>
      <c r="N108" s="165"/>
      <c r="O108" s="165"/>
    </row>
    <row r="109" spans="1:15" x14ac:dyDescent="0.25">
      <c r="A109" s="165" t="s">
        <v>222</v>
      </c>
      <c r="B109" s="165" t="s">
        <v>209</v>
      </c>
      <c r="C109" s="165" t="s">
        <v>206</v>
      </c>
      <c r="D109" s="165" t="s">
        <v>210</v>
      </c>
      <c r="E109" s="165" t="s">
        <v>220</v>
      </c>
      <c r="F109" s="165"/>
      <c r="G109" s="165"/>
      <c r="H109" s="165"/>
      <c r="I109" s="165" t="s">
        <v>222</v>
      </c>
      <c r="J109" s="165" t="s">
        <v>209</v>
      </c>
      <c r="K109" s="165" t="s">
        <v>206</v>
      </c>
      <c r="L109" s="165" t="s">
        <v>210</v>
      </c>
      <c r="M109" s="165" t="s">
        <v>220</v>
      </c>
      <c r="N109" s="165"/>
      <c r="O109" s="165"/>
    </row>
    <row r="110" spans="1:15" x14ac:dyDescent="0.25">
      <c r="A110" s="165" t="s">
        <v>223</v>
      </c>
      <c r="B110" s="165" t="s">
        <v>209</v>
      </c>
      <c r="C110" s="165" t="s">
        <v>206</v>
      </c>
      <c r="D110" s="165" t="s">
        <v>210</v>
      </c>
      <c r="E110" s="165" t="s">
        <v>220</v>
      </c>
      <c r="F110" s="165">
        <f>AVERAGE(E111:E121)</f>
        <v>11.133333333333335</v>
      </c>
      <c r="G110" s="165">
        <f>STDEV(E111:E121)</f>
        <v>8.6690618485124045</v>
      </c>
      <c r="H110" s="165"/>
      <c r="I110" s="165" t="s">
        <v>223</v>
      </c>
      <c r="J110" s="165" t="s">
        <v>209</v>
      </c>
      <c r="K110" s="165" t="s">
        <v>206</v>
      </c>
      <c r="L110" s="165" t="s">
        <v>210</v>
      </c>
      <c r="M110" s="165">
        <v>35.520000000000003</v>
      </c>
      <c r="N110" s="165">
        <f>AVERAGE(M111:M121)</f>
        <v>35.637272727272723</v>
      </c>
      <c r="O110" s="165">
        <f>STDEV(M111:M121)</f>
        <v>0.84797512828019839</v>
      </c>
    </row>
    <row r="111" spans="1:15" x14ac:dyDescent="0.25">
      <c r="A111" s="165" t="s">
        <v>234</v>
      </c>
      <c r="B111" s="165" t="s">
        <v>209</v>
      </c>
      <c r="C111" s="165" t="s">
        <v>206</v>
      </c>
      <c r="D111" s="165" t="s">
        <v>210</v>
      </c>
      <c r="E111" s="165" t="s">
        <v>220</v>
      </c>
      <c r="F111" s="165"/>
      <c r="G111" s="165"/>
      <c r="H111" s="165"/>
      <c r="I111" s="165" t="s">
        <v>234</v>
      </c>
      <c r="J111" s="165" t="s">
        <v>209</v>
      </c>
      <c r="K111" s="165" t="s">
        <v>206</v>
      </c>
      <c r="L111" s="165" t="s">
        <v>210</v>
      </c>
      <c r="M111" s="165">
        <v>34.6</v>
      </c>
      <c r="N111" s="165"/>
      <c r="O111" s="165"/>
    </row>
    <row r="112" spans="1:15" x14ac:dyDescent="0.25">
      <c r="A112" s="165" t="s">
        <v>235</v>
      </c>
      <c r="B112" s="165" t="s">
        <v>209</v>
      </c>
      <c r="C112" s="165" t="s">
        <v>206</v>
      </c>
      <c r="D112" s="165" t="s">
        <v>210</v>
      </c>
      <c r="E112" s="165">
        <v>3.41</v>
      </c>
      <c r="F112" s="165"/>
      <c r="G112" s="165"/>
      <c r="H112" s="165"/>
      <c r="I112" s="165" t="s">
        <v>235</v>
      </c>
      <c r="J112" s="165" t="s">
        <v>209</v>
      </c>
      <c r="K112" s="165" t="s">
        <v>206</v>
      </c>
      <c r="L112" s="165" t="s">
        <v>210</v>
      </c>
      <c r="M112" s="165">
        <v>34.979999999999997</v>
      </c>
      <c r="N112" s="165"/>
      <c r="O112" s="165"/>
    </row>
    <row r="113" spans="1:15" x14ac:dyDescent="0.25">
      <c r="A113" s="165" t="s">
        <v>236</v>
      </c>
      <c r="B113" s="165" t="s">
        <v>209</v>
      </c>
      <c r="C113" s="165" t="s">
        <v>206</v>
      </c>
      <c r="D113" s="165" t="s">
        <v>210</v>
      </c>
      <c r="E113" s="165">
        <v>9.48</v>
      </c>
      <c r="F113" s="165"/>
      <c r="G113" s="165"/>
      <c r="H113" s="165"/>
      <c r="I113" s="165" t="s">
        <v>236</v>
      </c>
      <c r="J113" s="165" t="s">
        <v>209</v>
      </c>
      <c r="K113" s="165" t="s">
        <v>206</v>
      </c>
      <c r="L113" s="165" t="s">
        <v>210</v>
      </c>
      <c r="M113" s="165">
        <v>34.26</v>
      </c>
      <c r="N113" s="165"/>
      <c r="O113" s="165"/>
    </row>
    <row r="114" spans="1:15" x14ac:dyDescent="0.25">
      <c r="A114" s="165" t="s">
        <v>237</v>
      </c>
      <c r="B114" s="165" t="s">
        <v>209</v>
      </c>
      <c r="C114" s="165" t="s">
        <v>206</v>
      </c>
      <c r="D114" s="165" t="s">
        <v>210</v>
      </c>
      <c r="E114" s="165">
        <v>20.51</v>
      </c>
      <c r="F114" s="165"/>
      <c r="G114" s="165"/>
      <c r="H114" s="165"/>
      <c r="I114" s="165" t="s">
        <v>237</v>
      </c>
      <c r="J114" s="165" t="s">
        <v>209</v>
      </c>
      <c r="K114" s="165" t="s">
        <v>206</v>
      </c>
      <c r="L114" s="165" t="s">
        <v>210</v>
      </c>
      <c r="M114" s="165">
        <v>36.47</v>
      </c>
      <c r="N114" s="165"/>
      <c r="O114" s="165"/>
    </row>
    <row r="115" spans="1:15" x14ac:dyDescent="0.25">
      <c r="A115" s="165" t="s">
        <v>238</v>
      </c>
      <c r="B115" s="165" t="s">
        <v>209</v>
      </c>
      <c r="C115" s="165" t="s">
        <v>206</v>
      </c>
      <c r="D115" s="165" t="s">
        <v>210</v>
      </c>
      <c r="E115" s="165" t="s">
        <v>220</v>
      </c>
      <c r="F115" s="165"/>
      <c r="G115" s="165"/>
      <c r="H115" s="165"/>
      <c r="I115" s="165" t="s">
        <v>238</v>
      </c>
      <c r="J115" s="165" t="s">
        <v>209</v>
      </c>
      <c r="K115" s="165" t="s">
        <v>206</v>
      </c>
      <c r="L115" s="165" t="s">
        <v>210</v>
      </c>
      <c r="M115" s="165">
        <v>35.56</v>
      </c>
      <c r="N115" s="165"/>
      <c r="O115" s="165"/>
    </row>
    <row r="116" spans="1:15" x14ac:dyDescent="0.25">
      <c r="A116" s="165" t="s">
        <v>239</v>
      </c>
      <c r="B116" s="165" t="s">
        <v>209</v>
      </c>
      <c r="C116" s="165" t="s">
        <v>206</v>
      </c>
      <c r="D116" s="165" t="s">
        <v>210</v>
      </c>
      <c r="E116" s="165" t="s">
        <v>220</v>
      </c>
      <c r="F116" s="165"/>
      <c r="G116" s="165"/>
      <c r="H116" s="165"/>
      <c r="I116" s="165" t="s">
        <v>239</v>
      </c>
      <c r="J116" s="165" t="s">
        <v>209</v>
      </c>
      <c r="K116" s="165" t="s">
        <v>206</v>
      </c>
      <c r="L116" s="165" t="s">
        <v>210</v>
      </c>
      <c r="M116" s="165">
        <v>37.24</v>
      </c>
      <c r="N116" s="165"/>
      <c r="O116" s="165"/>
    </row>
    <row r="117" spans="1:15" x14ac:dyDescent="0.25">
      <c r="A117" s="165" t="s">
        <v>242</v>
      </c>
      <c r="B117" s="165" t="s">
        <v>209</v>
      </c>
      <c r="C117" s="165" t="s">
        <v>206</v>
      </c>
      <c r="D117" s="165" t="s">
        <v>210</v>
      </c>
      <c r="E117" s="165" t="s">
        <v>220</v>
      </c>
      <c r="F117" s="165"/>
      <c r="G117" s="165"/>
      <c r="H117" s="165"/>
      <c r="I117" s="165" t="s">
        <v>242</v>
      </c>
      <c r="J117" s="165" t="s">
        <v>209</v>
      </c>
      <c r="K117" s="165" t="s">
        <v>206</v>
      </c>
      <c r="L117" s="165" t="s">
        <v>210</v>
      </c>
      <c r="M117" s="165">
        <v>35.32</v>
      </c>
      <c r="N117" s="165"/>
      <c r="O117" s="165"/>
    </row>
    <row r="118" spans="1:15" x14ac:dyDescent="0.25">
      <c r="A118" s="165" t="s">
        <v>243</v>
      </c>
      <c r="B118" s="165" t="s">
        <v>209</v>
      </c>
      <c r="C118" s="165" t="s">
        <v>206</v>
      </c>
      <c r="D118" s="165" t="s">
        <v>210</v>
      </c>
      <c r="E118" s="165" t="s">
        <v>220</v>
      </c>
      <c r="F118" s="165"/>
      <c r="G118" s="165"/>
      <c r="H118" s="165"/>
      <c r="I118" s="165" t="s">
        <v>243</v>
      </c>
      <c r="J118" s="165" t="s">
        <v>209</v>
      </c>
      <c r="K118" s="165" t="s">
        <v>206</v>
      </c>
      <c r="L118" s="165" t="s">
        <v>210</v>
      </c>
      <c r="M118" s="165">
        <v>35.869999999999997</v>
      </c>
      <c r="N118" s="165"/>
      <c r="O118" s="165"/>
    </row>
    <row r="119" spans="1:15" x14ac:dyDescent="0.25">
      <c r="A119" s="165" t="s">
        <v>244</v>
      </c>
      <c r="B119" s="165" t="s">
        <v>209</v>
      </c>
      <c r="C119" s="165" t="s">
        <v>206</v>
      </c>
      <c r="D119" s="165" t="s">
        <v>210</v>
      </c>
      <c r="E119" s="165" t="s">
        <v>220</v>
      </c>
      <c r="F119" s="165"/>
      <c r="G119" s="165"/>
      <c r="H119" s="165"/>
      <c r="I119" s="165" t="s">
        <v>244</v>
      </c>
      <c r="J119" s="165" t="s">
        <v>209</v>
      </c>
      <c r="K119" s="165" t="s">
        <v>206</v>
      </c>
      <c r="L119" s="165" t="s">
        <v>210</v>
      </c>
      <c r="M119" s="165">
        <v>36.22</v>
      </c>
      <c r="N119" s="165"/>
      <c r="O119" s="165"/>
    </row>
    <row r="120" spans="1:15" x14ac:dyDescent="0.25">
      <c r="A120" s="165" t="s">
        <v>245</v>
      </c>
      <c r="B120" s="165" t="s">
        <v>209</v>
      </c>
      <c r="C120" s="165" t="s">
        <v>206</v>
      </c>
      <c r="D120" s="165" t="s">
        <v>210</v>
      </c>
      <c r="E120" s="165" t="s">
        <v>220</v>
      </c>
      <c r="F120" s="165"/>
      <c r="G120" s="165"/>
      <c r="H120" s="165"/>
      <c r="I120" s="165" t="s">
        <v>245</v>
      </c>
      <c r="J120" s="165" t="s">
        <v>209</v>
      </c>
      <c r="K120" s="165" t="s">
        <v>206</v>
      </c>
      <c r="L120" s="165" t="s">
        <v>210</v>
      </c>
      <c r="M120" s="165">
        <v>35.75</v>
      </c>
      <c r="N120" s="165"/>
      <c r="O120" s="165"/>
    </row>
    <row r="121" spans="1:15" x14ac:dyDescent="0.25">
      <c r="A121" s="165" t="s">
        <v>247</v>
      </c>
      <c r="B121" s="165" t="s">
        <v>209</v>
      </c>
      <c r="C121" s="165" t="s">
        <v>206</v>
      </c>
      <c r="D121" s="165" t="s">
        <v>210</v>
      </c>
      <c r="E121" s="165" t="s">
        <v>220</v>
      </c>
      <c r="F121" s="165"/>
      <c r="G121" s="165"/>
      <c r="H121" s="165"/>
      <c r="I121" s="165" t="s">
        <v>247</v>
      </c>
      <c r="J121" s="165" t="s">
        <v>209</v>
      </c>
      <c r="K121" s="165" t="s">
        <v>206</v>
      </c>
      <c r="L121" s="165" t="s">
        <v>210</v>
      </c>
      <c r="M121" s="165">
        <v>35.74</v>
      </c>
      <c r="N121" s="165"/>
      <c r="O121" s="165"/>
    </row>
    <row r="122" spans="1:15" x14ac:dyDescent="0.25">
      <c r="A122" s="165" t="s">
        <v>248</v>
      </c>
      <c r="B122" s="165" t="s">
        <v>209</v>
      </c>
      <c r="C122" s="165" t="s">
        <v>206</v>
      </c>
      <c r="D122" s="165" t="s">
        <v>210</v>
      </c>
      <c r="E122" s="165" t="s">
        <v>220</v>
      </c>
      <c r="F122" s="165">
        <f>AVERAGE(E123:E133)</f>
        <v>15.4</v>
      </c>
      <c r="G122" s="165" t="e">
        <f>STDEV(E123:E133)</f>
        <v>#DIV/0!</v>
      </c>
      <c r="H122" s="165"/>
      <c r="I122" s="165" t="s">
        <v>248</v>
      </c>
      <c r="J122" s="165" t="s">
        <v>209</v>
      </c>
      <c r="K122" s="165" t="s">
        <v>206</v>
      </c>
      <c r="L122" s="165" t="s">
        <v>210</v>
      </c>
      <c r="M122" s="165">
        <v>34.659999999999997</v>
      </c>
      <c r="N122" s="165">
        <f>AVERAGE(M123:M133)</f>
        <v>35.421818181818175</v>
      </c>
      <c r="O122" s="165">
        <f>STDEV(M123:M133)</f>
        <v>0.48979216371473722</v>
      </c>
    </row>
    <row r="123" spans="1:15" x14ac:dyDescent="0.25">
      <c r="A123" s="165" t="s">
        <v>249</v>
      </c>
      <c r="B123" s="165" t="s">
        <v>209</v>
      </c>
      <c r="C123" s="165" t="s">
        <v>206</v>
      </c>
      <c r="D123" s="165" t="s">
        <v>210</v>
      </c>
      <c r="E123" s="165">
        <v>15.4</v>
      </c>
      <c r="F123" s="165"/>
      <c r="G123" s="165"/>
      <c r="H123" s="165"/>
      <c r="I123" s="165" t="s">
        <v>249</v>
      </c>
      <c r="J123" s="165" t="s">
        <v>209</v>
      </c>
      <c r="K123" s="165" t="s">
        <v>206</v>
      </c>
      <c r="L123" s="165" t="s">
        <v>210</v>
      </c>
      <c r="M123" s="165">
        <v>35.200000000000003</v>
      </c>
      <c r="N123" s="165"/>
      <c r="O123" s="165"/>
    </row>
    <row r="124" spans="1:15" x14ac:dyDescent="0.25">
      <c r="A124" s="165" t="s">
        <v>250</v>
      </c>
      <c r="B124" s="165" t="s">
        <v>209</v>
      </c>
      <c r="C124" s="165" t="s">
        <v>206</v>
      </c>
      <c r="D124" s="165" t="s">
        <v>210</v>
      </c>
      <c r="E124" s="165" t="s">
        <v>220</v>
      </c>
      <c r="F124" s="165"/>
      <c r="G124" s="165"/>
      <c r="H124" s="165"/>
      <c r="I124" s="165" t="s">
        <v>250</v>
      </c>
      <c r="J124" s="165" t="s">
        <v>209</v>
      </c>
      <c r="K124" s="165" t="s">
        <v>206</v>
      </c>
      <c r="L124" s="165" t="s">
        <v>210</v>
      </c>
      <c r="M124" s="165">
        <v>35.049999999999997</v>
      </c>
      <c r="N124" s="165"/>
      <c r="O124" s="165"/>
    </row>
    <row r="125" spans="1:15" x14ac:dyDescent="0.25">
      <c r="A125" s="165" t="s">
        <v>251</v>
      </c>
      <c r="B125" s="165" t="s">
        <v>209</v>
      </c>
      <c r="C125" s="165" t="s">
        <v>206</v>
      </c>
      <c r="D125" s="165" t="s">
        <v>210</v>
      </c>
      <c r="E125" s="165" t="s">
        <v>220</v>
      </c>
      <c r="F125" s="165"/>
      <c r="G125" s="165"/>
      <c r="H125" s="165"/>
      <c r="I125" s="165" t="s">
        <v>251</v>
      </c>
      <c r="J125" s="165" t="s">
        <v>209</v>
      </c>
      <c r="K125" s="165" t="s">
        <v>206</v>
      </c>
      <c r="L125" s="165" t="s">
        <v>210</v>
      </c>
      <c r="M125" s="165">
        <v>35.56</v>
      </c>
      <c r="N125" s="165"/>
      <c r="O125" s="165"/>
    </row>
    <row r="126" spans="1:15" x14ac:dyDescent="0.25">
      <c r="A126" s="165" t="s">
        <v>252</v>
      </c>
      <c r="B126" s="165" t="s">
        <v>209</v>
      </c>
      <c r="C126" s="165" t="s">
        <v>206</v>
      </c>
      <c r="D126" s="165" t="s">
        <v>210</v>
      </c>
      <c r="E126" s="165" t="s">
        <v>220</v>
      </c>
      <c r="F126" s="165"/>
      <c r="G126" s="165"/>
      <c r="H126" s="165"/>
      <c r="I126" s="165" t="s">
        <v>252</v>
      </c>
      <c r="J126" s="165" t="s">
        <v>209</v>
      </c>
      <c r="K126" s="165" t="s">
        <v>206</v>
      </c>
      <c r="L126" s="165" t="s">
        <v>210</v>
      </c>
      <c r="M126" s="165">
        <v>35.64</v>
      </c>
      <c r="N126" s="165"/>
      <c r="O126" s="165"/>
    </row>
    <row r="127" spans="1:15" x14ac:dyDescent="0.25">
      <c r="A127" s="165" t="s">
        <v>253</v>
      </c>
      <c r="B127" s="165" t="s">
        <v>209</v>
      </c>
      <c r="C127" s="165" t="s">
        <v>206</v>
      </c>
      <c r="D127" s="165" t="s">
        <v>210</v>
      </c>
      <c r="E127" s="165" t="s">
        <v>220</v>
      </c>
      <c r="F127" s="165"/>
      <c r="G127" s="165"/>
      <c r="H127" s="165"/>
      <c r="I127" s="165" t="s">
        <v>253</v>
      </c>
      <c r="J127" s="165" t="s">
        <v>209</v>
      </c>
      <c r="K127" s="165" t="s">
        <v>206</v>
      </c>
      <c r="L127" s="165" t="s">
        <v>210</v>
      </c>
      <c r="M127" s="165">
        <v>35.75</v>
      </c>
      <c r="N127" s="165"/>
      <c r="O127" s="165"/>
    </row>
    <row r="128" spans="1:15" x14ac:dyDescent="0.25">
      <c r="A128" s="165" t="s">
        <v>254</v>
      </c>
      <c r="B128" s="165" t="s">
        <v>209</v>
      </c>
      <c r="C128" s="165" t="s">
        <v>206</v>
      </c>
      <c r="D128" s="165" t="s">
        <v>210</v>
      </c>
      <c r="E128" s="165" t="s">
        <v>220</v>
      </c>
      <c r="F128" s="165"/>
      <c r="G128" s="165"/>
      <c r="H128" s="165"/>
      <c r="I128" s="165" t="s">
        <v>254</v>
      </c>
      <c r="J128" s="165" t="s">
        <v>209</v>
      </c>
      <c r="K128" s="165" t="s">
        <v>206</v>
      </c>
      <c r="L128" s="165" t="s">
        <v>210</v>
      </c>
      <c r="M128" s="165">
        <v>36.6</v>
      </c>
      <c r="N128" s="165"/>
      <c r="O128" s="165"/>
    </row>
    <row r="129" spans="1:15" x14ac:dyDescent="0.25">
      <c r="A129" s="165" t="s">
        <v>255</v>
      </c>
      <c r="B129" s="165" t="s">
        <v>209</v>
      </c>
      <c r="C129" s="165" t="s">
        <v>206</v>
      </c>
      <c r="D129" s="165" t="s">
        <v>210</v>
      </c>
      <c r="E129" s="165" t="s">
        <v>220</v>
      </c>
      <c r="F129" s="165"/>
      <c r="G129" s="165"/>
      <c r="H129" s="165"/>
      <c r="I129" s="165" t="s">
        <v>255</v>
      </c>
      <c r="J129" s="165" t="s">
        <v>209</v>
      </c>
      <c r="K129" s="165" t="s">
        <v>206</v>
      </c>
      <c r="L129" s="165" t="s">
        <v>210</v>
      </c>
      <c r="M129" s="165">
        <v>35.299999999999997</v>
      </c>
      <c r="N129" s="165"/>
      <c r="O129" s="165"/>
    </row>
    <row r="130" spans="1:15" x14ac:dyDescent="0.25">
      <c r="A130" s="165" t="s">
        <v>256</v>
      </c>
      <c r="B130" s="165" t="s">
        <v>209</v>
      </c>
      <c r="C130" s="165" t="s">
        <v>206</v>
      </c>
      <c r="D130" s="165" t="s">
        <v>210</v>
      </c>
      <c r="E130" s="165" t="s">
        <v>220</v>
      </c>
      <c r="F130" s="165"/>
      <c r="G130" s="165"/>
      <c r="H130" s="165"/>
      <c r="I130" s="165" t="s">
        <v>256</v>
      </c>
      <c r="J130" s="165" t="s">
        <v>209</v>
      </c>
      <c r="K130" s="165" t="s">
        <v>206</v>
      </c>
      <c r="L130" s="165" t="s">
        <v>210</v>
      </c>
      <c r="M130" s="165">
        <v>35.200000000000003</v>
      </c>
      <c r="N130" s="165"/>
      <c r="O130" s="165"/>
    </row>
    <row r="131" spans="1:15" x14ac:dyDescent="0.25">
      <c r="A131" s="165" t="s">
        <v>257</v>
      </c>
      <c r="B131" s="165" t="s">
        <v>209</v>
      </c>
      <c r="C131" s="165" t="s">
        <v>206</v>
      </c>
      <c r="D131" s="165" t="s">
        <v>210</v>
      </c>
      <c r="E131" s="165" t="s">
        <v>220</v>
      </c>
      <c r="F131" s="165"/>
      <c r="G131" s="165"/>
      <c r="H131" s="165"/>
      <c r="I131" s="165" t="s">
        <v>257</v>
      </c>
      <c r="J131" s="165" t="s">
        <v>209</v>
      </c>
      <c r="K131" s="165" t="s">
        <v>206</v>
      </c>
      <c r="L131" s="165" t="s">
        <v>210</v>
      </c>
      <c r="M131" s="165">
        <v>35.56</v>
      </c>
      <c r="N131" s="165"/>
      <c r="O131" s="165"/>
    </row>
    <row r="132" spans="1:15" x14ac:dyDescent="0.25">
      <c r="A132" s="165" t="s">
        <v>258</v>
      </c>
      <c r="B132" s="165" t="s">
        <v>209</v>
      </c>
      <c r="C132" s="165" t="s">
        <v>206</v>
      </c>
      <c r="D132" s="165" t="s">
        <v>210</v>
      </c>
      <c r="E132" s="165" t="s">
        <v>220</v>
      </c>
      <c r="F132" s="165"/>
      <c r="G132" s="165"/>
      <c r="H132" s="165"/>
      <c r="I132" s="165" t="s">
        <v>258</v>
      </c>
      <c r="J132" s="165" t="s">
        <v>209</v>
      </c>
      <c r="K132" s="165" t="s">
        <v>206</v>
      </c>
      <c r="L132" s="165" t="s">
        <v>210</v>
      </c>
      <c r="M132" s="165">
        <v>34.880000000000003</v>
      </c>
      <c r="N132" s="165"/>
      <c r="O132" s="165"/>
    </row>
    <row r="133" spans="1:15" x14ac:dyDescent="0.25">
      <c r="A133" s="165" t="s">
        <v>259</v>
      </c>
      <c r="B133" s="165" t="s">
        <v>209</v>
      </c>
      <c r="C133" s="165" t="s">
        <v>206</v>
      </c>
      <c r="D133" s="165" t="s">
        <v>210</v>
      </c>
      <c r="E133" s="165" t="s">
        <v>220</v>
      </c>
      <c r="F133" s="165"/>
      <c r="G133" s="165"/>
      <c r="H133" s="165"/>
      <c r="I133" s="165" t="s">
        <v>259</v>
      </c>
      <c r="J133" s="165" t="s">
        <v>209</v>
      </c>
      <c r="K133" s="165" t="s">
        <v>206</v>
      </c>
      <c r="L133" s="165" t="s">
        <v>210</v>
      </c>
      <c r="M133" s="165">
        <v>34.9</v>
      </c>
      <c r="N133" s="165"/>
      <c r="O133" s="165"/>
    </row>
    <row r="134" spans="1:15" x14ac:dyDescent="0.25">
      <c r="A134" s="165" t="s">
        <v>260</v>
      </c>
      <c r="B134" s="165" t="s">
        <v>209</v>
      </c>
      <c r="C134" s="165" t="s">
        <v>206</v>
      </c>
      <c r="D134" s="165" t="s">
        <v>210</v>
      </c>
      <c r="E134" s="165" t="s">
        <v>220</v>
      </c>
      <c r="F134" s="165">
        <f>AVERAGE(E135:E145)</f>
        <v>10.653333333333334</v>
      </c>
      <c r="G134" s="165">
        <f>STDEV(E135:E145)</f>
        <v>2.1169868524233495</v>
      </c>
      <c r="H134" s="165"/>
      <c r="I134" s="165" t="s">
        <v>260</v>
      </c>
      <c r="J134" s="165" t="s">
        <v>209</v>
      </c>
      <c r="K134" s="165" t="s">
        <v>206</v>
      </c>
      <c r="L134" s="165" t="s">
        <v>210</v>
      </c>
      <c r="M134" s="165">
        <v>35.67</v>
      </c>
      <c r="N134" s="165">
        <f>AVERAGE(M135:M145)</f>
        <v>36.444000000000003</v>
      </c>
      <c r="O134" s="165">
        <f>STDEV(M135:M145)</f>
        <v>0.85575437805222743</v>
      </c>
    </row>
    <row r="135" spans="1:15" x14ac:dyDescent="0.25">
      <c r="A135" s="165" t="s">
        <v>261</v>
      </c>
      <c r="B135" s="165" t="s">
        <v>209</v>
      </c>
      <c r="C135" s="165" t="s">
        <v>206</v>
      </c>
      <c r="D135" s="165" t="s">
        <v>210</v>
      </c>
      <c r="E135" s="165" t="s">
        <v>220</v>
      </c>
      <c r="F135" s="165"/>
      <c r="G135" s="165"/>
      <c r="H135" s="165"/>
      <c r="I135" s="165" t="s">
        <v>261</v>
      </c>
      <c r="J135" s="165" t="s">
        <v>209</v>
      </c>
      <c r="K135" s="165" t="s">
        <v>206</v>
      </c>
      <c r="L135" s="165" t="s">
        <v>210</v>
      </c>
      <c r="M135" s="165">
        <v>36.78</v>
      </c>
      <c r="N135" s="165"/>
      <c r="O135" s="165"/>
    </row>
    <row r="136" spans="1:15" x14ac:dyDescent="0.25">
      <c r="A136" s="165" t="s">
        <v>262</v>
      </c>
      <c r="B136" s="165" t="s">
        <v>209</v>
      </c>
      <c r="C136" s="165" t="s">
        <v>206</v>
      </c>
      <c r="D136" s="165" t="s">
        <v>210</v>
      </c>
      <c r="E136" s="165">
        <v>8.2100000000000009</v>
      </c>
      <c r="F136" s="165"/>
      <c r="G136" s="165"/>
      <c r="H136" s="165"/>
      <c r="I136" s="165" t="s">
        <v>262</v>
      </c>
      <c r="J136" s="165" t="s">
        <v>209</v>
      </c>
      <c r="K136" s="165" t="s">
        <v>206</v>
      </c>
      <c r="L136" s="165" t="s">
        <v>210</v>
      </c>
      <c r="M136" s="165">
        <v>36.33</v>
      </c>
      <c r="N136" s="165"/>
      <c r="O136" s="165"/>
    </row>
    <row r="137" spans="1:15" x14ac:dyDescent="0.25">
      <c r="A137" s="165" t="s">
        <v>263</v>
      </c>
      <c r="B137" s="165" t="s">
        <v>209</v>
      </c>
      <c r="C137" s="165" t="s">
        <v>206</v>
      </c>
      <c r="D137" s="165" t="s">
        <v>210</v>
      </c>
      <c r="E137" s="165" t="s">
        <v>220</v>
      </c>
      <c r="F137" s="165"/>
      <c r="G137" s="165"/>
      <c r="H137" s="165"/>
      <c r="I137" s="165" t="s">
        <v>263</v>
      </c>
      <c r="J137" s="165" t="s">
        <v>209</v>
      </c>
      <c r="K137" s="165" t="s">
        <v>206</v>
      </c>
      <c r="L137" s="165" t="s">
        <v>210</v>
      </c>
      <c r="M137" s="165">
        <v>37.19</v>
      </c>
      <c r="N137" s="165"/>
      <c r="O137" s="165"/>
    </row>
    <row r="138" spans="1:15" x14ac:dyDescent="0.25">
      <c r="A138" s="165" t="s">
        <v>264</v>
      </c>
      <c r="B138" s="165" t="s">
        <v>209</v>
      </c>
      <c r="C138" s="165" t="s">
        <v>206</v>
      </c>
      <c r="D138" s="165" t="s">
        <v>210</v>
      </c>
      <c r="E138" s="165" t="s">
        <v>220</v>
      </c>
      <c r="F138" s="165"/>
      <c r="G138" s="165"/>
      <c r="H138" s="165"/>
      <c r="I138" s="165" t="s">
        <v>264</v>
      </c>
      <c r="J138" s="165" t="s">
        <v>209</v>
      </c>
      <c r="K138" s="165" t="s">
        <v>206</v>
      </c>
      <c r="L138" s="165" t="s">
        <v>210</v>
      </c>
      <c r="M138" s="165" t="s">
        <v>220</v>
      </c>
      <c r="N138" s="165"/>
      <c r="O138" s="165"/>
    </row>
    <row r="139" spans="1:15" x14ac:dyDescent="0.25">
      <c r="A139" s="165" t="s">
        <v>265</v>
      </c>
      <c r="B139" s="165" t="s">
        <v>209</v>
      </c>
      <c r="C139" s="165" t="s">
        <v>206</v>
      </c>
      <c r="D139" s="165" t="s">
        <v>210</v>
      </c>
      <c r="E139" s="165">
        <v>11.81</v>
      </c>
      <c r="F139" s="165"/>
      <c r="G139" s="165"/>
      <c r="H139" s="165"/>
      <c r="I139" s="165" t="s">
        <v>265</v>
      </c>
      <c r="J139" s="165" t="s">
        <v>209</v>
      </c>
      <c r="K139" s="165" t="s">
        <v>206</v>
      </c>
      <c r="L139" s="165" t="s">
        <v>210</v>
      </c>
      <c r="M139" s="165">
        <v>38.4</v>
      </c>
      <c r="N139" s="165"/>
      <c r="O139" s="165"/>
    </row>
    <row r="140" spans="1:15" x14ac:dyDescent="0.25">
      <c r="A140" s="165" t="s">
        <v>266</v>
      </c>
      <c r="B140" s="165" t="s">
        <v>209</v>
      </c>
      <c r="C140" s="165" t="s">
        <v>206</v>
      </c>
      <c r="D140" s="165" t="s">
        <v>210</v>
      </c>
      <c r="E140" s="165">
        <v>11.94</v>
      </c>
      <c r="F140" s="165"/>
      <c r="G140" s="165"/>
      <c r="H140" s="165"/>
      <c r="I140" s="165" t="s">
        <v>266</v>
      </c>
      <c r="J140" s="165" t="s">
        <v>209</v>
      </c>
      <c r="K140" s="165" t="s">
        <v>206</v>
      </c>
      <c r="L140" s="165" t="s">
        <v>210</v>
      </c>
      <c r="M140" s="165">
        <v>35.729999999999997</v>
      </c>
      <c r="N140" s="165"/>
      <c r="O140" s="165"/>
    </row>
    <row r="141" spans="1:15" x14ac:dyDescent="0.25">
      <c r="A141" s="165" t="s">
        <v>267</v>
      </c>
      <c r="B141" s="165" t="s">
        <v>209</v>
      </c>
      <c r="C141" s="165" t="s">
        <v>206</v>
      </c>
      <c r="D141" s="165" t="s">
        <v>210</v>
      </c>
      <c r="E141" s="165" t="s">
        <v>220</v>
      </c>
      <c r="F141" s="165"/>
      <c r="G141" s="165"/>
      <c r="H141" s="165"/>
      <c r="I141" s="165" t="s">
        <v>267</v>
      </c>
      <c r="J141" s="165" t="s">
        <v>209</v>
      </c>
      <c r="K141" s="165" t="s">
        <v>206</v>
      </c>
      <c r="L141" s="165" t="s">
        <v>210</v>
      </c>
      <c r="M141" s="165">
        <v>36.35</v>
      </c>
      <c r="N141" s="165"/>
      <c r="O141" s="165"/>
    </row>
    <row r="142" spans="1:15" x14ac:dyDescent="0.25">
      <c r="A142" s="165" t="s">
        <v>268</v>
      </c>
      <c r="B142" s="165" t="s">
        <v>209</v>
      </c>
      <c r="C142" s="165" t="s">
        <v>206</v>
      </c>
      <c r="D142" s="165" t="s">
        <v>210</v>
      </c>
      <c r="E142" s="165" t="s">
        <v>220</v>
      </c>
      <c r="F142" s="165"/>
      <c r="G142" s="165"/>
      <c r="H142" s="165"/>
      <c r="I142" s="165" t="s">
        <v>268</v>
      </c>
      <c r="J142" s="165" t="s">
        <v>209</v>
      </c>
      <c r="K142" s="165" t="s">
        <v>206</v>
      </c>
      <c r="L142" s="165" t="s">
        <v>210</v>
      </c>
      <c r="M142" s="165">
        <v>35.42</v>
      </c>
      <c r="N142" s="165"/>
      <c r="O142" s="165"/>
    </row>
    <row r="143" spans="1:15" x14ac:dyDescent="0.25">
      <c r="A143" s="165" t="s">
        <v>270</v>
      </c>
      <c r="B143" s="165" t="s">
        <v>209</v>
      </c>
      <c r="C143" s="165" t="s">
        <v>206</v>
      </c>
      <c r="D143" s="165" t="s">
        <v>210</v>
      </c>
      <c r="E143" s="165" t="s">
        <v>220</v>
      </c>
      <c r="F143" s="165"/>
      <c r="G143" s="165"/>
      <c r="H143" s="165"/>
      <c r="I143" s="165" t="s">
        <v>270</v>
      </c>
      <c r="J143" s="165" t="s">
        <v>209</v>
      </c>
      <c r="K143" s="165" t="s">
        <v>206</v>
      </c>
      <c r="L143" s="165" t="s">
        <v>210</v>
      </c>
      <c r="M143" s="165">
        <v>36.28</v>
      </c>
      <c r="N143" s="165"/>
      <c r="O143" s="165"/>
    </row>
    <row r="144" spans="1:15" x14ac:dyDescent="0.25">
      <c r="A144" s="165" t="s">
        <v>272</v>
      </c>
      <c r="B144" s="165" t="s">
        <v>209</v>
      </c>
      <c r="C144" s="165" t="s">
        <v>206</v>
      </c>
      <c r="D144" s="165" t="s">
        <v>210</v>
      </c>
      <c r="E144" s="165" t="s">
        <v>220</v>
      </c>
      <c r="F144" s="165"/>
      <c r="G144" s="165"/>
      <c r="H144" s="165"/>
      <c r="I144" s="165" t="s">
        <v>272</v>
      </c>
      <c r="J144" s="165" t="s">
        <v>209</v>
      </c>
      <c r="K144" s="165" t="s">
        <v>206</v>
      </c>
      <c r="L144" s="165" t="s">
        <v>210</v>
      </c>
      <c r="M144" s="165">
        <v>35.81</v>
      </c>
      <c r="N144" s="165"/>
      <c r="O144" s="165"/>
    </row>
    <row r="145" spans="1:15" x14ac:dyDescent="0.25">
      <c r="A145" s="165" t="s">
        <v>273</v>
      </c>
      <c r="B145" s="165" t="s">
        <v>209</v>
      </c>
      <c r="C145" s="165" t="s">
        <v>206</v>
      </c>
      <c r="D145" s="165" t="s">
        <v>210</v>
      </c>
      <c r="E145" s="165" t="s">
        <v>220</v>
      </c>
      <c r="F145" s="165"/>
      <c r="G145" s="165"/>
      <c r="H145" s="165"/>
      <c r="I145" s="165" t="s">
        <v>273</v>
      </c>
      <c r="J145" s="165" t="s">
        <v>209</v>
      </c>
      <c r="K145" s="165" t="s">
        <v>206</v>
      </c>
      <c r="L145" s="165" t="s">
        <v>210</v>
      </c>
      <c r="M145" s="165">
        <v>36.15</v>
      </c>
      <c r="N145" s="165"/>
      <c r="O145" s="165"/>
    </row>
    <row r="146" spans="1:15" x14ac:dyDescent="0.25">
      <c r="A146" s="165" t="s">
        <v>274</v>
      </c>
      <c r="B146" s="165" t="s">
        <v>209</v>
      </c>
      <c r="C146" s="165" t="s">
        <v>206</v>
      </c>
      <c r="D146" s="165" t="s">
        <v>210</v>
      </c>
      <c r="E146" s="165" t="s">
        <v>220</v>
      </c>
      <c r="F146" s="165">
        <f>AVERAGE(E147:E157)</f>
        <v>12.63</v>
      </c>
      <c r="G146" s="165" t="e">
        <f>STDEV(E147:E157)</f>
        <v>#DIV/0!</v>
      </c>
      <c r="H146" s="165"/>
      <c r="I146" s="165" t="s">
        <v>274</v>
      </c>
      <c r="J146" s="165" t="s">
        <v>209</v>
      </c>
      <c r="K146" s="165" t="s">
        <v>206</v>
      </c>
      <c r="L146" s="165" t="s">
        <v>210</v>
      </c>
      <c r="M146" s="165">
        <v>34.380000000000003</v>
      </c>
      <c r="N146" s="165">
        <f>AVERAGE(M147:M157)</f>
        <v>35.851818181818182</v>
      </c>
      <c r="O146" s="165">
        <f>STDEV(M147:M157)</f>
        <v>0.82064387138171113</v>
      </c>
    </row>
    <row r="147" spans="1:15" x14ac:dyDescent="0.25">
      <c r="A147" s="165" t="s">
        <v>275</v>
      </c>
      <c r="B147" s="165" t="s">
        <v>209</v>
      </c>
      <c r="C147" s="165" t="s">
        <v>206</v>
      </c>
      <c r="D147" s="165" t="s">
        <v>210</v>
      </c>
      <c r="E147" s="165" t="s">
        <v>220</v>
      </c>
      <c r="F147" s="165"/>
      <c r="G147" s="165"/>
      <c r="H147" s="165"/>
      <c r="I147" s="165" t="s">
        <v>275</v>
      </c>
      <c r="J147" s="165" t="s">
        <v>209</v>
      </c>
      <c r="K147" s="165" t="s">
        <v>206</v>
      </c>
      <c r="L147" s="165" t="s">
        <v>210</v>
      </c>
      <c r="M147" s="165">
        <v>35.119999999999997</v>
      </c>
      <c r="N147" s="165"/>
      <c r="O147" s="165"/>
    </row>
    <row r="148" spans="1:15" x14ac:dyDescent="0.25">
      <c r="A148" s="165" t="s">
        <v>276</v>
      </c>
      <c r="B148" s="165" t="s">
        <v>209</v>
      </c>
      <c r="C148" s="165" t="s">
        <v>206</v>
      </c>
      <c r="D148" s="165" t="s">
        <v>210</v>
      </c>
      <c r="E148" s="165" t="s">
        <v>220</v>
      </c>
      <c r="F148" s="165"/>
      <c r="G148" s="165"/>
      <c r="H148" s="165"/>
      <c r="I148" s="165" t="s">
        <v>276</v>
      </c>
      <c r="J148" s="165" t="s">
        <v>209</v>
      </c>
      <c r="K148" s="165" t="s">
        <v>206</v>
      </c>
      <c r="L148" s="165" t="s">
        <v>210</v>
      </c>
      <c r="M148" s="165">
        <v>35.75</v>
      </c>
      <c r="N148" s="165"/>
      <c r="O148" s="165"/>
    </row>
    <row r="149" spans="1:15" x14ac:dyDescent="0.25">
      <c r="A149" s="165" t="s">
        <v>277</v>
      </c>
      <c r="B149" s="165" t="s">
        <v>209</v>
      </c>
      <c r="C149" s="165" t="s">
        <v>206</v>
      </c>
      <c r="D149" s="165" t="s">
        <v>210</v>
      </c>
      <c r="E149" s="165" t="s">
        <v>220</v>
      </c>
      <c r="F149" s="165"/>
      <c r="G149" s="165"/>
      <c r="H149" s="165"/>
      <c r="I149" s="165" t="s">
        <v>277</v>
      </c>
      <c r="J149" s="165" t="s">
        <v>209</v>
      </c>
      <c r="K149" s="165" t="s">
        <v>206</v>
      </c>
      <c r="L149" s="165" t="s">
        <v>210</v>
      </c>
      <c r="M149" s="165">
        <v>35.89</v>
      </c>
      <c r="N149" s="165"/>
      <c r="O149" s="165"/>
    </row>
    <row r="150" spans="1:15" x14ac:dyDescent="0.25">
      <c r="A150" s="165" t="s">
        <v>278</v>
      </c>
      <c r="B150" s="165" t="s">
        <v>209</v>
      </c>
      <c r="C150" s="165" t="s">
        <v>206</v>
      </c>
      <c r="D150" s="165" t="s">
        <v>210</v>
      </c>
      <c r="E150" s="165" t="s">
        <v>220</v>
      </c>
      <c r="F150" s="165"/>
      <c r="G150" s="165"/>
      <c r="H150" s="165"/>
      <c r="I150" s="165" t="s">
        <v>278</v>
      </c>
      <c r="J150" s="165" t="s">
        <v>209</v>
      </c>
      <c r="K150" s="165" t="s">
        <v>206</v>
      </c>
      <c r="L150" s="165" t="s">
        <v>210</v>
      </c>
      <c r="M150" s="165">
        <v>35.79</v>
      </c>
      <c r="N150" s="165"/>
      <c r="O150" s="165"/>
    </row>
    <row r="151" spans="1:15" x14ac:dyDescent="0.25">
      <c r="A151" s="165" t="s">
        <v>279</v>
      </c>
      <c r="B151" s="165" t="s">
        <v>209</v>
      </c>
      <c r="C151" s="165" t="s">
        <v>206</v>
      </c>
      <c r="D151" s="165" t="s">
        <v>210</v>
      </c>
      <c r="E151" s="165" t="s">
        <v>220</v>
      </c>
      <c r="F151" s="165"/>
      <c r="G151" s="165"/>
      <c r="H151" s="165"/>
      <c r="I151" s="165" t="s">
        <v>279</v>
      </c>
      <c r="J151" s="165" t="s">
        <v>209</v>
      </c>
      <c r="K151" s="165" t="s">
        <v>206</v>
      </c>
      <c r="L151" s="165" t="s">
        <v>210</v>
      </c>
      <c r="M151" s="165">
        <v>37.229999999999997</v>
      </c>
      <c r="N151" s="165"/>
      <c r="O151" s="165"/>
    </row>
    <row r="152" spans="1:15" x14ac:dyDescent="0.25">
      <c r="A152" s="165" t="s">
        <v>280</v>
      </c>
      <c r="B152" s="165" t="s">
        <v>209</v>
      </c>
      <c r="C152" s="165" t="s">
        <v>206</v>
      </c>
      <c r="D152" s="165" t="s">
        <v>210</v>
      </c>
      <c r="E152" s="165">
        <v>12.63</v>
      </c>
      <c r="F152" s="165"/>
      <c r="G152" s="165"/>
      <c r="H152" s="165"/>
      <c r="I152" s="165" t="s">
        <v>280</v>
      </c>
      <c r="J152" s="165" t="s">
        <v>209</v>
      </c>
      <c r="K152" s="165" t="s">
        <v>206</v>
      </c>
      <c r="L152" s="165" t="s">
        <v>210</v>
      </c>
      <c r="M152" s="165">
        <v>36.28</v>
      </c>
      <c r="N152" s="165"/>
      <c r="O152" s="165"/>
    </row>
    <row r="153" spans="1:15" x14ac:dyDescent="0.25">
      <c r="A153" s="165" t="s">
        <v>281</v>
      </c>
      <c r="B153" s="165" t="s">
        <v>209</v>
      </c>
      <c r="C153" s="165" t="s">
        <v>206</v>
      </c>
      <c r="D153" s="165" t="s">
        <v>210</v>
      </c>
      <c r="E153" s="165" t="s">
        <v>220</v>
      </c>
      <c r="F153" s="165"/>
      <c r="G153" s="165"/>
      <c r="H153" s="165"/>
      <c r="I153" s="165" t="s">
        <v>281</v>
      </c>
      <c r="J153" s="165" t="s">
        <v>209</v>
      </c>
      <c r="K153" s="165" t="s">
        <v>206</v>
      </c>
      <c r="L153" s="165" t="s">
        <v>210</v>
      </c>
      <c r="M153" s="165">
        <v>35.14</v>
      </c>
      <c r="N153" s="165"/>
      <c r="O153" s="165"/>
    </row>
    <row r="154" spans="1:15" x14ac:dyDescent="0.25">
      <c r="A154" s="165" t="s">
        <v>282</v>
      </c>
      <c r="B154" s="165" t="s">
        <v>209</v>
      </c>
      <c r="C154" s="165" t="s">
        <v>206</v>
      </c>
      <c r="D154" s="165" t="s">
        <v>210</v>
      </c>
      <c r="E154" s="165" t="s">
        <v>220</v>
      </c>
      <c r="F154" s="165"/>
      <c r="G154" s="165"/>
      <c r="H154" s="165"/>
      <c r="I154" s="165" t="s">
        <v>282</v>
      </c>
      <c r="J154" s="165" t="s">
        <v>209</v>
      </c>
      <c r="K154" s="165" t="s">
        <v>206</v>
      </c>
      <c r="L154" s="165" t="s">
        <v>210</v>
      </c>
      <c r="M154" s="165">
        <v>35.619999999999997</v>
      </c>
      <c r="N154" s="165"/>
      <c r="O154" s="165"/>
    </row>
    <row r="155" spans="1:15" x14ac:dyDescent="0.25">
      <c r="A155" s="165" t="s">
        <v>283</v>
      </c>
      <c r="B155" s="165" t="s">
        <v>209</v>
      </c>
      <c r="C155" s="165" t="s">
        <v>206</v>
      </c>
      <c r="D155" s="165" t="s">
        <v>210</v>
      </c>
      <c r="E155" s="165" t="s">
        <v>220</v>
      </c>
      <c r="F155" s="165"/>
      <c r="G155" s="165"/>
      <c r="H155" s="165"/>
      <c r="I155" s="165" t="s">
        <v>283</v>
      </c>
      <c r="J155" s="165" t="s">
        <v>209</v>
      </c>
      <c r="K155" s="165" t="s">
        <v>206</v>
      </c>
      <c r="L155" s="165" t="s">
        <v>210</v>
      </c>
      <c r="M155" s="165">
        <v>37.36</v>
      </c>
      <c r="N155" s="165"/>
      <c r="O155" s="165"/>
    </row>
    <row r="156" spans="1:15" x14ac:dyDescent="0.25">
      <c r="A156" s="165" t="s">
        <v>284</v>
      </c>
      <c r="B156" s="165" t="s">
        <v>209</v>
      </c>
      <c r="C156" s="165" t="s">
        <v>206</v>
      </c>
      <c r="D156" s="165" t="s">
        <v>210</v>
      </c>
      <c r="E156" s="165" t="s">
        <v>220</v>
      </c>
      <c r="F156" s="165"/>
      <c r="G156" s="165"/>
      <c r="H156" s="165"/>
      <c r="I156" s="165" t="s">
        <v>284</v>
      </c>
      <c r="J156" s="165" t="s">
        <v>209</v>
      </c>
      <c r="K156" s="165" t="s">
        <v>206</v>
      </c>
      <c r="L156" s="165" t="s">
        <v>210</v>
      </c>
      <c r="M156" s="165">
        <v>35.340000000000003</v>
      </c>
      <c r="N156" s="165"/>
      <c r="O156" s="165"/>
    </row>
    <row r="157" spans="1:15" x14ac:dyDescent="0.25">
      <c r="A157" s="165" t="s">
        <v>285</v>
      </c>
      <c r="B157" s="165" t="s">
        <v>209</v>
      </c>
      <c r="C157" s="165" t="s">
        <v>206</v>
      </c>
      <c r="D157" s="165" t="s">
        <v>210</v>
      </c>
      <c r="E157" s="165" t="s">
        <v>220</v>
      </c>
      <c r="F157" s="165"/>
      <c r="G157" s="165"/>
      <c r="H157" s="165"/>
      <c r="I157" s="165" t="s">
        <v>285</v>
      </c>
      <c r="J157" s="165" t="s">
        <v>209</v>
      </c>
      <c r="K157" s="165" t="s">
        <v>206</v>
      </c>
      <c r="L157" s="165" t="s">
        <v>210</v>
      </c>
      <c r="M157" s="165">
        <v>34.85</v>
      </c>
      <c r="N157" s="165"/>
      <c r="O157" s="165"/>
    </row>
    <row r="158" spans="1:15" x14ac:dyDescent="0.25">
      <c r="A158" s="165" t="s">
        <v>286</v>
      </c>
      <c r="B158" s="165" t="s">
        <v>209</v>
      </c>
      <c r="C158" s="165" t="s">
        <v>206</v>
      </c>
      <c r="D158" s="165" t="s">
        <v>210</v>
      </c>
      <c r="E158" s="165" t="s">
        <v>220</v>
      </c>
      <c r="F158" s="165" t="e">
        <f>AVERAGE(E159:E169)</f>
        <v>#DIV/0!</v>
      </c>
      <c r="G158" s="165" t="e">
        <f>STDEV(E159:E169)</f>
        <v>#DIV/0!</v>
      </c>
      <c r="H158" s="165"/>
      <c r="I158" s="165" t="s">
        <v>286</v>
      </c>
      <c r="J158" s="165" t="s">
        <v>209</v>
      </c>
      <c r="K158" s="165" t="s">
        <v>206</v>
      </c>
      <c r="L158" s="165" t="s">
        <v>210</v>
      </c>
      <c r="M158" s="165">
        <v>37.770000000000003</v>
      </c>
      <c r="N158" s="165">
        <f>AVERAGE(M159:M169)</f>
        <v>37.262</v>
      </c>
      <c r="O158" s="165">
        <f>STDEV(M159:M169)</f>
        <v>0.99572196029927107</v>
      </c>
    </row>
    <row r="159" spans="1:15" x14ac:dyDescent="0.25">
      <c r="A159" s="165" t="s">
        <v>287</v>
      </c>
      <c r="B159" s="165" t="s">
        <v>209</v>
      </c>
      <c r="C159" s="165" t="s">
        <v>206</v>
      </c>
      <c r="D159" s="165" t="s">
        <v>210</v>
      </c>
      <c r="E159" s="165" t="s">
        <v>220</v>
      </c>
      <c r="F159" s="165"/>
      <c r="G159" s="165"/>
      <c r="H159" s="165"/>
      <c r="I159" s="165" t="s">
        <v>287</v>
      </c>
      <c r="J159" s="165" t="s">
        <v>209</v>
      </c>
      <c r="K159" s="165" t="s">
        <v>206</v>
      </c>
      <c r="L159" s="165" t="s">
        <v>210</v>
      </c>
      <c r="M159" s="165">
        <v>37.65</v>
      </c>
      <c r="N159" s="165"/>
      <c r="O159" s="165"/>
    </row>
    <row r="160" spans="1:15" x14ac:dyDescent="0.25">
      <c r="A160" s="165" t="s">
        <v>288</v>
      </c>
      <c r="B160" s="165" t="s">
        <v>209</v>
      </c>
      <c r="C160" s="165" t="s">
        <v>206</v>
      </c>
      <c r="D160" s="165" t="s">
        <v>210</v>
      </c>
      <c r="E160" s="165" t="s">
        <v>220</v>
      </c>
      <c r="F160" s="165"/>
      <c r="G160" s="165"/>
      <c r="H160" s="165"/>
      <c r="I160" s="165" t="s">
        <v>288</v>
      </c>
      <c r="J160" s="165" t="s">
        <v>209</v>
      </c>
      <c r="K160" s="165" t="s">
        <v>206</v>
      </c>
      <c r="L160" s="165" t="s">
        <v>210</v>
      </c>
      <c r="M160" s="165">
        <v>37.520000000000003</v>
      </c>
      <c r="N160" s="165"/>
      <c r="O160" s="165"/>
    </row>
    <row r="161" spans="1:13" x14ac:dyDescent="0.25">
      <c r="A161" s="165" t="s">
        <v>289</v>
      </c>
      <c r="B161" s="165" t="s">
        <v>209</v>
      </c>
      <c r="C161" s="165" t="s">
        <v>206</v>
      </c>
      <c r="D161" s="165" t="s">
        <v>210</v>
      </c>
      <c r="E161" s="165" t="s">
        <v>220</v>
      </c>
      <c r="F161" s="165"/>
      <c r="G161" s="165"/>
      <c r="H161" s="165"/>
      <c r="I161" s="165" t="s">
        <v>289</v>
      </c>
      <c r="J161" s="165" t="s">
        <v>209</v>
      </c>
      <c r="K161" s="165" t="s">
        <v>206</v>
      </c>
      <c r="L161" s="165" t="s">
        <v>210</v>
      </c>
      <c r="M161" s="165">
        <v>36.35</v>
      </c>
    </row>
    <row r="162" spans="1:13" x14ac:dyDescent="0.25">
      <c r="A162" s="165" t="s">
        <v>290</v>
      </c>
      <c r="B162" s="165" t="s">
        <v>209</v>
      </c>
      <c r="C162" s="165" t="s">
        <v>206</v>
      </c>
      <c r="D162" s="165" t="s">
        <v>210</v>
      </c>
      <c r="E162" s="165" t="s">
        <v>220</v>
      </c>
      <c r="F162" s="165"/>
      <c r="G162" s="165"/>
      <c r="H162" s="165"/>
      <c r="I162" s="165" t="s">
        <v>290</v>
      </c>
      <c r="J162" s="165" t="s">
        <v>209</v>
      </c>
      <c r="K162" s="165" t="s">
        <v>206</v>
      </c>
      <c r="L162" s="165" t="s">
        <v>210</v>
      </c>
      <c r="M162" s="165">
        <v>38.630000000000003</v>
      </c>
    </row>
    <row r="163" spans="1:13" x14ac:dyDescent="0.25">
      <c r="A163" s="165" t="s">
        <v>291</v>
      </c>
      <c r="B163" s="165" t="s">
        <v>209</v>
      </c>
      <c r="C163" s="165" t="s">
        <v>206</v>
      </c>
      <c r="D163" s="165" t="s">
        <v>210</v>
      </c>
      <c r="E163" s="165" t="s">
        <v>220</v>
      </c>
      <c r="F163" s="165"/>
      <c r="G163" s="165"/>
      <c r="H163" s="165"/>
      <c r="I163" s="165" t="s">
        <v>291</v>
      </c>
      <c r="J163" s="165" t="s">
        <v>209</v>
      </c>
      <c r="K163" s="165" t="s">
        <v>206</v>
      </c>
      <c r="L163" s="165" t="s">
        <v>210</v>
      </c>
      <c r="M163" s="165">
        <v>35.57</v>
      </c>
    </row>
    <row r="164" spans="1:13" x14ac:dyDescent="0.25">
      <c r="A164" s="165" t="s">
        <v>292</v>
      </c>
      <c r="B164" s="165" t="s">
        <v>209</v>
      </c>
      <c r="C164" s="165" t="s">
        <v>206</v>
      </c>
      <c r="D164" s="165" t="s">
        <v>210</v>
      </c>
      <c r="E164" s="165" t="s">
        <v>220</v>
      </c>
      <c r="F164" s="165"/>
      <c r="G164" s="165"/>
      <c r="H164" s="165"/>
      <c r="I164" s="165" t="s">
        <v>292</v>
      </c>
      <c r="J164" s="165" t="s">
        <v>209</v>
      </c>
      <c r="K164" s="165" t="s">
        <v>206</v>
      </c>
      <c r="L164" s="165" t="s">
        <v>210</v>
      </c>
      <c r="M164" s="165">
        <v>37.68</v>
      </c>
    </row>
    <row r="165" spans="1:13" x14ac:dyDescent="0.25">
      <c r="A165" s="165" t="s">
        <v>293</v>
      </c>
      <c r="B165" s="165" t="s">
        <v>209</v>
      </c>
      <c r="C165" s="165" t="s">
        <v>206</v>
      </c>
      <c r="D165" s="165" t="s">
        <v>210</v>
      </c>
      <c r="E165" s="165" t="s">
        <v>220</v>
      </c>
      <c r="F165" s="165"/>
      <c r="G165" s="165"/>
      <c r="H165" s="165"/>
      <c r="I165" s="165" t="s">
        <v>293</v>
      </c>
      <c r="J165" s="165" t="s">
        <v>209</v>
      </c>
      <c r="K165" s="165" t="s">
        <v>206</v>
      </c>
      <c r="L165" s="165" t="s">
        <v>210</v>
      </c>
      <c r="M165" s="165">
        <v>36.6</v>
      </c>
    </row>
    <row r="166" spans="1:13" x14ac:dyDescent="0.25">
      <c r="A166" s="165" t="s">
        <v>294</v>
      </c>
      <c r="B166" s="165" t="s">
        <v>209</v>
      </c>
      <c r="C166" s="165" t="s">
        <v>206</v>
      </c>
      <c r="D166" s="165" t="s">
        <v>210</v>
      </c>
      <c r="E166" s="165" t="s">
        <v>220</v>
      </c>
      <c r="F166" s="165"/>
      <c r="G166" s="165"/>
      <c r="H166" s="165"/>
      <c r="I166" s="165" t="s">
        <v>294</v>
      </c>
      <c r="J166" s="165" t="s">
        <v>209</v>
      </c>
      <c r="K166" s="165" t="s">
        <v>206</v>
      </c>
      <c r="L166" s="165" t="s">
        <v>210</v>
      </c>
      <c r="M166" s="165">
        <v>37.200000000000003</v>
      </c>
    </row>
    <row r="167" spans="1:13" x14ac:dyDescent="0.25">
      <c r="A167" s="165" t="s">
        <v>295</v>
      </c>
      <c r="B167" s="165" t="s">
        <v>209</v>
      </c>
      <c r="C167" s="165" t="s">
        <v>206</v>
      </c>
      <c r="D167" s="165" t="s">
        <v>210</v>
      </c>
      <c r="E167" s="165" t="s">
        <v>220</v>
      </c>
      <c r="F167" s="165"/>
      <c r="G167" s="165"/>
      <c r="H167" s="165"/>
      <c r="I167" s="165" t="s">
        <v>295</v>
      </c>
      <c r="J167" s="165" t="s">
        <v>209</v>
      </c>
      <c r="K167" s="165" t="s">
        <v>206</v>
      </c>
      <c r="L167" s="165" t="s">
        <v>210</v>
      </c>
      <c r="M167" s="165" t="s">
        <v>220</v>
      </c>
    </row>
    <row r="168" spans="1:13" x14ac:dyDescent="0.25">
      <c r="A168" s="165" t="s">
        <v>296</v>
      </c>
      <c r="B168" s="165" t="s">
        <v>209</v>
      </c>
      <c r="C168" s="165" t="s">
        <v>206</v>
      </c>
      <c r="D168" s="165" t="s">
        <v>210</v>
      </c>
      <c r="E168" s="165" t="s">
        <v>220</v>
      </c>
      <c r="F168" s="165"/>
      <c r="G168" s="165"/>
      <c r="H168" s="165"/>
      <c r="I168" s="165" t="s">
        <v>296</v>
      </c>
      <c r="J168" s="165" t="s">
        <v>209</v>
      </c>
      <c r="K168" s="165" t="s">
        <v>206</v>
      </c>
      <c r="L168" s="165" t="s">
        <v>210</v>
      </c>
      <c r="M168" s="165">
        <v>38.74</v>
      </c>
    </row>
    <row r="169" spans="1:13" x14ac:dyDescent="0.25">
      <c r="A169" s="165" t="s">
        <v>297</v>
      </c>
      <c r="B169" s="165" t="s">
        <v>209</v>
      </c>
      <c r="C169" s="165" t="s">
        <v>206</v>
      </c>
      <c r="D169" s="165" t="s">
        <v>210</v>
      </c>
      <c r="E169" s="165" t="s">
        <v>220</v>
      </c>
      <c r="F169" s="165"/>
      <c r="G169" s="165"/>
      <c r="H169" s="165"/>
      <c r="I169" s="165" t="s">
        <v>297</v>
      </c>
      <c r="J169" s="165" t="s">
        <v>209</v>
      </c>
      <c r="K169" s="165" t="s">
        <v>206</v>
      </c>
      <c r="L169" s="165" t="s">
        <v>210</v>
      </c>
      <c r="M169" s="165">
        <v>36.68</v>
      </c>
    </row>
    <row r="170" spans="1:13" x14ac:dyDescent="0.25">
      <c r="A170" s="165" t="s">
        <v>298</v>
      </c>
      <c r="B170" s="165" t="s">
        <v>209</v>
      </c>
      <c r="C170" s="165" t="s">
        <v>206</v>
      </c>
      <c r="D170" s="165" t="s">
        <v>210</v>
      </c>
      <c r="E170" s="165" t="s">
        <v>220</v>
      </c>
      <c r="F170" s="165"/>
      <c r="G170" s="165"/>
      <c r="H170" s="165"/>
      <c r="I170" s="165" t="s">
        <v>298</v>
      </c>
      <c r="J170" s="165" t="s">
        <v>209</v>
      </c>
      <c r="K170" s="165" t="s">
        <v>206</v>
      </c>
      <c r="L170" s="165" t="s">
        <v>210</v>
      </c>
      <c r="M170" s="165">
        <v>38.880000000000003</v>
      </c>
    </row>
    <row r="171" spans="1:13" x14ac:dyDescent="0.25">
      <c r="A171" s="165" t="s">
        <v>299</v>
      </c>
      <c r="B171" s="165" t="s">
        <v>209</v>
      </c>
      <c r="C171" s="165" t="s">
        <v>206</v>
      </c>
      <c r="D171" s="165" t="s">
        <v>210</v>
      </c>
      <c r="E171" s="165" t="s">
        <v>220</v>
      </c>
      <c r="F171" s="165"/>
      <c r="G171" s="165"/>
      <c r="H171" s="165"/>
      <c r="I171" s="165" t="s">
        <v>299</v>
      </c>
      <c r="J171" s="165" t="s">
        <v>209</v>
      </c>
      <c r="K171" s="165" t="s">
        <v>206</v>
      </c>
      <c r="L171" s="165" t="s">
        <v>210</v>
      </c>
      <c r="M171" s="165">
        <v>39.71</v>
      </c>
    </row>
    <row r="172" spans="1:13" x14ac:dyDescent="0.25">
      <c r="A172" s="165" t="s">
        <v>300</v>
      </c>
      <c r="B172" s="165" t="s">
        <v>209</v>
      </c>
      <c r="C172" s="165" t="s">
        <v>206</v>
      </c>
      <c r="D172" s="165" t="s">
        <v>210</v>
      </c>
      <c r="E172" s="165" t="s">
        <v>220</v>
      </c>
      <c r="F172" s="165"/>
      <c r="G172" s="165"/>
      <c r="H172" s="165"/>
      <c r="I172" s="165" t="s">
        <v>300</v>
      </c>
      <c r="J172" s="165" t="s">
        <v>209</v>
      </c>
      <c r="K172" s="165" t="s">
        <v>206</v>
      </c>
      <c r="L172" s="165" t="s">
        <v>210</v>
      </c>
      <c r="M172" s="165">
        <v>38.04</v>
      </c>
    </row>
    <row r="173" spans="1:13" x14ac:dyDescent="0.25">
      <c r="A173" s="165" t="s">
        <v>301</v>
      </c>
      <c r="B173" s="165" t="s">
        <v>209</v>
      </c>
      <c r="C173" s="165" t="s">
        <v>206</v>
      </c>
      <c r="D173" s="165" t="s">
        <v>210</v>
      </c>
      <c r="E173" s="165">
        <v>13.23</v>
      </c>
      <c r="F173" s="165"/>
      <c r="G173" s="165"/>
      <c r="H173" s="165"/>
      <c r="I173" s="165" t="s">
        <v>301</v>
      </c>
      <c r="J173" s="165" t="s">
        <v>209</v>
      </c>
      <c r="K173" s="165" t="s">
        <v>206</v>
      </c>
      <c r="L173" s="165" t="s">
        <v>210</v>
      </c>
      <c r="M173" s="165">
        <v>35.659999999999997</v>
      </c>
    </row>
    <row r="174" spans="1:13" x14ac:dyDescent="0.25">
      <c r="A174" s="165" t="s">
        <v>302</v>
      </c>
      <c r="B174" s="165" t="s">
        <v>209</v>
      </c>
      <c r="C174" s="165" t="s">
        <v>206</v>
      </c>
      <c r="D174" s="165" t="s">
        <v>210</v>
      </c>
      <c r="E174" s="165" t="s">
        <v>220</v>
      </c>
      <c r="F174" s="165"/>
      <c r="G174" s="165"/>
      <c r="H174" s="165"/>
      <c r="I174" s="165" t="s">
        <v>302</v>
      </c>
      <c r="J174" s="165" t="s">
        <v>209</v>
      </c>
      <c r="K174" s="165" t="s">
        <v>206</v>
      </c>
      <c r="L174" s="165" t="s">
        <v>210</v>
      </c>
      <c r="M174" s="165">
        <v>37</v>
      </c>
    </row>
    <row r="175" spans="1:13" x14ac:dyDescent="0.25">
      <c r="A175" s="165" t="s">
        <v>303</v>
      </c>
      <c r="B175" s="165" t="s">
        <v>209</v>
      </c>
      <c r="C175" s="165" t="s">
        <v>206</v>
      </c>
      <c r="D175" s="165" t="s">
        <v>210</v>
      </c>
      <c r="E175" s="165" t="s">
        <v>220</v>
      </c>
      <c r="F175" s="165"/>
      <c r="G175" s="165"/>
      <c r="H175" s="165"/>
      <c r="I175" s="165" t="s">
        <v>303</v>
      </c>
      <c r="J175" s="165" t="s">
        <v>209</v>
      </c>
      <c r="K175" s="165" t="s">
        <v>206</v>
      </c>
      <c r="L175" s="165" t="s">
        <v>210</v>
      </c>
      <c r="M175" s="165">
        <v>37.01</v>
      </c>
    </row>
    <row r="176" spans="1:13" x14ac:dyDescent="0.25">
      <c r="A176" s="165" t="s">
        <v>304</v>
      </c>
      <c r="B176" s="165" t="s">
        <v>209</v>
      </c>
      <c r="C176" s="165" t="s">
        <v>206</v>
      </c>
      <c r="D176" s="165" t="s">
        <v>210</v>
      </c>
      <c r="E176" s="165" t="s">
        <v>220</v>
      </c>
      <c r="F176" s="165"/>
      <c r="G176" s="165"/>
      <c r="H176" s="165"/>
      <c r="I176" s="165" t="s">
        <v>304</v>
      </c>
      <c r="J176" s="165" t="s">
        <v>209</v>
      </c>
      <c r="K176" s="165" t="s">
        <v>206</v>
      </c>
      <c r="L176" s="165" t="s">
        <v>210</v>
      </c>
      <c r="M176" s="165">
        <v>35.31</v>
      </c>
    </row>
    <row r="177" spans="1:13" x14ac:dyDescent="0.25">
      <c r="A177" s="165" t="s">
        <v>305</v>
      </c>
      <c r="B177" s="165" t="s">
        <v>209</v>
      </c>
      <c r="C177" s="165" t="s">
        <v>206</v>
      </c>
      <c r="D177" s="165" t="s">
        <v>210</v>
      </c>
      <c r="E177" s="165" t="s">
        <v>220</v>
      </c>
      <c r="F177" s="165"/>
      <c r="G177" s="165"/>
      <c r="H177" s="165"/>
      <c r="I177" s="165" t="s">
        <v>305</v>
      </c>
      <c r="J177" s="165" t="s">
        <v>209</v>
      </c>
      <c r="K177" s="165" t="s">
        <v>206</v>
      </c>
      <c r="L177" s="165" t="s">
        <v>210</v>
      </c>
      <c r="M177" s="165">
        <v>35.03</v>
      </c>
    </row>
    <row r="178" spans="1:13" x14ac:dyDescent="0.25">
      <c r="A178" s="165" t="s">
        <v>306</v>
      </c>
      <c r="B178" s="165" t="s">
        <v>209</v>
      </c>
      <c r="C178" s="165" t="s">
        <v>206</v>
      </c>
      <c r="D178" s="165" t="s">
        <v>210</v>
      </c>
      <c r="E178" s="165" t="s">
        <v>220</v>
      </c>
      <c r="F178" s="165"/>
      <c r="G178" s="165"/>
      <c r="H178" s="165"/>
      <c r="I178" s="165" t="s">
        <v>306</v>
      </c>
      <c r="J178" s="165" t="s">
        <v>209</v>
      </c>
      <c r="K178" s="165" t="s">
        <v>206</v>
      </c>
      <c r="L178" s="165" t="s">
        <v>210</v>
      </c>
      <c r="M178" s="165">
        <v>35.75</v>
      </c>
    </row>
    <row r="179" spans="1:13" x14ac:dyDescent="0.25">
      <c r="A179" s="165" t="s">
        <v>307</v>
      </c>
      <c r="B179" s="165" t="s">
        <v>209</v>
      </c>
      <c r="C179" s="165" t="s">
        <v>206</v>
      </c>
      <c r="D179" s="165" t="s">
        <v>210</v>
      </c>
      <c r="E179" s="165" t="s">
        <v>220</v>
      </c>
      <c r="F179" s="165"/>
      <c r="G179" s="165"/>
      <c r="H179" s="165"/>
      <c r="I179" s="165" t="s">
        <v>307</v>
      </c>
      <c r="J179" s="165" t="s">
        <v>209</v>
      </c>
      <c r="K179" s="165" t="s">
        <v>206</v>
      </c>
      <c r="L179" s="165" t="s">
        <v>210</v>
      </c>
      <c r="M179" s="165">
        <v>35.83</v>
      </c>
    </row>
    <row r="180" spans="1:13" x14ac:dyDescent="0.25">
      <c r="A180" s="165" t="s">
        <v>308</v>
      </c>
      <c r="B180" s="165" t="s">
        <v>209</v>
      </c>
      <c r="C180" s="165" t="s">
        <v>206</v>
      </c>
      <c r="D180" s="165" t="s">
        <v>210</v>
      </c>
      <c r="E180" s="165" t="s">
        <v>220</v>
      </c>
      <c r="F180" s="165"/>
      <c r="G180" s="165"/>
      <c r="H180" s="165"/>
      <c r="I180" s="165" t="s">
        <v>308</v>
      </c>
      <c r="J180" s="165" t="s">
        <v>209</v>
      </c>
      <c r="K180" s="165" t="s">
        <v>206</v>
      </c>
      <c r="L180" s="165" t="s">
        <v>210</v>
      </c>
      <c r="M180" s="165">
        <v>36.92</v>
      </c>
    </row>
    <row r="181" spans="1:13" x14ac:dyDescent="0.25">
      <c r="A181" s="165" t="s">
        <v>309</v>
      </c>
      <c r="B181" s="165" t="s">
        <v>209</v>
      </c>
      <c r="C181" s="165" t="s">
        <v>206</v>
      </c>
      <c r="D181" s="165" t="s">
        <v>210</v>
      </c>
      <c r="E181" s="165" t="s">
        <v>220</v>
      </c>
      <c r="F181" s="165"/>
      <c r="G181" s="165"/>
      <c r="H181" s="165"/>
      <c r="I181" s="165" t="s">
        <v>309</v>
      </c>
      <c r="J181" s="165" t="s">
        <v>209</v>
      </c>
      <c r="K181" s="165" t="s">
        <v>206</v>
      </c>
      <c r="L181" s="165" t="s">
        <v>210</v>
      </c>
      <c r="M181" s="165">
        <v>35.47</v>
      </c>
    </row>
    <row r="182" spans="1:13" x14ac:dyDescent="0.25">
      <c r="A182" s="165" t="s">
        <v>310</v>
      </c>
      <c r="B182" s="165" t="s">
        <v>209</v>
      </c>
      <c r="C182" s="165" t="s">
        <v>206</v>
      </c>
      <c r="D182" s="165" t="s">
        <v>210</v>
      </c>
      <c r="E182" s="165" t="s">
        <v>220</v>
      </c>
      <c r="F182" s="165"/>
      <c r="G182" s="165"/>
      <c r="H182" s="165"/>
      <c r="I182" s="165" t="s">
        <v>310</v>
      </c>
      <c r="J182" s="165" t="s">
        <v>209</v>
      </c>
      <c r="K182" s="165" t="s">
        <v>206</v>
      </c>
      <c r="L182" s="165" t="s">
        <v>210</v>
      </c>
      <c r="M182" s="165">
        <v>35.24</v>
      </c>
    </row>
    <row r="183" spans="1:13" x14ac:dyDescent="0.25">
      <c r="A183" s="165" t="s">
        <v>311</v>
      </c>
      <c r="B183" s="165" t="s">
        <v>209</v>
      </c>
      <c r="C183" s="165" t="s">
        <v>206</v>
      </c>
      <c r="D183" s="165" t="s">
        <v>210</v>
      </c>
      <c r="E183" s="165">
        <v>12.42</v>
      </c>
      <c r="F183" s="165"/>
      <c r="G183" s="165"/>
      <c r="H183" s="165"/>
      <c r="I183" s="165" t="s">
        <v>311</v>
      </c>
      <c r="J183" s="165" t="s">
        <v>209</v>
      </c>
      <c r="K183" s="165" t="s">
        <v>206</v>
      </c>
      <c r="L183" s="165" t="s">
        <v>210</v>
      </c>
      <c r="M183" s="165">
        <v>35.200000000000003</v>
      </c>
    </row>
    <row r="184" spans="1:13" x14ac:dyDescent="0.25">
      <c r="A184" s="165" t="s">
        <v>312</v>
      </c>
      <c r="B184" s="165" t="s">
        <v>209</v>
      </c>
      <c r="C184" s="165" t="s">
        <v>206</v>
      </c>
      <c r="D184" s="165" t="s">
        <v>210</v>
      </c>
      <c r="E184" s="165" t="s">
        <v>220</v>
      </c>
      <c r="F184" s="165"/>
      <c r="G184" s="165"/>
      <c r="H184" s="165"/>
      <c r="I184" s="165" t="s">
        <v>312</v>
      </c>
      <c r="J184" s="165" t="s">
        <v>209</v>
      </c>
      <c r="K184" s="165" t="s">
        <v>206</v>
      </c>
      <c r="L184" s="165" t="s">
        <v>210</v>
      </c>
      <c r="M184" s="165" t="s">
        <v>220</v>
      </c>
    </row>
    <row r="185" spans="1:13" x14ac:dyDescent="0.25">
      <c r="A185" s="165" t="s">
        <v>313</v>
      </c>
      <c r="B185" s="165" t="s">
        <v>209</v>
      </c>
      <c r="C185" s="165" t="s">
        <v>206</v>
      </c>
      <c r="D185" s="165" t="s">
        <v>210</v>
      </c>
      <c r="E185" s="165" t="s">
        <v>220</v>
      </c>
      <c r="F185" s="165"/>
      <c r="G185" s="165"/>
      <c r="H185" s="165"/>
      <c r="I185" s="165" t="s">
        <v>313</v>
      </c>
      <c r="J185" s="165" t="s">
        <v>209</v>
      </c>
      <c r="K185" s="165" t="s">
        <v>206</v>
      </c>
      <c r="L185" s="165" t="s">
        <v>210</v>
      </c>
      <c r="M185" s="165">
        <v>34.81</v>
      </c>
    </row>
    <row r="186" spans="1:13" x14ac:dyDescent="0.25">
      <c r="A186" s="165" t="s">
        <v>314</v>
      </c>
      <c r="B186" s="165" t="s">
        <v>209</v>
      </c>
      <c r="C186" s="165" t="s">
        <v>206</v>
      </c>
      <c r="D186" s="165" t="s">
        <v>210</v>
      </c>
      <c r="E186" s="165" t="s">
        <v>220</v>
      </c>
      <c r="F186" s="165"/>
      <c r="G186" s="165"/>
      <c r="H186" s="165"/>
      <c r="I186" s="165" t="s">
        <v>314</v>
      </c>
      <c r="J186" s="165" t="s">
        <v>209</v>
      </c>
      <c r="K186" s="165" t="s">
        <v>206</v>
      </c>
      <c r="L186" s="165" t="s">
        <v>210</v>
      </c>
      <c r="M186" s="165">
        <v>37.479999999999997</v>
      </c>
    </row>
    <row r="187" spans="1:13" x14ac:dyDescent="0.25">
      <c r="A187" s="165" t="s">
        <v>315</v>
      </c>
      <c r="B187" s="165" t="s">
        <v>209</v>
      </c>
      <c r="C187" s="165" t="s">
        <v>206</v>
      </c>
      <c r="D187" s="165" t="s">
        <v>210</v>
      </c>
      <c r="E187" s="165" t="s">
        <v>220</v>
      </c>
      <c r="F187" s="165"/>
      <c r="G187" s="165"/>
      <c r="H187" s="165"/>
      <c r="I187" s="165" t="s">
        <v>315</v>
      </c>
      <c r="J187" s="165" t="s">
        <v>209</v>
      </c>
      <c r="K187" s="165" t="s">
        <v>206</v>
      </c>
      <c r="L187" s="165" t="s">
        <v>210</v>
      </c>
      <c r="M187" s="165">
        <v>36.29</v>
      </c>
    </row>
    <row r="188" spans="1:13" x14ac:dyDescent="0.25">
      <c r="A188" s="165" t="s">
        <v>316</v>
      </c>
      <c r="B188" s="165" t="s">
        <v>209</v>
      </c>
      <c r="C188" s="165" t="s">
        <v>206</v>
      </c>
      <c r="D188" s="165" t="s">
        <v>210</v>
      </c>
      <c r="E188" s="165" t="s">
        <v>220</v>
      </c>
      <c r="F188" s="165"/>
      <c r="G188" s="165"/>
      <c r="H188" s="165"/>
      <c r="I188" s="165" t="s">
        <v>316</v>
      </c>
      <c r="J188" s="165" t="s">
        <v>209</v>
      </c>
      <c r="K188" s="165" t="s">
        <v>206</v>
      </c>
      <c r="L188" s="165" t="s">
        <v>210</v>
      </c>
      <c r="M188" s="165" t="s">
        <v>220</v>
      </c>
    </row>
    <row r="189" spans="1:13" x14ac:dyDescent="0.25">
      <c r="A189" s="165" t="s">
        <v>317</v>
      </c>
      <c r="B189" s="165" t="s">
        <v>209</v>
      </c>
      <c r="C189" s="165" t="s">
        <v>206</v>
      </c>
      <c r="D189" s="165" t="s">
        <v>210</v>
      </c>
      <c r="E189" s="165">
        <v>39.61</v>
      </c>
      <c r="F189" s="165"/>
      <c r="G189" s="165"/>
      <c r="H189" s="165"/>
      <c r="I189" s="165" t="s">
        <v>317</v>
      </c>
      <c r="J189" s="165" t="s">
        <v>209</v>
      </c>
      <c r="K189" s="165" t="s">
        <v>206</v>
      </c>
      <c r="L189" s="165" t="s">
        <v>210</v>
      </c>
      <c r="M189" s="165">
        <v>37.56</v>
      </c>
    </row>
    <row r="190" spans="1:13" x14ac:dyDescent="0.25">
      <c r="A190" s="165" t="s">
        <v>318</v>
      </c>
      <c r="B190" s="165" t="s">
        <v>209</v>
      </c>
      <c r="C190" s="165" t="s">
        <v>206</v>
      </c>
      <c r="D190" s="165" t="s">
        <v>210</v>
      </c>
      <c r="E190" s="165" t="s">
        <v>220</v>
      </c>
      <c r="F190" s="165"/>
      <c r="G190" s="165"/>
      <c r="H190" s="165"/>
      <c r="I190" s="165" t="s">
        <v>318</v>
      </c>
      <c r="J190" s="165" t="s">
        <v>209</v>
      </c>
      <c r="K190" s="165" t="s">
        <v>206</v>
      </c>
      <c r="L190" s="165" t="s">
        <v>210</v>
      </c>
      <c r="M190" s="165">
        <v>35.79</v>
      </c>
    </row>
    <row r="191" spans="1:13" x14ac:dyDescent="0.25">
      <c r="A191" s="165" t="s">
        <v>319</v>
      </c>
      <c r="B191" s="165" t="s">
        <v>209</v>
      </c>
      <c r="C191" s="165" t="s">
        <v>206</v>
      </c>
      <c r="D191" s="165" t="s">
        <v>210</v>
      </c>
      <c r="E191" s="165" t="s">
        <v>220</v>
      </c>
      <c r="F191" s="165"/>
      <c r="G191" s="165"/>
      <c r="H191" s="165"/>
      <c r="I191" s="165" t="s">
        <v>319</v>
      </c>
      <c r="J191" s="165" t="s">
        <v>209</v>
      </c>
      <c r="K191" s="165" t="s">
        <v>206</v>
      </c>
      <c r="L191" s="165" t="s">
        <v>210</v>
      </c>
      <c r="M191" s="165">
        <v>38.11</v>
      </c>
    </row>
    <row r="192" spans="1:13" x14ac:dyDescent="0.25">
      <c r="A192" s="165" t="s">
        <v>321</v>
      </c>
      <c r="B192" s="165" t="s">
        <v>209</v>
      </c>
      <c r="C192" s="165" t="s">
        <v>206</v>
      </c>
      <c r="D192" s="165" t="s">
        <v>210</v>
      </c>
      <c r="E192" s="165" t="s">
        <v>220</v>
      </c>
      <c r="F192" s="165"/>
      <c r="G192" s="165"/>
      <c r="H192" s="165"/>
      <c r="I192" s="165" t="s">
        <v>321</v>
      </c>
      <c r="J192" s="165" t="s">
        <v>209</v>
      </c>
      <c r="K192" s="165" t="s">
        <v>206</v>
      </c>
      <c r="L192" s="165" t="s">
        <v>210</v>
      </c>
      <c r="M192" s="165" t="s">
        <v>220</v>
      </c>
    </row>
    <row r="193" spans="1:13" x14ac:dyDescent="0.25">
      <c r="A193" s="165" t="s">
        <v>322</v>
      </c>
      <c r="B193" s="165" t="s">
        <v>209</v>
      </c>
      <c r="C193" s="165" t="s">
        <v>206</v>
      </c>
      <c r="D193" s="165" t="s">
        <v>210</v>
      </c>
      <c r="E193" s="165">
        <v>11.79</v>
      </c>
      <c r="F193" s="165"/>
      <c r="G193" s="165"/>
      <c r="H193" s="165"/>
      <c r="I193" s="165" t="s">
        <v>322</v>
      </c>
      <c r="J193" s="165" t="s">
        <v>209</v>
      </c>
      <c r="K193" s="165" t="s">
        <v>206</v>
      </c>
      <c r="L193" s="165" t="s">
        <v>210</v>
      </c>
      <c r="M193" s="165" t="s">
        <v>220</v>
      </c>
    </row>
  </sheetData>
  <sortState xmlns:xlrd2="http://schemas.microsoft.com/office/spreadsheetml/2017/richdata2" ref="I2:M194">
    <sortCondition ref="J2:J194"/>
    <sortCondition ref="I2:I194"/>
  </sortState>
  <mergeCells count="2">
    <mergeCell ref="S36:U36"/>
    <mergeCell ref="V36:X36"/>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146CE-3051-46EC-8E1C-84D4FEC9026F}">
  <sheetPr codeName="Sheet14"/>
  <dimension ref="A1:Z74"/>
  <sheetViews>
    <sheetView topLeftCell="A76" zoomScale="85" zoomScaleNormal="85" workbookViewId="0">
      <selection activeCell="H68" sqref="H68"/>
    </sheetView>
  </sheetViews>
  <sheetFormatPr defaultRowHeight="15" x14ac:dyDescent="0.25"/>
  <cols>
    <col min="1" max="1" width="21.7109375" customWidth="1"/>
    <col min="4" max="4" width="9.7109375" bestFit="1" customWidth="1"/>
  </cols>
  <sheetData>
    <row r="1" spans="1:26" x14ac:dyDescent="0.25">
      <c r="A1" s="165" t="s">
        <v>786</v>
      </c>
      <c r="B1" s="165"/>
      <c r="C1" s="165"/>
      <c r="D1" s="165"/>
      <c r="E1" s="165"/>
      <c r="F1" s="165"/>
      <c r="G1" s="165"/>
      <c r="H1" s="165"/>
      <c r="I1" s="165"/>
      <c r="J1" s="165"/>
      <c r="K1" s="165"/>
      <c r="L1" s="165"/>
      <c r="M1" s="165"/>
      <c r="N1" s="165"/>
      <c r="O1" s="165"/>
      <c r="P1" s="165"/>
      <c r="Q1" s="165"/>
      <c r="R1" s="165"/>
      <c r="S1" s="165"/>
      <c r="T1" s="165"/>
      <c r="U1" s="165"/>
      <c r="V1" s="165"/>
      <c r="W1" s="165"/>
      <c r="X1" s="165"/>
      <c r="Y1" s="165"/>
      <c r="Z1" s="165"/>
    </row>
    <row r="2" spans="1:26" x14ac:dyDescent="0.25">
      <c r="A2" s="165" t="s">
        <v>787</v>
      </c>
      <c r="B2" s="165"/>
      <c r="C2" s="165"/>
      <c r="D2" s="165"/>
      <c r="E2" s="165"/>
      <c r="F2" s="165"/>
      <c r="G2" s="165"/>
      <c r="H2" s="165"/>
      <c r="I2" s="165"/>
      <c r="J2" s="165"/>
      <c r="K2" s="165"/>
      <c r="L2" s="165"/>
      <c r="M2" s="165"/>
      <c r="N2" s="165"/>
      <c r="O2" s="165"/>
      <c r="P2" s="165"/>
      <c r="Q2" s="165"/>
      <c r="R2" s="165"/>
      <c r="S2" s="165"/>
      <c r="T2" s="165"/>
      <c r="U2" s="165"/>
      <c r="V2" s="165"/>
      <c r="W2" s="165"/>
      <c r="X2" s="165"/>
      <c r="Y2" s="165"/>
      <c r="Z2" s="165"/>
    </row>
    <row r="4" spans="1:26" ht="15.75" thickBot="1" x14ac:dyDescent="0.3">
      <c r="A4" s="85" t="s">
        <v>788</v>
      </c>
      <c r="B4" s="165"/>
      <c r="C4" s="165"/>
      <c r="D4" s="165"/>
      <c r="E4" s="165"/>
      <c r="F4" s="165"/>
      <c r="G4" s="84"/>
      <c r="H4" s="165"/>
      <c r="I4" s="165"/>
      <c r="J4" s="165"/>
      <c r="K4" s="165" t="s">
        <v>789</v>
      </c>
      <c r="L4" s="165"/>
      <c r="M4" s="165"/>
      <c r="N4" s="165"/>
      <c r="O4" s="165"/>
      <c r="P4" s="165"/>
      <c r="Q4" s="165"/>
      <c r="R4" s="165"/>
      <c r="S4" s="165"/>
      <c r="T4" s="165"/>
      <c r="U4" s="165"/>
      <c r="V4" s="165"/>
      <c r="W4" s="165"/>
      <c r="X4" s="165"/>
      <c r="Y4" s="165"/>
      <c r="Z4" s="165"/>
    </row>
    <row r="5" spans="1:26" x14ac:dyDescent="0.25">
      <c r="A5" s="6" t="s">
        <v>50</v>
      </c>
      <c r="B5" s="6" t="s">
        <v>74</v>
      </c>
      <c r="C5" s="6"/>
      <c r="D5" s="6" t="s">
        <v>150</v>
      </c>
      <c r="E5" s="6"/>
      <c r="F5" s="6"/>
      <c r="G5" s="7" t="s">
        <v>151</v>
      </c>
      <c r="H5" s="6"/>
      <c r="I5" s="165"/>
      <c r="J5" s="165"/>
      <c r="K5" s="91" t="s">
        <v>50</v>
      </c>
      <c r="L5" s="92" t="s">
        <v>74</v>
      </c>
      <c r="M5" s="92" t="s">
        <v>52</v>
      </c>
      <c r="N5" s="92" t="s">
        <v>75</v>
      </c>
      <c r="O5" s="93">
        <f>96*1.2</f>
        <v>115.19999999999999</v>
      </c>
      <c r="P5" s="165"/>
      <c r="Q5" s="165"/>
      <c r="R5" s="165"/>
      <c r="S5" s="165"/>
      <c r="T5" s="165"/>
      <c r="U5" s="165"/>
      <c r="V5" s="6" t="s">
        <v>50</v>
      </c>
      <c r="W5" s="6" t="s">
        <v>74</v>
      </c>
      <c r="X5" s="6"/>
      <c r="Y5" s="6" t="s">
        <v>150</v>
      </c>
      <c r="Z5" s="6"/>
    </row>
    <row r="6" spans="1:26" x14ac:dyDescent="0.25">
      <c r="A6" s="8" t="s">
        <v>153</v>
      </c>
      <c r="B6" s="8">
        <v>0.4</v>
      </c>
      <c r="C6" s="8" t="s">
        <v>27</v>
      </c>
      <c r="D6" s="77">
        <v>0.08</v>
      </c>
      <c r="E6" s="77" t="s">
        <v>56</v>
      </c>
      <c r="F6" s="77"/>
      <c r="G6" s="9">
        <v>21</v>
      </c>
      <c r="H6" s="77" t="s">
        <v>56</v>
      </c>
      <c r="I6" s="165"/>
      <c r="J6" s="165"/>
      <c r="K6" s="94" t="s">
        <v>76</v>
      </c>
      <c r="L6" s="95"/>
      <c r="M6" s="95"/>
      <c r="N6" s="96">
        <f>D23</f>
        <v>9.3955555555555552</v>
      </c>
      <c r="O6" s="96">
        <f>N6*$O$5</f>
        <v>1082.3679999999999</v>
      </c>
      <c r="P6" s="165"/>
      <c r="Q6" s="165"/>
      <c r="R6" s="165"/>
      <c r="S6" s="165"/>
      <c r="T6" s="165"/>
      <c r="U6" s="165"/>
      <c r="V6" s="8" t="s">
        <v>153</v>
      </c>
      <c r="W6" s="8">
        <v>0.4</v>
      </c>
      <c r="X6" s="8" t="s">
        <v>27</v>
      </c>
      <c r="Y6" s="77">
        <v>0.08</v>
      </c>
      <c r="Z6" s="77" t="s">
        <v>56</v>
      </c>
    </row>
    <row r="7" spans="1:26" x14ac:dyDescent="0.25">
      <c r="A7" s="8" t="s">
        <v>155</v>
      </c>
      <c r="B7" s="8">
        <v>0.4</v>
      </c>
      <c r="C7" s="8" t="s">
        <v>27</v>
      </c>
      <c r="D7" s="77">
        <v>0.08</v>
      </c>
      <c r="E7" s="77" t="s">
        <v>56</v>
      </c>
      <c r="F7" s="77"/>
      <c r="G7" s="9">
        <v>21</v>
      </c>
      <c r="H7" s="77" t="s">
        <v>56</v>
      </c>
      <c r="I7" s="165"/>
      <c r="J7" s="165"/>
      <c r="K7" s="111" t="s">
        <v>78</v>
      </c>
      <c r="L7" s="95"/>
      <c r="M7" s="95"/>
      <c r="N7" s="96">
        <v>0.2</v>
      </c>
      <c r="O7" s="96">
        <f t="shared" ref="O7:O10" si="0">N7*$O$5</f>
        <v>23.04</v>
      </c>
      <c r="P7" s="165"/>
      <c r="Q7" s="165"/>
      <c r="R7" s="165"/>
      <c r="S7" s="165"/>
      <c r="T7" s="165"/>
      <c r="U7" s="165"/>
      <c r="V7" s="8" t="s">
        <v>155</v>
      </c>
      <c r="W7" s="8">
        <v>0.4</v>
      </c>
      <c r="X7" s="8" t="s">
        <v>27</v>
      </c>
      <c r="Y7" s="77">
        <v>0.08</v>
      </c>
      <c r="Z7" s="77" t="s">
        <v>56</v>
      </c>
    </row>
    <row r="8" spans="1:26" x14ac:dyDescent="0.25">
      <c r="A8" s="8" t="s">
        <v>157</v>
      </c>
      <c r="B8" s="8">
        <v>0.5</v>
      </c>
      <c r="C8" s="8" t="s">
        <v>27</v>
      </c>
      <c r="D8" s="20">
        <v>0</v>
      </c>
      <c r="E8" s="77" t="s">
        <v>56</v>
      </c>
      <c r="F8" s="77"/>
      <c r="G8" s="9">
        <v>0</v>
      </c>
      <c r="H8" s="77" t="s">
        <v>56</v>
      </c>
      <c r="I8" s="165"/>
      <c r="J8" s="165"/>
      <c r="K8" s="112"/>
      <c r="L8" s="110"/>
      <c r="M8" s="95"/>
      <c r="N8" s="96"/>
      <c r="O8" s="96"/>
      <c r="P8" s="165"/>
      <c r="Q8" s="165"/>
      <c r="R8" s="165"/>
      <c r="S8" s="165"/>
      <c r="T8" s="165"/>
      <c r="U8" s="165"/>
      <c r="V8" s="8" t="s">
        <v>157</v>
      </c>
      <c r="W8" s="8">
        <v>0.5</v>
      </c>
      <c r="X8" s="8" t="s">
        <v>27</v>
      </c>
      <c r="Y8" s="77">
        <v>0.1</v>
      </c>
      <c r="Z8" s="77" t="s">
        <v>56</v>
      </c>
    </row>
    <row r="9" spans="1:26" x14ac:dyDescent="0.25">
      <c r="A9" s="8" t="s">
        <v>132</v>
      </c>
      <c r="B9" s="8">
        <v>0.05</v>
      </c>
      <c r="C9" s="8" t="s">
        <v>27</v>
      </c>
      <c r="D9" s="77">
        <v>0.01</v>
      </c>
      <c r="E9" s="77" t="s">
        <v>56</v>
      </c>
      <c r="F9" s="77"/>
      <c r="G9" s="9">
        <v>2.625</v>
      </c>
      <c r="H9" s="77" t="s">
        <v>56</v>
      </c>
      <c r="I9" s="165"/>
      <c r="J9" s="165"/>
      <c r="K9" s="111" t="s">
        <v>79</v>
      </c>
      <c r="L9" s="110"/>
      <c r="M9" s="165"/>
      <c r="N9" s="96">
        <f>18-SUM(N6:N8)</f>
        <v>8.4044444444444455</v>
      </c>
      <c r="O9" s="96">
        <f t="shared" si="0"/>
        <v>968.19200000000001</v>
      </c>
      <c r="P9" s="165"/>
      <c r="Q9" s="165"/>
      <c r="R9" s="165"/>
      <c r="S9" s="165"/>
      <c r="T9" s="165"/>
      <c r="U9" s="165"/>
      <c r="V9" s="8" t="s">
        <v>132</v>
      </c>
      <c r="W9" s="8">
        <v>0.25</v>
      </c>
      <c r="X9" s="8" t="s">
        <v>27</v>
      </c>
      <c r="Y9" s="20">
        <v>0</v>
      </c>
      <c r="Z9" s="77" t="s">
        <v>56</v>
      </c>
    </row>
    <row r="10" spans="1:26" ht="15.75" thickBot="1" x14ac:dyDescent="0.3">
      <c r="A10" s="8" t="s">
        <v>133</v>
      </c>
      <c r="B10" s="8">
        <v>0.05</v>
      </c>
      <c r="C10" s="8" t="s">
        <v>27</v>
      </c>
      <c r="D10" s="77">
        <v>0.01</v>
      </c>
      <c r="E10" s="77" t="s">
        <v>56</v>
      </c>
      <c r="F10" s="77"/>
      <c r="G10" s="9">
        <v>2.625</v>
      </c>
      <c r="H10" s="77" t="s">
        <v>56</v>
      </c>
      <c r="I10" s="165"/>
      <c r="J10" s="165"/>
      <c r="K10" s="97" t="s">
        <v>80</v>
      </c>
      <c r="L10" s="98"/>
      <c r="M10" s="98"/>
      <c r="N10" s="99">
        <f>SUM(N6:N9)</f>
        <v>18</v>
      </c>
      <c r="O10" s="96">
        <f t="shared" si="0"/>
        <v>2073.6</v>
      </c>
      <c r="P10" s="165"/>
      <c r="Q10" s="165"/>
      <c r="R10" s="165"/>
      <c r="S10" s="165"/>
      <c r="T10" s="165"/>
      <c r="U10" s="165"/>
      <c r="V10" s="8" t="s">
        <v>133</v>
      </c>
      <c r="W10" s="8">
        <v>0.25</v>
      </c>
      <c r="X10" s="8" t="s">
        <v>27</v>
      </c>
      <c r="Y10" s="20">
        <v>0</v>
      </c>
      <c r="Z10" s="77" t="s">
        <v>56</v>
      </c>
    </row>
    <row r="11" spans="1:26" x14ac:dyDescent="0.25">
      <c r="A11" s="8" t="s">
        <v>134</v>
      </c>
      <c r="B11" s="8">
        <v>0.4</v>
      </c>
      <c r="C11" s="8" t="s">
        <v>27</v>
      </c>
      <c r="D11" s="77">
        <v>0.08</v>
      </c>
      <c r="E11" s="77" t="s">
        <v>56</v>
      </c>
      <c r="F11" s="77"/>
      <c r="G11" s="9">
        <v>21</v>
      </c>
      <c r="H11" s="77" t="s">
        <v>56</v>
      </c>
      <c r="I11" s="165"/>
      <c r="J11" s="165"/>
      <c r="K11" s="165"/>
      <c r="L11" s="165"/>
      <c r="M11" s="165"/>
      <c r="N11" s="165"/>
      <c r="O11" s="165"/>
      <c r="P11" s="165"/>
      <c r="Q11" s="165"/>
      <c r="R11" s="165"/>
      <c r="S11" s="165"/>
      <c r="T11" s="165"/>
      <c r="U11" s="165"/>
      <c r="V11" s="8" t="s">
        <v>134</v>
      </c>
      <c r="W11" s="8">
        <v>0.5</v>
      </c>
      <c r="X11" s="8" t="s">
        <v>27</v>
      </c>
      <c r="Y11" s="20">
        <v>0</v>
      </c>
      <c r="Z11" s="77" t="s">
        <v>56</v>
      </c>
    </row>
    <row r="12" spans="1:26" x14ac:dyDescent="0.25">
      <c r="A12" s="165" t="s">
        <v>135</v>
      </c>
      <c r="B12" s="77"/>
      <c r="C12" s="77"/>
      <c r="D12" s="20">
        <v>0</v>
      </c>
      <c r="E12" s="77" t="s">
        <v>56</v>
      </c>
      <c r="F12" s="77"/>
      <c r="G12" s="9">
        <v>0</v>
      </c>
      <c r="H12" s="77" t="s">
        <v>56</v>
      </c>
      <c r="I12" s="165"/>
      <c r="J12" s="165"/>
      <c r="K12" s="165" t="s">
        <v>790</v>
      </c>
      <c r="L12" s="165"/>
      <c r="M12" s="165"/>
      <c r="N12" s="165"/>
      <c r="O12" s="165"/>
      <c r="P12" s="165"/>
      <c r="Q12" s="165"/>
      <c r="R12" s="165"/>
      <c r="S12" s="165"/>
      <c r="T12" s="165"/>
      <c r="U12" s="165"/>
      <c r="V12" s="165" t="s">
        <v>135</v>
      </c>
      <c r="W12" s="77">
        <v>100</v>
      </c>
      <c r="X12" s="77"/>
      <c r="Y12" s="20">
        <v>0</v>
      </c>
      <c r="Z12" s="77" t="s">
        <v>56</v>
      </c>
    </row>
    <row r="13" spans="1:26" x14ac:dyDescent="0.25">
      <c r="A13" s="77" t="s">
        <v>136</v>
      </c>
      <c r="B13" s="77">
        <v>0.25</v>
      </c>
      <c r="C13" s="77" t="s">
        <v>137</v>
      </c>
      <c r="D13" s="77">
        <v>0.32</v>
      </c>
      <c r="E13" s="77" t="s">
        <v>56</v>
      </c>
      <c r="F13" s="77"/>
      <c r="G13" s="9">
        <v>84</v>
      </c>
      <c r="H13" s="77" t="s">
        <v>56</v>
      </c>
      <c r="I13" s="165"/>
      <c r="J13" s="165"/>
      <c r="K13" s="165" t="s">
        <v>791</v>
      </c>
      <c r="L13" s="165" t="s">
        <v>792</v>
      </c>
      <c r="M13" s="165"/>
      <c r="N13" s="165"/>
      <c r="O13" s="165"/>
      <c r="P13" s="165"/>
      <c r="Q13" s="165"/>
      <c r="R13" s="165"/>
      <c r="S13" s="165"/>
      <c r="T13" s="165"/>
      <c r="U13" s="165"/>
      <c r="V13" s="77" t="s">
        <v>136</v>
      </c>
      <c r="W13" s="77">
        <v>0.25</v>
      </c>
      <c r="X13" s="77" t="s">
        <v>137</v>
      </c>
      <c r="Y13" s="77">
        <v>0.32</v>
      </c>
      <c r="Z13" s="77" t="s">
        <v>56</v>
      </c>
    </row>
    <row r="14" spans="1:26" x14ac:dyDescent="0.25">
      <c r="A14" s="77" t="s">
        <v>139</v>
      </c>
      <c r="B14" s="77">
        <v>2.5</v>
      </c>
      <c r="C14" s="77" t="s">
        <v>52</v>
      </c>
      <c r="D14" s="77">
        <v>0.05</v>
      </c>
      <c r="E14" s="77" t="s">
        <v>56</v>
      </c>
      <c r="F14" s="77"/>
      <c r="G14" s="9">
        <v>13.125</v>
      </c>
      <c r="H14" s="77" t="s">
        <v>56</v>
      </c>
      <c r="I14" s="165"/>
      <c r="J14" s="165"/>
      <c r="K14" s="165" t="s">
        <v>793</v>
      </c>
      <c r="L14" s="165" t="s">
        <v>30</v>
      </c>
      <c r="M14" s="165"/>
      <c r="N14" s="165"/>
      <c r="O14" s="165"/>
      <c r="P14" s="165"/>
      <c r="Q14" s="165"/>
      <c r="R14" s="165"/>
      <c r="S14" s="165"/>
      <c r="T14" s="165"/>
      <c r="U14" s="165"/>
      <c r="V14" s="77" t="s">
        <v>139</v>
      </c>
      <c r="W14" s="77">
        <v>2.5</v>
      </c>
      <c r="X14" s="77" t="s">
        <v>52</v>
      </c>
      <c r="Y14" s="77">
        <v>0.05</v>
      </c>
      <c r="Z14" s="77" t="s">
        <v>56</v>
      </c>
    </row>
    <row r="15" spans="1:26" x14ac:dyDescent="0.25">
      <c r="A15" s="77" t="s">
        <v>141</v>
      </c>
      <c r="B15" s="77">
        <v>1</v>
      </c>
      <c r="C15" s="77" t="s">
        <v>52</v>
      </c>
      <c r="D15" s="77">
        <v>3.3333333333333333E-2</v>
      </c>
      <c r="E15" s="77" t="s">
        <v>56</v>
      </c>
      <c r="F15" s="77"/>
      <c r="G15" s="9">
        <v>8.7500000000000018</v>
      </c>
      <c r="H15" s="77" t="s">
        <v>56</v>
      </c>
      <c r="I15" s="165"/>
      <c r="J15" s="165"/>
      <c r="K15" s="165" t="s">
        <v>794</v>
      </c>
      <c r="L15" s="165" t="s">
        <v>31</v>
      </c>
      <c r="M15" s="165"/>
      <c r="N15" s="165"/>
      <c r="O15" s="165"/>
      <c r="P15" s="165"/>
      <c r="Q15" s="165"/>
      <c r="R15" s="165"/>
      <c r="S15" s="165"/>
      <c r="T15" s="165"/>
      <c r="U15" s="165"/>
      <c r="V15" s="77" t="s">
        <v>141</v>
      </c>
      <c r="W15" s="77">
        <v>1</v>
      </c>
      <c r="X15" s="77" t="s">
        <v>52</v>
      </c>
      <c r="Y15" s="77">
        <v>3.3333333333333333E-2</v>
      </c>
      <c r="Z15" s="77" t="s">
        <v>56</v>
      </c>
    </row>
    <row r="16" spans="1:26" x14ac:dyDescent="0.25">
      <c r="A16" s="77" t="s">
        <v>138</v>
      </c>
      <c r="B16" s="77">
        <v>3.5</v>
      </c>
      <c r="C16" s="77" t="s">
        <v>137</v>
      </c>
      <c r="D16" s="77">
        <v>7.0000000000000007E-2</v>
      </c>
      <c r="E16" s="77" t="s">
        <v>56</v>
      </c>
      <c r="F16" s="77"/>
      <c r="G16" s="9">
        <v>18.375</v>
      </c>
      <c r="H16" s="77" t="s">
        <v>56</v>
      </c>
      <c r="I16" s="165"/>
      <c r="J16" s="165"/>
      <c r="K16" s="165" t="s">
        <v>795</v>
      </c>
      <c r="L16" s="165" t="s">
        <v>564</v>
      </c>
      <c r="M16" s="165"/>
      <c r="N16" s="165"/>
      <c r="O16" s="165"/>
      <c r="P16" s="165"/>
      <c r="Q16" s="165"/>
      <c r="R16" s="165"/>
      <c r="S16" s="165"/>
      <c r="T16" s="165"/>
      <c r="U16" s="165"/>
      <c r="V16" s="77" t="s">
        <v>138</v>
      </c>
      <c r="W16" s="77">
        <v>3.5</v>
      </c>
      <c r="X16" s="77" t="s">
        <v>137</v>
      </c>
      <c r="Y16" s="77">
        <v>7.0000000000000007E-2</v>
      </c>
      <c r="Z16" s="77" t="s">
        <v>56</v>
      </c>
    </row>
    <row r="17" spans="1:26" x14ac:dyDescent="0.25">
      <c r="A17" s="77" t="s">
        <v>142</v>
      </c>
      <c r="B17" s="77">
        <v>10</v>
      </c>
      <c r="C17" s="77" t="s">
        <v>143</v>
      </c>
      <c r="D17" s="77">
        <v>4</v>
      </c>
      <c r="E17" s="77" t="s">
        <v>56</v>
      </c>
      <c r="F17" s="77"/>
      <c r="G17" s="9">
        <v>1050</v>
      </c>
      <c r="H17" s="77" t="s">
        <v>56</v>
      </c>
      <c r="I17" s="165"/>
      <c r="J17" s="165"/>
      <c r="K17" s="165" t="s">
        <v>796</v>
      </c>
      <c r="L17" s="165" t="s">
        <v>32</v>
      </c>
      <c r="M17" s="165"/>
      <c r="N17" s="165"/>
      <c r="O17" s="165"/>
      <c r="P17" s="165"/>
      <c r="Q17" s="165"/>
      <c r="R17" s="165"/>
      <c r="S17" s="165"/>
      <c r="T17" s="165"/>
      <c r="U17" s="165"/>
      <c r="V17" s="77" t="s">
        <v>142</v>
      </c>
      <c r="W17" s="77">
        <v>10</v>
      </c>
      <c r="X17" s="77" t="s">
        <v>143</v>
      </c>
      <c r="Y17" s="77">
        <v>4</v>
      </c>
      <c r="Z17" s="77" t="s">
        <v>56</v>
      </c>
    </row>
    <row r="18" spans="1:26" x14ac:dyDescent="0.25">
      <c r="A18" s="77" t="s">
        <v>144</v>
      </c>
      <c r="B18" s="77">
        <v>0.5</v>
      </c>
      <c r="C18" s="77" t="s">
        <v>145</v>
      </c>
      <c r="D18" s="77">
        <v>0.2</v>
      </c>
      <c r="E18" s="77" t="s">
        <v>56</v>
      </c>
      <c r="F18" s="77"/>
      <c r="G18" s="9">
        <v>52.5</v>
      </c>
      <c r="H18" s="77" t="s">
        <v>56</v>
      </c>
      <c r="I18" s="165"/>
      <c r="J18" s="165"/>
      <c r="K18" s="165" t="s">
        <v>797</v>
      </c>
      <c r="L18" s="165" t="s">
        <v>34</v>
      </c>
      <c r="M18" s="165" t="s">
        <v>798</v>
      </c>
      <c r="N18" s="165"/>
      <c r="O18" s="165"/>
      <c r="P18" s="165"/>
      <c r="Q18" s="165"/>
      <c r="R18" s="165"/>
      <c r="S18" s="165"/>
      <c r="T18" s="165"/>
      <c r="U18" s="165"/>
      <c r="V18" s="77" t="s">
        <v>144</v>
      </c>
      <c r="W18" s="77">
        <v>0.5</v>
      </c>
      <c r="X18" s="77" t="s">
        <v>145</v>
      </c>
      <c r="Y18" s="77">
        <v>0.2</v>
      </c>
      <c r="Z18" s="77" t="s">
        <v>56</v>
      </c>
    </row>
    <row r="19" spans="1:26" x14ac:dyDescent="0.25">
      <c r="A19" s="77" t="s">
        <v>159</v>
      </c>
      <c r="B19" s="77">
        <v>1</v>
      </c>
      <c r="C19" s="77" t="s">
        <v>147</v>
      </c>
      <c r="D19" s="77">
        <v>2</v>
      </c>
      <c r="E19" s="77" t="s">
        <v>56</v>
      </c>
      <c r="F19" s="77"/>
      <c r="G19" s="9">
        <v>525</v>
      </c>
      <c r="H19" s="77" t="s">
        <v>56</v>
      </c>
      <c r="I19" s="165"/>
      <c r="J19" s="165"/>
      <c r="K19" s="165" t="s">
        <v>775</v>
      </c>
      <c r="L19" s="165" t="s">
        <v>35</v>
      </c>
      <c r="M19" s="165"/>
      <c r="N19" s="165"/>
      <c r="O19" s="165"/>
      <c r="P19" s="165"/>
      <c r="Q19" s="165"/>
      <c r="R19" s="165"/>
      <c r="S19" s="165"/>
      <c r="T19" s="165"/>
      <c r="U19" s="165"/>
      <c r="V19" s="77" t="s">
        <v>159</v>
      </c>
      <c r="W19" s="77">
        <v>1</v>
      </c>
      <c r="X19" s="77" t="s">
        <v>147</v>
      </c>
      <c r="Y19" s="77">
        <v>2</v>
      </c>
      <c r="Z19" s="77" t="s">
        <v>56</v>
      </c>
    </row>
    <row r="20" spans="1:26" ht="75" x14ac:dyDescent="0.25">
      <c r="A20" s="5" t="s">
        <v>148</v>
      </c>
      <c r="B20" s="77">
        <v>5</v>
      </c>
      <c r="C20" s="77" t="s">
        <v>143</v>
      </c>
      <c r="D20" s="77">
        <v>2.2222222222222223</v>
      </c>
      <c r="E20" s="77" t="s">
        <v>56</v>
      </c>
      <c r="F20" s="77"/>
      <c r="G20" s="9">
        <v>583.33333333333337</v>
      </c>
      <c r="H20" s="77" t="s">
        <v>56</v>
      </c>
      <c r="I20" s="165"/>
      <c r="J20" s="165"/>
      <c r="K20" s="165"/>
      <c r="L20" s="165"/>
      <c r="M20" s="165"/>
      <c r="N20" s="165"/>
      <c r="O20" s="165"/>
      <c r="P20" s="165"/>
      <c r="Q20" s="165"/>
      <c r="R20" s="165"/>
      <c r="S20" s="165"/>
      <c r="T20" s="165"/>
      <c r="U20" s="165"/>
      <c r="V20" s="5" t="s">
        <v>148</v>
      </c>
      <c r="W20" s="77">
        <v>5</v>
      </c>
      <c r="X20" s="77" t="s">
        <v>143</v>
      </c>
      <c r="Y20" s="77">
        <v>2.2222222222222223</v>
      </c>
      <c r="Z20" s="77" t="s">
        <v>56</v>
      </c>
    </row>
    <row r="21" spans="1:26" x14ac:dyDescent="0.25">
      <c r="A21" s="77" t="s">
        <v>161</v>
      </c>
      <c r="B21" s="77"/>
      <c r="C21" s="77"/>
      <c r="D21" s="19">
        <v>0.24</v>
      </c>
      <c r="E21" s="77" t="s">
        <v>56</v>
      </c>
      <c r="F21" s="77"/>
      <c r="G21" s="9">
        <v>63</v>
      </c>
      <c r="H21" s="77" t="s">
        <v>56</v>
      </c>
      <c r="I21" s="165"/>
      <c r="J21" s="165"/>
      <c r="K21" s="165"/>
      <c r="L21" s="165"/>
      <c r="M21" s="165"/>
      <c r="N21" s="165"/>
      <c r="O21" s="165"/>
      <c r="P21" s="165"/>
      <c r="Q21" s="165"/>
      <c r="R21" s="165"/>
      <c r="S21" s="165"/>
      <c r="T21" s="165"/>
      <c r="U21" s="165"/>
      <c r="V21" s="10" t="s">
        <v>149</v>
      </c>
      <c r="W21" s="11">
        <v>0</v>
      </c>
      <c r="X21" s="11" t="s">
        <v>143</v>
      </c>
      <c r="Y21" s="24">
        <v>0</v>
      </c>
      <c r="Z21" s="11" t="s">
        <v>56</v>
      </c>
    </row>
    <row r="22" spans="1:26" x14ac:dyDescent="0.25">
      <c r="A22" s="77"/>
      <c r="B22" s="77"/>
      <c r="C22" s="77"/>
      <c r="D22" s="77"/>
      <c r="E22" s="77"/>
      <c r="F22" s="77"/>
      <c r="G22" s="9"/>
      <c r="H22" s="77"/>
      <c r="I22" s="165"/>
      <c r="J22" s="165"/>
      <c r="K22" s="165"/>
      <c r="L22" s="165"/>
      <c r="M22" s="165"/>
      <c r="N22" s="165"/>
      <c r="O22" s="165"/>
      <c r="P22" s="165"/>
      <c r="Q22" s="165"/>
      <c r="R22" s="165"/>
      <c r="S22" s="165"/>
      <c r="T22" s="165"/>
      <c r="U22" s="165"/>
      <c r="V22" s="77" t="s">
        <v>161</v>
      </c>
      <c r="W22" s="77"/>
      <c r="X22" s="77"/>
      <c r="Y22" s="25">
        <v>0</v>
      </c>
      <c r="Z22" s="77" t="s">
        <v>56</v>
      </c>
    </row>
    <row r="23" spans="1:26" x14ac:dyDescent="0.25">
      <c r="A23" s="77"/>
      <c r="B23" s="77"/>
      <c r="C23" s="77" t="s">
        <v>162</v>
      </c>
      <c r="D23" s="52">
        <v>9.3955555555555552</v>
      </c>
      <c r="E23" s="77" t="s">
        <v>56</v>
      </c>
      <c r="F23" s="77"/>
      <c r="G23" s="9">
        <v>2466.3333333333335</v>
      </c>
      <c r="H23" s="77" t="s">
        <v>56</v>
      </c>
      <c r="I23" s="165"/>
      <c r="J23" s="165"/>
      <c r="K23" s="165"/>
      <c r="L23" s="165"/>
      <c r="M23" s="165"/>
      <c r="N23" s="165"/>
      <c r="O23" s="165"/>
      <c r="P23" s="165"/>
      <c r="Q23" s="165"/>
      <c r="R23" s="165"/>
      <c r="S23" s="165"/>
      <c r="T23" s="165"/>
      <c r="U23" s="165"/>
      <c r="V23" s="77"/>
      <c r="W23" s="77"/>
      <c r="X23" s="77"/>
      <c r="Y23" s="77"/>
      <c r="Z23" s="77"/>
    </row>
    <row r="24" spans="1:26" x14ac:dyDescent="0.25">
      <c r="A24" s="165"/>
      <c r="B24" s="165"/>
      <c r="C24" s="165"/>
      <c r="D24" s="165"/>
      <c r="E24" s="165"/>
      <c r="F24" s="165"/>
      <c r="G24" s="165"/>
      <c r="H24" s="165"/>
      <c r="I24" s="165"/>
      <c r="J24" s="165"/>
      <c r="K24" s="165"/>
      <c r="L24" s="165"/>
      <c r="M24" s="165"/>
      <c r="N24" s="165"/>
      <c r="O24" s="165"/>
      <c r="P24" s="165"/>
      <c r="Q24" s="165"/>
      <c r="R24" s="165"/>
      <c r="S24" s="165"/>
      <c r="T24" s="165"/>
      <c r="U24" s="165"/>
      <c r="V24" s="77"/>
      <c r="W24" s="77"/>
      <c r="X24" s="77" t="s">
        <v>162</v>
      </c>
      <c r="Y24" s="13">
        <v>9.155555555555555</v>
      </c>
      <c r="Z24" s="77" t="s">
        <v>56</v>
      </c>
    </row>
    <row r="25" spans="1:26" x14ac:dyDescent="0.25">
      <c r="A25" s="85" t="s">
        <v>799</v>
      </c>
      <c r="B25" s="165"/>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row>
    <row r="26" spans="1:26" x14ac:dyDescent="0.25">
      <c r="A26" s="6" t="s">
        <v>50</v>
      </c>
      <c r="B26" s="6" t="s">
        <v>74</v>
      </c>
      <c r="C26" s="6"/>
      <c r="D26" s="6" t="s">
        <v>150</v>
      </c>
      <c r="E26" s="6"/>
      <c r="F26" s="6"/>
      <c r="G26" s="7" t="s">
        <v>151</v>
      </c>
      <c r="H26" s="6"/>
      <c r="I26" s="165"/>
      <c r="J26" s="165"/>
      <c r="K26" s="165"/>
      <c r="L26" s="165"/>
      <c r="M26" s="165"/>
      <c r="N26" s="165"/>
      <c r="O26" s="165"/>
      <c r="P26" s="165"/>
      <c r="Q26" s="165"/>
      <c r="R26" s="165"/>
      <c r="S26" s="165"/>
      <c r="T26" s="165"/>
      <c r="U26" s="165"/>
      <c r="V26" s="165"/>
      <c r="W26" s="165"/>
      <c r="X26" s="165"/>
      <c r="Y26" s="165"/>
      <c r="Z26" s="165"/>
    </row>
    <row r="27" spans="1:26" x14ac:dyDescent="0.25">
      <c r="A27" s="8" t="s">
        <v>129</v>
      </c>
      <c r="B27" s="8">
        <v>1</v>
      </c>
      <c r="C27" s="8" t="s">
        <v>27</v>
      </c>
      <c r="D27" s="77">
        <v>0.2</v>
      </c>
      <c r="E27" s="77" t="s">
        <v>56</v>
      </c>
      <c r="F27" s="77"/>
      <c r="G27" s="9">
        <v>52.5</v>
      </c>
      <c r="H27" s="77" t="s">
        <v>56</v>
      </c>
      <c r="I27" s="165"/>
      <c r="J27" s="165"/>
      <c r="K27" s="165"/>
      <c r="L27" s="165"/>
      <c r="M27" s="165"/>
      <c r="N27" s="165"/>
      <c r="O27" s="165"/>
      <c r="P27" s="165"/>
      <c r="Q27" s="165"/>
      <c r="R27" s="165"/>
      <c r="S27" s="165"/>
      <c r="T27" s="165"/>
      <c r="U27" s="165"/>
      <c r="V27" s="165"/>
      <c r="W27" s="165"/>
      <c r="X27" s="165"/>
      <c r="Y27" s="165"/>
      <c r="Z27" s="165"/>
    </row>
    <row r="28" spans="1:26" x14ac:dyDescent="0.25">
      <c r="A28" s="8" t="s">
        <v>130</v>
      </c>
      <c r="B28" s="8">
        <v>1</v>
      </c>
      <c r="C28" s="8" t="s">
        <v>27</v>
      </c>
      <c r="D28" s="77">
        <v>0.2</v>
      </c>
      <c r="E28" s="77" t="s">
        <v>56</v>
      </c>
      <c r="F28" s="77"/>
      <c r="G28" s="9">
        <v>52.5</v>
      </c>
      <c r="H28" s="77" t="s">
        <v>56</v>
      </c>
      <c r="I28" s="165"/>
      <c r="J28" s="165"/>
      <c r="K28" s="165"/>
      <c r="L28" s="165"/>
      <c r="M28" s="165"/>
      <c r="N28" s="165"/>
      <c r="O28" s="165"/>
      <c r="P28" s="165"/>
      <c r="Q28" s="165"/>
      <c r="R28" s="165"/>
      <c r="S28" s="165"/>
      <c r="T28" s="165"/>
      <c r="U28" s="165"/>
      <c r="V28" s="165"/>
      <c r="W28" s="165"/>
      <c r="X28" s="165"/>
      <c r="Y28" s="165"/>
      <c r="Z28" s="165"/>
    </row>
    <row r="29" spans="1:26" x14ac:dyDescent="0.25">
      <c r="A29" s="8" t="s">
        <v>131</v>
      </c>
      <c r="B29" s="8">
        <v>0.5</v>
      </c>
      <c r="C29" s="8" t="s">
        <v>27</v>
      </c>
      <c r="D29" s="53">
        <f>B29*20/100</f>
        <v>0.1</v>
      </c>
      <c r="E29" s="77" t="s">
        <v>56</v>
      </c>
      <c r="F29" s="77"/>
      <c r="G29" s="9">
        <v>0</v>
      </c>
      <c r="H29" s="77" t="s">
        <v>56</v>
      </c>
      <c r="I29" s="165"/>
      <c r="J29" s="165"/>
      <c r="K29" s="165"/>
      <c r="L29" s="165"/>
      <c r="M29" s="165"/>
      <c r="N29" s="165"/>
      <c r="O29" s="165"/>
      <c r="P29" s="165"/>
      <c r="Q29" s="165"/>
      <c r="R29" s="165"/>
      <c r="S29" s="165"/>
      <c r="T29" s="165"/>
      <c r="U29" s="165"/>
      <c r="V29" s="165"/>
      <c r="W29" s="165"/>
      <c r="X29" s="165"/>
      <c r="Y29" s="165"/>
      <c r="Z29" s="165"/>
    </row>
    <row r="30" spans="1:26" x14ac:dyDescent="0.25">
      <c r="A30" s="8" t="s">
        <v>132</v>
      </c>
      <c r="B30" s="8">
        <v>0.05</v>
      </c>
      <c r="C30" s="8" t="s">
        <v>27</v>
      </c>
      <c r="D30" s="77">
        <v>0.01</v>
      </c>
      <c r="E30" s="77" t="s">
        <v>56</v>
      </c>
      <c r="F30" s="77"/>
      <c r="G30" s="9">
        <v>2.625</v>
      </c>
      <c r="H30" s="77" t="s">
        <v>56</v>
      </c>
      <c r="I30" s="165"/>
      <c r="J30" s="165"/>
      <c r="K30" s="165"/>
      <c r="L30" s="165"/>
      <c r="M30" s="165"/>
      <c r="N30" s="165"/>
      <c r="O30" s="165"/>
      <c r="P30" s="165"/>
      <c r="Q30" s="165"/>
      <c r="R30" s="165"/>
      <c r="S30" s="165"/>
      <c r="T30" s="165"/>
      <c r="U30" s="165"/>
      <c r="V30" s="165"/>
      <c r="W30" s="165"/>
      <c r="X30" s="165"/>
      <c r="Y30" s="165"/>
      <c r="Z30" s="165"/>
    </row>
    <row r="31" spans="1:26" x14ac:dyDescent="0.25">
      <c r="A31" s="8" t="s">
        <v>133</v>
      </c>
      <c r="B31" s="8">
        <v>0.05</v>
      </c>
      <c r="C31" s="8" t="s">
        <v>27</v>
      </c>
      <c r="D31" s="77">
        <v>0.01</v>
      </c>
      <c r="E31" s="77" t="s">
        <v>56</v>
      </c>
      <c r="F31" s="77"/>
      <c r="G31" s="9">
        <v>2.625</v>
      </c>
      <c r="H31" s="77" t="s">
        <v>56</v>
      </c>
      <c r="I31" s="165"/>
      <c r="J31" s="165"/>
      <c r="K31" s="165"/>
      <c r="L31" s="165"/>
      <c r="M31" s="165"/>
      <c r="N31" s="165"/>
      <c r="O31" s="165"/>
      <c r="P31" s="165"/>
      <c r="Q31" s="165"/>
      <c r="R31" s="165"/>
      <c r="S31" s="165"/>
      <c r="T31" s="165"/>
      <c r="U31" s="165"/>
      <c r="V31" s="165"/>
      <c r="W31" s="165"/>
      <c r="X31" s="165"/>
      <c r="Y31" s="165"/>
      <c r="Z31" s="165"/>
    </row>
    <row r="32" spans="1:26" x14ac:dyDescent="0.25">
      <c r="A32" s="8" t="s">
        <v>134</v>
      </c>
      <c r="B32" s="8">
        <v>0.4</v>
      </c>
      <c r="C32" s="8" t="s">
        <v>27</v>
      </c>
      <c r="D32" s="77">
        <v>0.08</v>
      </c>
      <c r="E32" s="77" t="s">
        <v>56</v>
      </c>
      <c r="F32" s="77"/>
      <c r="G32" s="9">
        <v>21</v>
      </c>
      <c r="H32" s="77" t="s">
        <v>56</v>
      </c>
      <c r="I32" s="165"/>
      <c r="J32" s="165"/>
      <c r="K32" s="165"/>
      <c r="L32" s="165"/>
      <c r="M32" s="165"/>
      <c r="N32" s="165"/>
      <c r="O32" s="165"/>
      <c r="P32" s="165"/>
      <c r="Q32" s="165"/>
      <c r="R32" s="165"/>
      <c r="S32" s="165"/>
      <c r="T32" s="165"/>
      <c r="U32" s="165"/>
      <c r="V32" s="165"/>
      <c r="W32" s="165"/>
      <c r="X32" s="165"/>
      <c r="Y32" s="165"/>
      <c r="Z32" s="165"/>
    </row>
    <row r="33" spans="1:8" x14ac:dyDescent="0.25">
      <c r="A33" s="165" t="s">
        <v>135</v>
      </c>
      <c r="B33" s="77">
        <v>100</v>
      </c>
      <c r="C33" s="77"/>
      <c r="D33" s="20">
        <v>0</v>
      </c>
      <c r="E33" s="77" t="s">
        <v>56</v>
      </c>
      <c r="F33" s="77"/>
      <c r="G33" s="9">
        <v>0</v>
      </c>
      <c r="H33" s="77" t="s">
        <v>56</v>
      </c>
    </row>
    <row r="34" spans="1:8" x14ac:dyDescent="0.25">
      <c r="A34" s="77" t="s">
        <v>136</v>
      </c>
      <c r="B34" s="77">
        <v>0.25</v>
      </c>
      <c r="C34" s="77" t="s">
        <v>137</v>
      </c>
      <c r="D34" s="77">
        <v>0.32</v>
      </c>
      <c r="E34" s="77" t="s">
        <v>56</v>
      </c>
      <c r="F34" s="77"/>
      <c r="G34" s="9">
        <v>84</v>
      </c>
      <c r="H34" s="77" t="s">
        <v>56</v>
      </c>
    </row>
    <row r="35" spans="1:8" x14ac:dyDescent="0.25">
      <c r="A35" s="77" t="s">
        <v>139</v>
      </c>
      <c r="B35" s="77">
        <v>2.5</v>
      </c>
      <c r="C35" s="77" t="s">
        <v>52</v>
      </c>
      <c r="D35" s="77">
        <v>0.05</v>
      </c>
      <c r="E35" s="77" t="s">
        <v>56</v>
      </c>
      <c r="F35" s="77"/>
      <c r="G35" s="9">
        <v>13.125</v>
      </c>
      <c r="H35" s="77" t="s">
        <v>56</v>
      </c>
    </row>
    <row r="36" spans="1:8" x14ac:dyDescent="0.25">
      <c r="A36" s="77" t="s">
        <v>141</v>
      </c>
      <c r="B36" s="77">
        <v>1</v>
      </c>
      <c r="C36" s="77" t="s">
        <v>52</v>
      </c>
      <c r="D36" s="77">
        <v>3.3333333333333333E-2</v>
      </c>
      <c r="E36" s="77" t="s">
        <v>56</v>
      </c>
      <c r="F36" s="77"/>
      <c r="G36" s="9">
        <v>8.7500000000000018</v>
      </c>
      <c r="H36" s="77" t="s">
        <v>56</v>
      </c>
    </row>
    <row r="37" spans="1:8" x14ac:dyDescent="0.25">
      <c r="A37" s="77" t="s">
        <v>138</v>
      </c>
      <c r="B37" s="77">
        <v>3.5</v>
      </c>
      <c r="C37" s="77" t="s">
        <v>137</v>
      </c>
      <c r="D37" s="77">
        <v>7.0000000000000007E-2</v>
      </c>
      <c r="E37" s="77" t="s">
        <v>56</v>
      </c>
      <c r="F37" s="77"/>
      <c r="G37" s="9">
        <v>18.375</v>
      </c>
      <c r="H37" s="77" t="s">
        <v>56</v>
      </c>
    </row>
    <row r="38" spans="1:8" x14ac:dyDescent="0.25">
      <c r="A38" s="77" t="s">
        <v>142</v>
      </c>
      <c r="B38" s="77">
        <v>10</v>
      </c>
      <c r="C38" s="77" t="s">
        <v>143</v>
      </c>
      <c r="D38" s="77">
        <v>4</v>
      </c>
      <c r="E38" s="77" t="s">
        <v>56</v>
      </c>
      <c r="F38" s="77"/>
      <c r="G38" s="9">
        <v>1050</v>
      </c>
      <c r="H38" s="77" t="s">
        <v>56</v>
      </c>
    </row>
    <row r="39" spans="1:8" x14ac:dyDescent="0.25">
      <c r="A39" s="77" t="s">
        <v>144</v>
      </c>
      <c r="B39" s="77">
        <v>0.5</v>
      </c>
      <c r="C39" s="77" t="s">
        <v>145</v>
      </c>
      <c r="D39" s="77">
        <v>0.2</v>
      </c>
      <c r="E39" s="77" t="s">
        <v>56</v>
      </c>
      <c r="F39" s="77"/>
      <c r="G39" s="9">
        <v>52.5</v>
      </c>
      <c r="H39" s="77" t="s">
        <v>56</v>
      </c>
    </row>
    <row r="40" spans="1:8" x14ac:dyDescent="0.25">
      <c r="A40" s="77" t="s">
        <v>159</v>
      </c>
      <c r="B40" s="77">
        <v>1</v>
      </c>
      <c r="C40" s="77" t="s">
        <v>147</v>
      </c>
      <c r="D40" s="77">
        <v>2</v>
      </c>
      <c r="E40" s="77" t="s">
        <v>56</v>
      </c>
      <c r="F40" s="77"/>
      <c r="G40" s="9">
        <v>525</v>
      </c>
      <c r="H40" s="77" t="s">
        <v>56</v>
      </c>
    </row>
    <row r="41" spans="1:8" ht="30" x14ac:dyDescent="0.25">
      <c r="A41" s="5" t="s">
        <v>148</v>
      </c>
      <c r="B41" s="77">
        <v>5</v>
      </c>
      <c r="C41" s="77" t="s">
        <v>143</v>
      </c>
      <c r="D41" s="77">
        <v>2.2222222222222223</v>
      </c>
      <c r="E41" s="77" t="s">
        <v>56</v>
      </c>
      <c r="F41" s="77"/>
      <c r="G41" s="9">
        <v>583.33333333333337</v>
      </c>
      <c r="H41" s="77" t="s">
        <v>56</v>
      </c>
    </row>
    <row r="42" spans="1:8" x14ac:dyDescent="0.25">
      <c r="A42" s="77" t="s">
        <v>161</v>
      </c>
      <c r="B42" s="77"/>
      <c r="C42" s="77"/>
      <c r="D42" s="25">
        <v>0</v>
      </c>
      <c r="E42" s="77" t="s">
        <v>56</v>
      </c>
      <c r="F42" s="77"/>
      <c r="G42" s="9">
        <v>0</v>
      </c>
      <c r="H42" s="77" t="s">
        <v>56</v>
      </c>
    </row>
    <row r="43" spans="1:8" x14ac:dyDescent="0.25">
      <c r="A43" s="77"/>
      <c r="B43" s="77"/>
      <c r="C43" s="77"/>
      <c r="D43" s="77"/>
      <c r="E43" s="77"/>
      <c r="F43" s="77"/>
      <c r="G43" s="9"/>
      <c r="H43" s="77"/>
    </row>
    <row r="44" spans="1:8" x14ac:dyDescent="0.25">
      <c r="A44" s="77"/>
      <c r="B44" s="77"/>
      <c r="C44" s="77" t="s">
        <v>162</v>
      </c>
      <c r="D44" s="52">
        <v>9.395555555555557</v>
      </c>
      <c r="E44" s="77" t="s">
        <v>56</v>
      </c>
      <c r="F44" s="77"/>
      <c r="G44" s="9">
        <v>2466.3333333333335</v>
      </c>
      <c r="H44" s="77" t="s">
        <v>56</v>
      </c>
    </row>
    <row r="47" spans="1:8" x14ac:dyDescent="0.25">
      <c r="A47" s="165">
        <v>20210507</v>
      </c>
      <c r="B47" s="165"/>
      <c r="C47" s="165"/>
      <c r="D47" s="165"/>
      <c r="E47" s="165"/>
      <c r="F47" s="165"/>
      <c r="G47" s="165"/>
      <c r="H47" s="165"/>
    </row>
    <row r="48" spans="1:8" x14ac:dyDescent="0.25">
      <c r="A48" s="165" t="s">
        <v>800</v>
      </c>
      <c r="B48" s="165"/>
      <c r="C48" s="165"/>
      <c r="D48" s="165"/>
      <c r="E48" s="165"/>
      <c r="F48" s="165"/>
      <c r="G48" s="165"/>
      <c r="H48" s="165"/>
    </row>
    <row r="62" spans="1:5" x14ac:dyDescent="0.25">
      <c r="A62" s="165" t="s">
        <v>801</v>
      </c>
      <c r="B62" s="165"/>
      <c r="C62" s="165"/>
      <c r="D62" s="165"/>
      <c r="E62" s="165"/>
    </row>
    <row r="63" spans="1:5" ht="15.75" thickBot="1" x14ac:dyDescent="0.3">
      <c r="A63" s="165"/>
      <c r="B63" s="165"/>
      <c r="C63" s="165"/>
      <c r="D63" s="165"/>
      <c r="E63" s="165"/>
    </row>
    <row r="64" spans="1:5" x14ac:dyDescent="0.25">
      <c r="A64" s="91" t="s">
        <v>50</v>
      </c>
      <c r="B64" s="92" t="s">
        <v>74</v>
      </c>
      <c r="C64" s="92" t="s">
        <v>52</v>
      </c>
      <c r="D64" s="92" t="s">
        <v>75</v>
      </c>
      <c r="E64" s="93">
        <f>96*1.2</f>
        <v>115.19999999999999</v>
      </c>
    </row>
    <row r="65" spans="1:5" x14ac:dyDescent="0.25">
      <c r="A65" s="94" t="s">
        <v>76</v>
      </c>
      <c r="B65" s="95"/>
      <c r="C65" s="95"/>
      <c r="D65" s="96">
        <f>D44</f>
        <v>9.395555555555557</v>
      </c>
      <c r="E65" s="96">
        <f>D65*$E$64</f>
        <v>1082.3680000000002</v>
      </c>
    </row>
    <row r="66" spans="1:5" x14ac:dyDescent="0.25">
      <c r="A66" s="111" t="s">
        <v>802</v>
      </c>
      <c r="B66" s="95"/>
      <c r="C66" s="95"/>
      <c r="D66" s="96">
        <v>0.2</v>
      </c>
      <c r="E66" s="96">
        <f t="shared" ref="E66:E70" si="1">D66*$E$64</f>
        <v>23.04</v>
      </c>
    </row>
    <row r="67" spans="1:5" x14ac:dyDescent="0.25">
      <c r="A67" s="112" t="s">
        <v>803</v>
      </c>
      <c r="B67" s="110">
        <v>0.25</v>
      </c>
      <c r="C67" s="95" t="s">
        <v>137</v>
      </c>
      <c r="D67" s="96">
        <f>B67*32/10</f>
        <v>0.8</v>
      </c>
      <c r="E67" s="96">
        <f t="shared" si="1"/>
        <v>92.16</v>
      </c>
    </row>
    <row r="68" spans="1:5" s="51" customFormat="1" x14ac:dyDescent="0.25">
      <c r="A68" s="112" t="s">
        <v>138</v>
      </c>
      <c r="B68" s="110">
        <v>3.5</v>
      </c>
      <c r="C68" s="95" t="s">
        <v>137</v>
      </c>
      <c r="D68" s="96">
        <f>B68*20/25</f>
        <v>2.8</v>
      </c>
      <c r="E68" s="96">
        <f t="shared" si="1"/>
        <v>322.55999999999995</v>
      </c>
    </row>
    <row r="69" spans="1:5" x14ac:dyDescent="0.25">
      <c r="A69" s="111" t="s">
        <v>79</v>
      </c>
      <c r="B69" s="110"/>
      <c r="C69" s="165"/>
      <c r="D69" s="96">
        <f>18-SUM(D65:D68)</f>
        <v>4.8044444444444423</v>
      </c>
      <c r="E69" s="96">
        <f t="shared" si="1"/>
        <v>553.47199999999975</v>
      </c>
    </row>
    <row r="70" spans="1:5" ht="15.75" thickBot="1" x14ac:dyDescent="0.3">
      <c r="A70" s="97" t="s">
        <v>80</v>
      </c>
      <c r="B70" s="98"/>
      <c r="C70" s="98"/>
      <c r="D70" s="99">
        <f>SUM(D65:D69)</f>
        <v>18</v>
      </c>
      <c r="E70" s="96">
        <f t="shared" si="1"/>
        <v>2073.6</v>
      </c>
    </row>
    <row r="72" spans="1:5" x14ac:dyDescent="0.25">
      <c r="A72" s="165" t="s">
        <v>804</v>
      </c>
      <c r="B72" s="165"/>
      <c r="C72" s="165"/>
      <c r="D72" s="165"/>
      <c r="E72" s="165"/>
    </row>
    <row r="73" spans="1:5" x14ac:dyDescent="0.25">
      <c r="A73" s="165"/>
      <c r="B73" s="165" t="s">
        <v>805</v>
      </c>
      <c r="C73" s="165"/>
      <c r="D73" s="165"/>
      <c r="E73" s="165"/>
    </row>
    <row r="74" spans="1:5" x14ac:dyDescent="0.25">
      <c r="A74" s="165" t="s">
        <v>806</v>
      </c>
      <c r="B74" s="165"/>
      <c r="C74" s="165"/>
      <c r="D74" s="165"/>
      <c r="E74" s="165"/>
    </row>
  </sheetData>
  <pageMargins left="0.7" right="0.7" top="0.75" bottom="0.75" header="0.3" footer="0.3"/>
  <pageSetup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4988A-7938-450B-84E0-907CAE088DD2}">
  <sheetPr codeName="Sheet15"/>
  <dimension ref="A1:AG193"/>
  <sheetViews>
    <sheetView topLeftCell="N22" workbookViewId="0">
      <selection activeCell="AE27" sqref="AE27"/>
    </sheetView>
  </sheetViews>
  <sheetFormatPr defaultRowHeight="15" x14ac:dyDescent="0.25"/>
  <cols>
    <col min="1" max="5" width="9.140625" style="51"/>
    <col min="8" max="12" width="9.140625" style="51"/>
  </cols>
  <sheetData>
    <row r="1" spans="1:33" x14ac:dyDescent="0.25">
      <c r="A1" s="165" t="s">
        <v>198</v>
      </c>
      <c r="B1" s="165" t="s">
        <v>199</v>
      </c>
      <c r="C1" s="165" t="s">
        <v>200</v>
      </c>
      <c r="D1" s="165" t="s">
        <v>201</v>
      </c>
      <c r="E1" s="165" t="s">
        <v>202</v>
      </c>
      <c r="F1" s="165" t="s">
        <v>807</v>
      </c>
      <c r="G1" s="165" t="s">
        <v>808</v>
      </c>
      <c r="H1" s="165" t="s">
        <v>198</v>
      </c>
      <c r="I1" s="165" t="s">
        <v>199</v>
      </c>
      <c r="J1" s="165" t="s">
        <v>200</v>
      </c>
      <c r="K1" s="165" t="s">
        <v>201</v>
      </c>
      <c r="L1" s="165" t="s">
        <v>202</v>
      </c>
      <c r="M1" s="165" t="s">
        <v>807</v>
      </c>
      <c r="N1" s="165" t="s">
        <v>808</v>
      </c>
      <c r="O1" s="165"/>
      <c r="P1" s="165"/>
      <c r="Q1" s="165"/>
      <c r="R1" s="165"/>
      <c r="S1" s="165"/>
      <c r="T1" s="165"/>
      <c r="U1" s="165"/>
      <c r="V1" s="165"/>
      <c r="W1" s="165"/>
      <c r="X1" s="165"/>
      <c r="Y1" s="165"/>
      <c r="Z1" s="165"/>
      <c r="AA1" s="165"/>
      <c r="AB1" s="165"/>
      <c r="AC1" s="165"/>
      <c r="AD1" s="165"/>
      <c r="AE1" s="165"/>
      <c r="AF1" s="165"/>
      <c r="AG1" s="165"/>
    </row>
    <row r="2" spans="1:33" x14ac:dyDescent="0.25">
      <c r="A2" s="165" t="s">
        <v>204</v>
      </c>
      <c r="B2" s="165" t="s">
        <v>205</v>
      </c>
      <c r="C2" s="165" t="s">
        <v>206</v>
      </c>
      <c r="D2" s="165" t="s">
        <v>809</v>
      </c>
      <c r="E2" s="165" t="s">
        <v>220</v>
      </c>
      <c r="F2" s="165"/>
      <c r="G2" s="165"/>
      <c r="H2" s="165" t="s">
        <v>204</v>
      </c>
      <c r="I2" s="165" t="s">
        <v>205</v>
      </c>
      <c r="J2" s="165" t="s">
        <v>206</v>
      </c>
      <c r="K2" s="165" t="s">
        <v>809</v>
      </c>
      <c r="L2" s="165">
        <v>24.62</v>
      </c>
      <c r="M2" s="165">
        <f>AVERAGE(L3:L13)</f>
        <v>25.443636363636369</v>
      </c>
      <c r="N2" s="165">
        <f>STDEV(L3:L13)</f>
        <v>0.21048860906342295</v>
      </c>
      <c r="O2" s="165"/>
      <c r="P2" s="165"/>
      <c r="Q2" s="85" t="s">
        <v>799</v>
      </c>
      <c r="R2" s="165"/>
      <c r="S2" s="165"/>
      <c r="T2" s="165"/>
      <c r="U2" s="165"/>
      <c r="V2" s="165"/>
      <c r="W2" s="165"/>
      <c r="X2" s="165"/>
      <c r="Y2" s="165"/>
      <c r="Z2" s="85" t="s">
        <v>788</v>
      </c>
      <c r="AA2" s="165"/>
      <c r="AB2" s="165"/>
      <c r="AC2" s="165"/>
      <c r="AD2" s="165"/>
      <c r="AE2" s="165"/>
      <c r="AF2" s="165"/>
      <c r="AG2" s="165"/>
    </row>
    <row r="3" spans="1:33" x14ac:dyDescent="0.25">
      <c r="A3" s="165" t="s">
        <v>211</v>
      </c>
      <c r="B3" s="165" t="s">
        <v>205</v>
      </c>
      <c r="C3" s="165" t="s">
        <v>206</v>
      </c>
      <c r="D3" s="165" t="s">
        <v>809</v>
      </c>
      <c r="E3" s="165" t="s">
        <v>220</v>
      </c>
      <c r="F3" s="165" t="e">
        <f>AVERAGE(E3:E13)</f>
        <v>#DIV/0!</v>
      </c>
      <c r="G3" s="165"/>
      <c r="H3" s="165" t="s">
        <v>211</v>
      </c>
      <c r="I3" s="165" t="s">
        <v>205</v>
      </c>
      <c r="J3" s="165" t="s">
        <v>206</v>
      </c>
      <c r="K3" s="165" t="s">
        <v>809</v>
      </c>
      <c r="L3" s="165">
        <v>25.72</v>
      </c>
      <c r="M3" s="165"/>
      <c r="N3" s="165"/>
      <c r="O3" s="165"/>
      <c r="P3" s="165"/>
      <c r="Q3" s="6" t="s">
        <v>50</v>
      </c>
      <c r="R3" s="6" t="s">
        <v>74</v>
      </c>
      <c r="S3" s="6"/>
      <c r="T3" s="6" t="s">
        <v>150</v>
      </c>
      <c r="U3" s="6"/>
      <c r="V3" s="6"/>
      <c r="W3" s="7" t="s">
        <v>151</v>
      </c>
      <c r="X3" s="6"/>
      <c r="Y3" s="165"/>
      <c r="Z3" s="6" t="s">
        <v>50</v>
      </c>
      <c r="AA3" s="6" t="s">
        <v>74</v>
      </c>
      <c r="AB3" s="6"/>
      <c r="AC3" s="6" t="s">
        <v>150</v>
      </c>
      <c r="AD3" s="6"/>
      <c r="AE3" s="6"/>
      <c r="AF3" s="7" t="s">
        <v>151</v>
      </c>
      <c r="AG3" s="6"/>
    </row>
    <row r="4" spans="1:33" x14ac:dyDescent="0.25">
      <c r="A4" s="165" t="s">
        <v>212</v>
      </c>
      <c r="B4" s="165" t="s">
        <v>205</v>
      </c>
      <c r="C4" s="165" t="s">
        <v>206</v>
      </c>
      <c r="D4" s="165" t="s">
        <v>809</v>
      </c>
      <c r="E4" s="165" t="s">
        <v>220</v>
      </c>
      <c r="F4" s="165"/>
      <c r="G4" s="165"/>
      <c r="H4" s="165" t="s">
        <v>212</v>
      </c>
      <c r="I4" s="165" t="s">
        <v>205</v>
      </c>
      <c r="J4" s="165" t="s">
        <v>206</v>
      </c>
      <c r="K4" s="165" t="s">
        <v>809</v>
      </c>
      <c r="L4" s="165">
        <v>25.64</v>
      </c>
      <c r="M4" s="165"/>
      <c r="N4" s="165"/>
      <c r="O4" s="165"/>
      <c r="P4" s="165"/>
      <c r="Q4" s="8" t="s">
        <v>129</v>
      </c>
      <c r="R4" s="8">
        <v>1</v>
      </c>
      <c r="S4" s="8" t="s">
        <v>27</v>
      </c>
      <c r="T4" s="77">
        <v>0.2</v>
      </c>
      <c r="U4" s="77" t="s">
        <v>56</v>
      </c>
      <c r="V4" s="77"/>
      <c r="W4" s="9">
        <v>52.5</v>
      </c>
      <c r="X4" s="77" t="s">
        <v>56</v>
      </c>
      <c r="Y4" s="165"/>
      <c r="Z4" s="8" t="s">
        <v>153</v>
      </c>
      <c r="AA4" s="8">
        <v>0.4</v>
      </c>
      <c r="AB4" s="8" t="s">
        <v>27</v>
      </c>
      <c r="AC4" s="77">
        <v>0.08</v>
      </c>
      <c r="AD4" s="77" t="s">
        <v>56</v>
      </c>
      <c r="AE4" s="77"/>
      <c r="AF4" s="9">
        <v>21</v>
      </c>
      <c r="AG4" s="77" t="s">
        <v>56</v>
      </c>
    </row>
    <row r="5" spans="1:33" x14ac:dyDescent="0.25">
      <c r="A5" s="165" t="s">
        <v>213</v>
      </c>
      <c r="B5" s="165" t="s">
        <v>205</v>
      </c>
      <c r="C5" s="165" t="s">
        <v>206</v>
      </c>
      <c r="D5" s="165" t="s">
        <v>809</v>
      </c>
      <c r="E5" s="165" t="s">
        <v>220</v>
      </c>
      <c r="F5" s="165"/>
      <c r="G5" s="165"/>
      <c r="H5" s="165" t="s">
        <v>213</v>
      </c>
      <c r="I5" s="165" t="s">
        <v>205</v>
      </c>
      <c r="J5" s="165" t="s">
        <v>206</v>
      </c>
      <c r="K5" s="165" t="s">
        <v>809</v>
      </c>
      <c r="L5" s="165">
        <v>25.64</v>
      </c>
      <c r="M5" s="165"/>
      <c r="N5" s="165"/>
      <c r="O5" s="165"/>
      <c r="P5" s="165"/>
      <c r="Q5" s="8" t="s">
        <v>130</v>
      </c>
      <c r="R5" s="8">
        <v>1</v>
      </c>
      <c r="S5" s="8" t="s">
        <v>27</v>
      </c>
      <c r="T5" s="77">
        <v>0.2</v>
      </c>
      <c r="U5" s="77" t="s">
        <v>56</v>
      </c>
      <c r="V5" s="77"/>
      <c r="W5" s="9">
        <v>52.5</v>
      </c>
      <c r="X5" s="77" t="s">
        <v>56</v>
      </c>
      <c r="Y5" s="165"/>
      <c r="Z5" s="8" t="s">
        <v>155</v>
      </c>
      <c r="AA5" s="8">
        <v>0.4</v>
      </c>
      <c r="AB5" s="8" t="s">
        <v>27</v>
      </c>
      <c r="AC5" s="77">
        <v>0.08</v>
      </c>
      <c r="AD5" s="77" t="s">
        <v>56</v>
      </c>
      <c r="AE5" s="77"/>
      <c r="AF5" s="9">
        <v>21</v>
      </c>
      <c r="AG5" s="77" t="s">
        <v>56</v>
      </c>
    </row>
    <row r="6" spans="1:33" x14ac:dyDescent="0.25">
      <c r="A6" s="165" t="s">
        <v>214</v>
      </c>
      <c r="B6" s="165" t="s">
        <v>205</v>
      </c>
      <c r="C6" s="165" t="s">
        <v>206</v>
      </c>
      <c r="D6" s="165" t="s">
        <v>809</v>
      </c>
      <c r="E6" s="165" t="s">
        <v>220</v>
      </c>
      <c r="F6" s="165"/>
      <c r="G6" s="165"/>
      <c r="H6" s="165" t="s">
        <v>214</v>
      </c>
      <c r="I6" s="165" t="s">
        <v>205</v>
      </c>
      <c r="J6" s="165" t="s">
        <v>206</v>
      </c>
      <c r="K6" s="165" t="s">
        <v>809</v>
      </c>
      <c r="L6" s="165">
        <v>25.64</v>
      </c>
      <c r="M6" s="165"/>
      <c r="N6" s="165"/>
      <c r="O6" s="165"/>
      <c r="P6" s="165"/>
      <c r="Q6" s="8" t="s">
        <v>131</v>
      </c>
      <c r="R6" s="8">
        <v>0.5</v>
      </c>
      <c r="S6" s="8" t="s">
        <v>27</v>
      </c>
      <c r="T6" s="53">
        <f>R6*20/100</f>
        <v>0.1</v>
      </c>
      <c r="U6" s="77" t="s">
        <v>56</v>
      </c>
      <c r="V6" s="77"/>
      <c r="W6" s="9">
        <v>0</v>
      </c>
      <c r="X6" s="77" t="s">
        <v>56</v>
      </c>
      <c r="Y6" s="165"/>
      <c r="Z6" s="8" t="s">
        <v>157</v>
      </c>
      <c r="AA6" s="8">
        <v>0.5</v>
      </c>
      <c r="AB6" s="8" t="s">
        <v>27</v>
      </c>
      <c r="AC6" s="20">
        <v>0</v>
      </c>
      <c r="AD6" s="77" t="s">
        <v>56</v>
      </c>
      <c r="AE6" s="77"/>
      <c r="AF6" s="9">
        <v>0</v>
      </c>
      <c r="AG6" s="77" t="s">
        <v>56</v>
      </c>
    </row>
    <row r="7" spans="1:33" x14ac:dyDescent="0.25">
      <c r="A7" s="165" t="s">
        <v>215</v>
      </c>
      <c r="B7" s="165" t="s">
        <v>205</v>
      </c>
      <c r="C7" s="165" t="s">
        <v>206</v>
      </c>
      <c r="D7" s="165" t="s">
        <v>809</v>
      </c>
      <c r="E7" s="165" t="s">
        <v>220</v>
      </c>
      <c r="F7" s="165"/>
      <c r="G7" s="165"/>
      <c r="H7" s="165" t="s">
        <v>215</v>
      </c>
      <c r="I7" s="165" t="s">
        <v>205</v>
      </c>
      <c r="J7" s="165" t="s">
        <v>206</v>
      </c>
      <c r="K7" s="165" t="s">
        <v>809</v>
      </c>
      <c r="L7" s="165">
        <v>25.31</v>
      </c>
      <c r="M7" s="165"/>
      <c r="N7" s="165"/>
      <c r="O7" s="165"/>
      <c r="P7" s="165"/>
      <c r="Q7" s="8" t="s">
        <v>132</v>
      </c>
      <c r="R7" s="8">
        <v>0.05</v>
      </c>
      <c r="S7" s="8" t="s">
        <v>27</v>
      </c>
      <c r="T7" s="77">
        <v>0.01</v>
      </c>
      <c r="U7" s="77" t="s">
        <v>56</v>
      </c>
      <c r="V7" s="77"/>
      <c r="W7" s="9">
        <v>2.625</v>
      </c>
      <c r="X7" s="77" t="s">
        <v>56</v>
      </c>
      <c r="Y7" s="165"/>
      <c r="Z7" s="8" t="s">
        <v>132</v>
      </c>
      <c r="AA7" s="8">
        <v>0.05</v>
      </c>
      <c r="AB7" s="8" t="s">
        <v>27</v>
      </c>
      <c r="AC7" s="77">
        <v>0.01</v>
      </c>
      <c r="AD7" s="77" t="s">
        <v>56</v>
      </c>
      <c r="AE7" s="77"/>
      <c r="AF7" s="9">
        <v>2.625</v>
      </c>
      <c r="AG7" s="77" t="s">
        <v>56</v>
      </c>
    </row>
    <row r="8" spans="1:33" x14ac:dyDescent="0.25">
      <c r="A8" s="165" t="s">
        <v>216</v>
      </c>
      <c r="B8" s="165" t="s">
        <v>205</v>
      </c>
      <c r="C8" s="165" t="s">
        <v>206</v>
      </c>
      <c r="D8" s="165" t="s">
        <v>809</v>
      </c>
      <c r="E8" s="165" t="s">
        <v>220</v>
      </c>
      <c r="F8" s="165"/>
      <c r="G8" s="165"/>
      <c r="H8" s="165" t="s">
        <v>216</v>
      </c>
      <c r="I8" s="165" t="s">
        <v>205</v>
      </c>
      <c r="J8" s="165" t="s">
        <v>206</v>
      </c>
      <c r="K8" s="165" t="s">
        <v>809</v>
      </c>
      <c r="L8" s="165">
        <v>25.63</v>
      </c>
      <c r="M8" s="165"/>
      <c r="N8" s="165"/>
      <c r="O8" s="165"/>
      <c r="P8" s="165"/>
      <c r="Q8" s="8" t="s">
        <v>133</v>
      </c>
      <c r="R8" s="8">
        <v>0.05</v>
      </c>
      <c r="S8" s="8" t="s">
        <v>27</v>
      </c>
      <c r="T8" s="77">
        <v>0.01</v>
      </c>
      <c r="U8" s="77" t="s">
        <v>56</v>
      </c>
      <c r="V8" s="77"/>
      <c r="W8" s="9">
        <v>2.625</v>
      </c>
      <c r="X8" s="77" t="s">
        <v>56</v>
      </c>
      <c r="Y8" s="165"/>
      <c r="Z8" s="8" t="s">
        <v>133</v>
      </c>
      <c r="AA8" s="8">
        <v>0.05</v>
      </c>
      <c r="AB8" s="8" t="s">
        <v>27</v>
      </c>
      <c r="AC8" s="77">
        <v>0.01</v>
      </c>
      <c r="AD8" s="77" t="s">
        <v>56</v>
      </c>
      <c r="AE8" s="77"/>
      <c r="AF8" s="9">
        <v>2.625</v>
      </c>
      <c r="AG8" s="77" t="s">
        <v>56</v>
      </c>
    </row>
    <row r="9" spans="1:33" x14ac:dyDescent="0.25">
      <c r="A9" s="165" t="s">
        <v>217</v>
      </c>
      <c r="B9" s="165" t="s">
        <v>205</v>
      </c>
      <c r="C9" s="165" t="s">
        <v>206</v>
      </c>
      <c r="D9" s="165" t="s">
        <v>809</v>
      </c>
      <c r="E9" s="165" t="s">
        <v>220</v>
      </c>
      <c r="F9" s="165"/>
      <c r="G9" s="165"/>
      <c r="H9" s="165" t="s">
        <v>217</v>
      </c>
      <c r="I9" s="165" t="s">
        <v>205</v>
      </c>
      <c r="J9" s="165" t="s">
        <v>206</v>
      </c>
      <c r="K9" s="165" t="s">
        <v>809</v>
      </c>
      <c r="L9" s="165">
        <v>25.14</v>
      </c>
      <c r="M9" s="165"/>
      <c r="N9" s="165"/>
      <c r="O9" s="165"/>
      <c r="P9" s="165"/>
      <c r="Q9" s="8" t="s">
        <v>134</v>
      </c>
      <c r="R9" s="8">
        <v>0.4</v>
      </c>
      <c r="S9" s="8" t="s">
        <v>27</v>
      </c>
      <c r="T9" s="77">
        <v>0.08</v>
      </c>
      <c r="U9" s="77" t="s">
        <v>56</v>
      </c>
      <c r="V9" s="77"/>
      <c r="W9" s="9">
        <v>21</v>
      </c>
      <c r="X9" s="77" t="s">
        <v>56</v>
      </c>
      <c r="Y9" s="165"/>
      <c r="Z9" s="8" t="s">
        <v>134</v>
      </c>
      <c r="AA9" s="8">
        <v>0.4</v>
      </c>
      <c r="AB9" s="8" t="s">
        <v>27</v>
      </c>
      <c r="AC9" s="77">
        <v>0.08</v>
      </c>
      <c r="AD9" s="77" t="s">
        <v>56</v>
      </c>
      <c r="AE9" s="77"/>
      <c r="AF9" s="9">
        <v>21</v>
      </c>
      <c r="AG9" s="77" t="s">
        <v>56</v>
      </c>
    </row>
    <row r="10" spans="1:33" x14ac:dyDescent="0.25">
      <c r="A10" s="165" t="s">
        <v>218</v>
      </c>
      <c r="B10" s="165" t="s">
        <v>205</v>
      </c>
      <c r="C10" s="165" t="s">
        <v>206</v>
      </c>
      <c r="D10" s="165" t="s">
        <v>809</v>
      </c>
      <c r="E10" s="165" t="s">
        <v>220</v>
      </c>
      <c r="F10" s="165"/>
      <c r="G10" s="165"/>
      <c r="H10" s="165" t="s">
        <v>218</v>
      </c>
      <c r="I10" s="165" t="s">
        <v>205</v>
      </c>
      <c r="J10" s="165" t="s">
        <v>206</v>
      </c>
      <c r="K10" s="165" t="s">
        <v>809</v>
      </c>
      <c r="L10" s="165">
        <v>25.34</v>
      </c>
      <c r="M10" s="165"/>
      <c r="N10" s="165"/>
      <c r="O10" s="165"/>
      <c r="P10" s="165"/>
      <c r="Q10" s="165" t="s">
        <v>135</v>
      </c>
      <c r="R10" s="77">
        <v>100</v>
      </c>
      <c r="S10" s="77"/>
      <c r="T10" s="20">
        <v>0</v>
      </c>
      <c r="U10" s="77" t="s">
        <v>56</v>
      </c>
      <c r="V10" s="77"/>
      <c r="W10" s="9">
        <v>0</v>
      </c>
      <c r="X10" s="77" t="s">
        <v>56</v>
      </c>
      <c r="Y10" s="165"/>
      <c r="Z10" s="165" t="s">
        <v>135</v>
      </c>
      <c r="AA10" s="77"/>
      <c r="AB10" s="77"/>
      <c r="AC10" s="20">
        <v>0</v>
      </c>
      <c r="AD10" s="77" t="s">
        <v>56</v>
      </c>
      <c r="AE10" s="77"/>
      <c r="AF10" s="9">
        <v>0</v>
      </c>
      <c r="AG10" s="77" t="s">
        <v>56</v>
      </c>
    </row>
    <row r="11" spans="1:33" x14ac:dyDescent="0.25">
      <c r="A11" s="165" t="s">
        <v>219</v>
      </c>
      <c r="B11" s="165" t="s">
        <v>205</v>
      </c>
      <c r="C11" s="165" t="s">
        <v>206</v>
      </c>
      <c r="D11" s="165" t="s">
        <v>809</v>
      </c>
      <c r="E11" s="165" t="s">
        <v>220</v>
      </c>
      <c r="F11" s="165"/>
      <c r="G11" s="165"/>
      <c r="H11" s="165" t="s">
        <v>219</v>
      </c>
      <c r="I11" s="165" t="s">
        <v>205</v>
      </c>
      <c r="J11" s="165" t="s">
        <v>206</v>
      </c>
      <c r="K11" s="165" t="s">
        <v>809</v>
      </c>
      <c r="L11" s="165">
        <v>25.34</v>
      </c>
      <c r="M11" s="165"/>
      <c r="N11" s="165"/>
      <c r="O11" s="165"/>
      <c r="P11" s="165"/>
      <c r="Q11" s="77" t="s">
        <v>136</v>
      </c>
      <c r="R11" s="77">
        <v>0.25</v>
      </c>
      <c r="S11" s="77" t="s">
        <v>137</v>
      </c>
      <c r="T11" s="77">
        <v>0.32</v>
      </c>
      <c r="U11" s="77" t="s">
        <v>56</v>
      </c>
      <c r="V11" s="77"/>
      <c r="W11" s="9">
        <v>84</v>
      </c>
      <c r="X11" s="77" t="s">
        <v>56</v>
      </c>
      <c r="Y11" s="165"/>
      <c r="Z11" s="77" t="s">
        <v>136</v>
      </c>
      <c r="AA11" s="77">
        <v>0.25</v>
      </c>
      <c r="AB11" s="77" t="s">
        <v>137</v>
      </c>
      <c r="AC11" s="77">
        <v>0.32</v>
      </c>
      <c r="AD11" s="77" t="s">
        <v>56</v>
      </c>
      <c r="AE11" s="77"/>
      <c r="AF11" s="9">
        <v>84</v>
      </c>
      <c r="AG11" s="77" t="s">
        <v>56</v>
      </c>
    </row>
    <row r="12" spans="1:33" x14ac:dyDescent="0.25">
      <c r="A12" s="165" t="s">
        <v>221</v>
      </c>
      <c r="B12" s="165" t="s">
        <v>205</v>
      </c>
      <c r="C12" s="165" t="s">
        <v>206</v>
      </c>
      <c r="D12" s="165" t="s">
        <v>809</v>
      </c>
      <c r="E12" s="165" t="s">
        <v>220</v>
      </c>
      <c r="F12" s="165"/>
      <c r="G12" s="165"/>
      <c r="H12" s="165" t="s">
        <v>221</v>
      </c>
      <c r="I12" s="165" t="s">
        <v>205</v>
      </c>
      <c r="J12" s="165" t="s">
        <v>206</v>
      </c>
      <c r="K12" s="165" t="s">
        <v>809</v>
      </c>
      <c r="L12" s="165">
        <v>25.21</v>
      </c>
      <c r="M12" s="165"/>
      <c r="N12" s="165"/>
      <c r="O12" s="165"/>
      <c r="P12" s="165"/>
      <c r="Q12" s="77" t="s">
        <v>139</v>
      </c>
      <c r="R12" s="77">
        <v>2.5</v>
      </c>
      <c r="S12" s="77" t="s">
        <v>52</v>
      </c>
      <c r="T12" s="77">
        <v>0.05</v>
      </c>
      <c r="U12" s="77" t="s">
        <v>56</v>
      </c>
      <c r="V12" s="77"/>
      <c r="W12" s="9">
        <v>13.125</v>
      </c>
      <c r="X12" s="77" t="s">
        <v>56</v>
      </c>
      <c r="Y12" s="165"/>
      <c r="Z12" s="77" t="s">
        <v>139</v>
      </c>
      <c r="AA12" s="77">
        <v>2.5</v>
      </c>
      <c r="AB12" s="77" t="s">
        <v>52</v>
      </c>
      <c r="AC12" s="77">
        <v>0.05</v>
      </c>
      <c r="AD12" s="77" t="s">
        <v>56</v>
      </c>
      <c r="AE12" s="77"/>
      <c r="AF12" s="9">
        <v>13.125</v>
      </c>
      <c r="AG12" s="77" t="s">
        <v>56</v>
      </c>
    </row>
    <row r="13" spans="1:33" x14ac:dyDescent="0.25">
      <c r="A13" s="165" t="s">
        <v>222</v>
      </c>
      <c r="B13" s="165" t="s">
        <v>205</v>
      </c>
      <c r="C13" s="165" t="s">
        <v>206</v>
      </c>
      <c r="D13" s="165" t="s">
        <v>809</v>
      </c>
      <c r="E13" s="165" t="s">
        <v>220</v>
      </c>
      <c r="F13" s="165"/>
      <c r="G13" s="165"/>
      <c r="H13" s="165" t="s">
        <v>222</v>
      </c>
      <c r="I13" s="165" t="s">
        <v>205</v>
      </c>
      <c r="J13" s="165" t="s">
        <v>206</v>
      </c>
      <c r="K13" s="165" t="s">
        <v>809</v>
      </c>
      <c r="L13" s="165">
        <v>25.27</v>
      </c>
      <c r="M13" s="165"/>
      <c r="N13" s="165"/>
      <c r="O13" s="165"/>
      <c r="P13" s="165"/>
      <c r="Q13" s="77" t="s">
        <v>141</v>
      </c>
      <c r="R13" s="77">
        <v>1</v>
      </c>
      <c r="S13" s="77" t="s">
        <v>52</v>
      </c>
      <c r="T13" s="77">
        <v>3.3333333333333333E-2</v>
      </c>
      <c r="U13" s="77" t="s">
        <v>56</v>
      </c>
      <c r="V13" s="77"/>
      <c r="W13" s="9">
        <v>8.7500000000000018</v>
      </c>
      <c r="X13" s="77" t="s">
        <v>56</v>
      </c>
      <c r="Y13" s="165"/>
      <c r="Z13" s="77" t="s">
        <v>141</v>
      </c>
      <c r="AA13" s="77">
        <v>1</v>
      </c>
      <c r="AB13" s="77" t="s">
        <v>52</v>
      </c>
      <c r="AC13" s="77">
        <v>3.3333333333333333E-2</v>
      </c>
      <c r="AD13" s="77" t="s">
        <v>56</v>
      </c>
      <c r="AE13" s="77"/>
      <c r="AF13" s="9">
        <v>8.7500000000000018</v>
      </c>
      <c r="AG13" s="77" t="s">
        <v>56</v>
      </c>
    </row>
    <row r="14" spans="1:33" x14ac:dyDescent="0.25">
      <c r="A14" s="165" t="s">
        <v>223</v>
      </c>
      <c r="B14" s="165" t="s">
        <v>205</v>
      </c>
      <c r="C14" s="165" t="s">
        <v>206</v>
      </c>
      <c r="D14" s="165" t="s">
        <v>809</v>
      </c>
      <c r="E14" s="165">
        <v>7.83</v>
      </c>
      <c r="F14" s="165">
        <f>AVERAGE(E15:E25)</f>
        <v>9.4863636363636363</v>
      </c>
      <c r="G14" s="165">
        <f>STDEV(E15:E25)</f>
        <v>0.4512266110785737</v>
      </c>
      <c r="H14" s="165" t="s">
        <v>223</v>
      </c>
      <c r="I14" s="165" t="s">
        <v>205</v>
      </c>
      <c r="J14" s="165" t="s">
        <v>206</v>
      </c>
      <c r="K14" s="165" t="s">
        <v>809</v>
      </c>
      <c r="L14" s="165">
        <v>28.99</v>
      </c>
      <c r="M14" s="165">
        <f>AVERAGE(L15:L25)</f>
        <v>30.068181818181817</v>
      </c>
      <c r="N14" s="165">
        <f>STDEV(L15:L25)</f>
        <v>0.16491320030962911</v>
      </c>
      <c r="O14" s="165"/>
      <c r="P14" s="165"/>
      <c r="Q14" s="77" t="s">
        <v>138</v>
      </c>
      <c r="R14" s="77">
        <v>3.5</v>
      </c>
      <c r="S14" s="77" t="s">
        <v>137</v>
      </c>
      <c r="T14" s="77">
        <v>7.0000000000000007E-2</v>
      </c>
      <c r="U14" s="77" t="s">
        <v>56</v>
      </c>
      <c r="V14" s="77"/>
      <c r="W14" s="9">
        <v>18.375</v>
      </c>
      <c r="X14" s="77" t="s">
        <v>56</v>
      </c>
      <c r="Y14" s="165"/>
      <c r="Z14" s="77" t="s">
        <v>138</v>
      </c>
      <c r="AA14" s="77">
        <v>3.5</v>
      </c>
      <c r="AB14" s="77" t="s">
        <v>137</v>
      </c>
      <c r="AC14" s="77">
        <v>7.0000000000000007E-2</v>
      </c>
      <c r="AD14" s="77" t="s">
        <v>56</v>
      </c>
      <c r="AE14" s="77"/>
      <c r="AF14" s="9">
        <v>18.375</v>
      </c>
      <c r="AG14" s="77" t="s">
        <v>56</v>
      </c>
    </row>
    <row r="15" spans="1:33" x14ac:dyDescent="0.25">
      <c r="A15" s="165" t="s">
        <v>234</v>
      </c>
      <c r="B15" s="165" t="s">
        <v>205</v>
      </c>
      <c r="C15" s="165" t="s">
        <v>206</v>
      </c>
      <c r="D15" s="165" t="s">
        <v>809</v>
      </c>
      <c r="E15" s="165">
        <v>8.9700000000000006</v>
      </c>
      <c r="F15" s="165"/>
      <c r="G15" s="165"/>
      <c r="H15" s="165" t="s">
        <v>234</v>
      </c>
      <c r="I15" s="165" t="s">
        <v>205</v>
      </c>
      <c r="J15" s="165" t="s">
        <v>206</v>
      </c>
      <c r="K15" s="165" t="s">
        <v>809</v>
      </c>
      <c r="L15" s="165">
        <v>30.21</v>
      </c>
      <c r="M15" s="165"/>
      <c r="N15" s="165"/>
      <c r="O15" s="165"/>
      <c r="P15" s="165"/>
      <c r="Q15" s="77" t="s">
        <v>142</v>
      </c>
      <c r="R15" s="77">
        <v>10</v>
      </c>
      <c r="S15" s="77" t="s">
        <v>143</v>
      </c>
      <c r="T15" s="77">
        <v>4</v>
      </c>
      <c r="U15" s="77" t="s">
        <v>56</v>
      </c>
      <c r="V15" s="77"/>
      <c r="W15" s="9">
        <v>1050</v>
      </c>
      <c r="X15" s="77" t="s">
        <v>56</v>
      </c>
      <c r="Y15" s="165"/>
      <c r="Z15" s="77" t="s">
        <v>142</v>
      </c>
      <c r="AA15" s="77">
        <v>10</v>
      </c>
      <c r="AB15" s="77" t="s">
        <v>143</v>
      </c>
      <c r="AC15" s="77">
        <v>4</v>
      </c>
      <c r="AD15" s="77" t="s">
        <v>56</v>
      </c>
      <c r="AE15" s="77"/>
      <c r="AF15" s="9">
        <v>1050</v>
      </c>
      <c r="AG15" s="77" t="s">
        <v>56</v>
      </c>
    </row>
    <row r="16" spans="1:33" x14ac:dyDescent="0.25">
      <c r="A16" s="165" t="s">
        <v>235</v>
      </c>
      <c r="B16" s="165" t="s">
        <v>205</v>
      </c>
      <c r="C16" s="165" t="s">
        <v>206</v>
      </c>
      <c r="D16" s="165" t="s">
        <v>809</v>
      </c>
      <c r="E16" s="165">
        <v>10.06</v>
      </c>
      <c r="F16" s="165"/>
      <c r="G16" s="165"/>
      <c r="H16" s="165" t="s">
        <v>235</v>
      </c>
      <c r="I16" s="165" t="s">
        <v>205</v>
      </c>
      <c r="J16" s="165" t="s">
        <v>206</v>
      </c>
      <c r="K16" s="165" t="s">
        <v>809</v>
      </c>
      <c r="L16" s="165">
        <v>29.99</v>
      </c>
      <c r="M16" s="165"/>
      <c r="N16" s="165"/>
      <c r="O16" s="165"/>
      <c r="P16" s="165"/>
      <c r="Q16" s="77" t="s">
        <v>144</v>
      </c>
      <c r="R16" s="77">
        <v>0.5</v>
      </c>
      <c r="S16" s="77" t="s">
        <v>145</v>
      </c>
      <c r="T16" s="77">
        <v>0.2</v>
      </c>
      <c r="U16" s="77" t="s">
        <v>56</v>
      </c>
      <c r="V16" s="77"/>
      <c r="W16" s="9">
        <v>52.5</v>
      </c>
      <c r="X16" s="77" t="s">
        <v>56</v>
      </c>
      <c r="Y16" s="165"/>
      <c r="Z16" s="77" t="s">
        <v>144</v>
      </c>
      <c r="AA16" s="77">
        <v>0.5</v>
      </c>
      <c r="AB16" s="77" t="s">
        <v>145</v>
      </c>
      <c r="AC16" s="77">
        <v>0.2</v>
      </c>
      <c r="AD16" s="77" t="s">
        <v>56</v>
      </c>
      <c r="AE16" s="77"/>
      <c r="AF16" s="9">
        <v>52.5</v>
      </c>
      <c r="AG16" s="77" t="s">
        <v>56</v>
      </c>
    </row>
    <row r="17" spans="1:33" x14ac:dyDescent="0.25">
      <c r="A17" s="165" t="s">
        <v>236</v>
      </c>
      <c r="B17" s="165" t="s">
        <v>205</v>
      </c>
      <c r="C17" s="165" t="s">
        <v>206</v>
      </c>
      <c r="D17" s="165" t="s">
        <v>809</v>
      </c>
      <c r="E17" s="165">
        <v>9.98</v>
      </c>
      <c r="F17" s="165"/>
      <c r="G17" s="165"/>
      <c r="H17" s="165" t="s">
        <v>236</v>
      </c>
      <c r="I17" s="165" t="s">
        <v>205</v>
      </c>
      <c r="J17" s="165" t="s">
        <v>206</v>
      </c>
      <c r="K17" s="165" t="s">
        <v>809</v>
      </c>
      <c r="L17" s="165">
        <v>30.06</v>
      </c>
      <c r="M17" s="165"/>
      <c r="N17" s="165"/>
      <c r="O17" s="165"/>
      <c r="P17" s="165"/>
      <c r="Q17" s="77" t="s">
        <v>159</v>
      </c>
      <c r="R17" s="77">
        <v>1</v>
      </c>
      <c r="S17" s="77" t="s">
        <v>147</v>
      </c>
      <c r="T17" s="77">
        <v>2</v>
      </c>
      <c r="U17" s="77" t="s">
        <v>56</v>
      </c>
      <c r="V17" s="77"/>
      <c r="W17" s="9">
        <v>525</v>
      </c>
      <c r="X17" s="77" t="s">
        <v>56</v>
      </c>
      <c r="Y17" s="165"/>
      <c r="Z17" s="77" t="s">
        <v>159</v>
      </c>
      <c r="AA17" s="77">
        <v>1</v>
      </c>
      <c r="AB17" s="77" t="s">
        <v>147</v>
      </c>
      <c r="AC17" s="77">
        <v>2</v>
      </c>
      <c r="AD17" s="77" t="s">
        <v>56</v>
      </c>
      <c r="AE17" s="77"/>
      <c r="AF17" s="9">
        <v>525</v>
      </c>
      <c r="AG17" s="77" t="s">
        <v>56</v>
      </c>
    </row>
    <row r="18" spans="1:33" ht="75" x14ac:dyDescent="0.25">
      <c r="A18" s="165" t="s">
        <v>237</v>
      </c>
      <c r="B18" s="165" t="s">
        <v>205</v>
      </c>
      <c r="C18" s="165" t="s">
        <v>206</v>
      </c>
      <c r="D18" s="165" t="s">
        <v>809</v>
      </c>
      <c r="E18" s="165">
        <v>9.77</v>
      </c>
      <c r="F18" s="165"/>
      <c r="G18" s="165"/>
      <c r="H18" s="165" t="s">
        <v>237</v>
      </c>
      <c r="I18" s="165" t="s">
        <v>205</v>
      </c>
      <c r="J18" s="165" t="s">
        <v>206</v>
      </c>
      <c r="K18" s="165" t="s">
        <v>809</v>
      </c>
      <c r="L18" s="165">
        <v>30.05</v>
      </c>
      <c r="M18" s="165"/>
      <c r="N18" s="165"/>
      <c r="O18" s="165"/>
      <c r="P18" s="165"/>
      <c r="Q18" s="5" t="s">
        <v>148</v>
      </c>
      <c r="R18" s="77">
        <v>5</v>
      </c>
      <c r="S18" s="77" t="s">
        <v>143</v>
      </c>
      <c r="T18" s="77">
        <v>2.2222222222222223</v>
      </c>
      <c r="U18" s="77" t="s">
        <v>56</v>
      </c>
      <c r="V18" s="77"/>
      <c r="W18" s="9">
        <v>583.33333333333337</v>
      </c>
      <c r="X18" s="77" t="s">
        <v>56</v>
      </c>
      <c r="Y18" s="165"/>
      <c r="Z18" s="5" t="s">
        <v>148</v>
      </c>
      <c r="AA18" s="77">
        <v>5</v>
      </c>
      <c r="AB18" s="77" t="s">
        <v>143</v>
      </c>
      <c r="AC18" s="77">
        <v>2.2222222222222223</v>
      </c>
      <c r="AD18" s="77" t="s">
        <v>56</v>
      </c>
      <c r="AE18" s="77"/>
      <c r="AF18" s="9">
        <v>583.33333333333337</v>
      </c>
      <c r="AG18" s="77" t="s">
        <v>56</v>
      </c>
    </row>
    <row r="19" spans="1:33" x14ac:dyDescent="0.25">
      <c r="A19" s="165" t="s">
        <v>238</v>
      </c>
      <c r="B19" s="165" t="s">
        <v>205</v>
      </c>
      <c r="C19" s="165" t="s">
        <v>206</v>
      </c>
      <c r="D19" s="165" t="s">
        <v>809</v>
      </c>
      <c r="E19" s="165">
        <v>9.7799999999999994</v>
      </c>
      <c r="F19" s="165"/>
      <c r="G19" s="165"/>
      <c r="H19" s="165" t="s">
        <v>238</v>
      </c>
      <c r="I19" s="165" t="s">
        <v>205</v>
      </c>
      <c r="J19" s="165" t="s">
        <v>206</v>
      </c>
      <c r="K19" s="165" t="s">
        <v>809</v>
      </c>
      <c r="L19" s="165">
        <v>30.04</v>
      </c>
      <c r="M19" s="165"/>
      <c r="N19" s="165"/>
      <c r="O19" s="165"/>
      <c r="P19" s="165"/>
      <c r="Q19" s="77" t="s">
        <v>161</v>
      </c>
      <c r="R19" s="77"/>
      <c r="S19" s="77"/>
      <c r="T19" s="25">
        <v>0</v>
      </c>
      <c r="U19" s="77" t="s">
        <v>56</v>
      </c>
      <c r="V19" s="77"/>
      <c r="W19" s="9">
        <v>0</v>
      </c>
      <c r="X19" s="77" t="s">
        <v>56</v>
      </c>
      <c r="Y19" s="165"/>
      <c r="Z19" s="77" t="s">
        <v>161</v>
      </c>
      <c r="AA19" s="77"/>
      <c r="AB19" s="77"/>
      <c r="AC19" s="19">
        <v>0.24</v>
      </c>
      <c r="AD19" s="77" t="s">
        <v>56</v>
      </c>
      <c r="AE19" s="77"/>
      <c r="AF19" s="9">
        <v>63</v>
      </c>
      <c r="AG19" s="77" t="s">
        <v>56</v>
      </c>
    </row>
    <row r="20" spans="1:33" x14ac:dyDescent="0.25">
      <c r="A20" s="165" t="s">
        <v>239</v>
      </c>
      <c r="B20" s="165" t="s">
        <v>205</v>
      </c>
      <c r="C20" s="165" t="s">
        <v>206</v>
      </c>
      <c r="D20" s="165" t="s">
        <v>809</v>
      </c>
      <c r="E20" s="165">
        <v>9.8800000000000008</v>
      </c>
      <c r="F20" s="165"/>
      <c r="G20" s="165"/>
      <c r="H20" s="165" t="s">
        <v>239</v>
      </c>
      <c r="I20" s="165" t="s">
        <v>205</v>
      </c>
      <c r="J20" s="165" t="s">
        <v>206</v>
      </c>
      <c r="K20" s="165" t="s">
        <v>809</v>
      </c>
      <c r="L20" s="165">
        <v>30.42</v>
      </c>
      <c r="M20" s="165"/>
      <c r="N20" s="165"/>
      <c r="O20" s="165"/>
      <c r="P20" s="165"/>
      <c r="Q20" s="77"/>
      <c r="R20" s="77"/>
      <c r="S20" s="77"/>
      <c r="T20" s="77"/>
      <c r="U20" s="77"/>
      <c r="V20" s="77"/>
      <c r="W20" s="9"/>
      <c r="X20" s="77"/>
      <c r="Y20" s="165"/>
      <c r="Z20" s="77"/>
      <c r="AA20" s="77"/>
      <c r="AB20" s="77"/>
      <c r="AC20" s="77"/>
      <c r="AD20" s="77"/>
      <c r="AE20" s="77"/>
      <c r="AF20" s="9"/>
      <c r="AG20" s="77"/>
    </row>
    <row r="21" spans="1:33" x14ac:dyDescent="0.25">
      <c r="A21" s="165" t="s">
        <v>242</v>
      </c>
      <c r="B21" s="165" t="s">
        <v>205</v>
      </c>
      <c r="C21" s="165" t="s">
        <v>206</v>
      </c>
      <c r="D21" s="165" t="s">
        <v>809</v>
      </c>
      <c r="E21" s="165">
        <v>9.49</v>
      </c>
      <c r="F21" s="165"/>
      <c r="G21" s="165"/>
      <c r="H21" s="165" t="s">
        <v>242</v>
      </c>
      <c r="I21" s="165" t="s">
        <v>205</v>
      </c>
      <c r="J21" s="165" t="s">
        <v>206</v>
      </c>
      <c r="K21" s="165" t="s">
        <v>809</v>
      </c>
      <c r="L21" s="165">
        <v>29.83</v>
      </c>
      <c r="M21" s="165"/>
      <c r="N21" s="165"/>
      <c r="O21" s="165"/>
      <c r="P21" s="165"/>
      <c r="Q21" s="77"/>
      <c r="R21" s="77"/>
      <c r="S21" s="77" t="s">
        <v>162</v>
      </c>
      <c r="T21" s="52">
        <v>9.395555555555557</v>
      </c>
      <c r="U21" s="77" t="s">
        <v>56</v>
      </c>
      <c r="V21" s="77"/>
      <c r="W21" s="9">
        <v>2466.3333333333335</v>
      </c>
      <c r="X21" s="77" t="s">
        <v>56</v>
      </c>
      <c r="Y21" s="165"/>
      <c r="Z21" s="77"/>
      <c r="AA21" s="77"/>
      <c r="AB21" s="77" t="s">
        <v>162</v>
      </c>
      <c r="AC21" s="52">
        <v>9.3955555555555552</v>
      </c>
      <c r="AD21" s="77" t="s">
        <v>56</v>
      </c>
      <c r="AE21" s="77"/>
      <c r="AF21" s="9">
        <v>2466.3333333333335</v>
      </c>
      <c r="AG21" s="77" t="s">
        <v>56</v>
      </c>
    </row>
    <row r="22" spans="1:33" x14ac:dyDescent="0.25">
      <c r="A22" s="165" t="s">
        <v>243</v>
      </c>
      <c r="B22" s="165" t="s">
        <v>205</v>
      </c>
      <c r="C22" s="165" t="s">
        <v>206</v>
      </c>
      <c r="D22" s="165" t="s">
        <v>809</v>
      </c>
      <c r="E22" s="165">
        <v>9.5</v>
      </c>
      <c r="F22" s="165"/>
      <c r="G22" s="165"/>
      <c r="H22" s="165" t="s">
        <v>243</v>
      </c>
      <c r="I22" s="165" t="s">
        <v>205</v>
      </c>
      <c r="J22" s="165" t="s">
        <v>206</v>
      </c>
      <c r="K22" s="165" t="s">
        <v>809</v>
      </c>
      <c r="L22" s="165">
        <v>29.87</v>
      </c>
      <c r="M22" s="165"/>
      <c r="N22" s="165"/>
      <c r="O22" s="165"/>
      <c r="P22" s="165"/>
      <c r="Q22" s="165"/>
      <c r="R22" s="165"/>
      <c r="S22" s="165"/>
      <c r="T22" s="165"/>
      <c r="U22" s="165"/>
      <c r="V22" s="165"/>
      <c r="W22" s="165"/>
      <c r="X22" s="165"/>
      <c r="Y22" s="165"/>
      <c r="Z22" s="165"/>
      <c r="AA22" s="165"/>
      <c r="AB22" s="165"/>
      <c r="AC22" s="165"/>
      <c r="AD22" s="165"/>
      <c r="AE22" s="165"/>
      <c r="AF22" s="165"/>
      <c r="AG22" s="165"/>
    </row>
    <row r="23" spans="1:33" x14ac:dyDescent="0.25">
      <c r="A23" s="165" t="s">
        <v>244</v>
      </c>
      <c r="B23" s="165" t="s">
        <v>205</v>
      </c>
      <c r="C23" s="165" t="s">
        <v>206</v>
      </c>
      <c r="D23" s="165" t="s">
        <v>809</v>
      </c>
      <c r="E23" s="165">
        <v>8.83</v>
      </c>
      <c r="F23" s="165"/>
      <c r="G23" s="165"/>
      <c r="H23" s="165" t="s">
        <v>244</v>
      </c>
      <c r="I23" s="165" t="s">
        <v>205</v>
      </c>
      <c r="J23" s="165" t="s">
        <v>206</v>
      </c>
      <c r="K23" s="165" t="s">
        <v>809</v>
      </c>
      <c r="L23" s="165">
        <v>30.16</v>
      </c>
      <c r="M23" s="165"/>
      <c r="N23" s="165"/>
      <c r="O23" s="165"/>
      <c r="P23" s="165"/>
      <c r="Q23" s="165"/>
      <c r="R23" s="165"/>
      <c r="S23" s="165"/>
      <c r="T23" s="165"/>
      <c r="U23" s="165"/>
      <c r="V23" s="165"/>
      <c r="W23" s="165"/>
      <c r="X23" s="165"/>
      <c r="Y23" s="165"/>
      <c r="Z23" s="165"/>
      <c r="AA23" s="165"/>
      <c r="AB23" s="165"/>
      <c r="AC23" s="165"/>
      <c r="AD23" s="165"/>
      <c r="AE23" s="165"/>
      <c r="AF23" s="165"/>
      <c r="AG23" s="165"/>
    </row>
    <row r="24" spans="1:33" x14ac:dyDescent="0.25">
      <c r="A24" s="165" t="s">
        <v>245</v>
      </c>
      <c r="B24" s="165" t="s">
        <v>205</v>
      </c>
      <c r="C24" s="165" t="s">
        <v>206</v>
      </c>
      <c r="D24" s="165" t="s">
        <v>809</v>
      </c>
      <c r="E24" s="165">
        <v>9.2100000000000009</v>
      </c>
      <c r="F24" s="165"/>
      <c r="G24" s="165"/>
      <c r="H24" s="165" t="s">
        <v>245</v>
      </c>
      <c r="I24" s="165" t="s">
        <v>205</v>
      </c>
      <c r="J24" s="165" t="s">
        <v>206</v>
      </c>
      <c r="K24" s="165" t="s">
        <v>809</v>
      </c>
      <c r="L24" s="165">
        <v>30.15</v>
      </c>
      <c r="M24" s="165"/>
      <c r="N24" s="165"/>
      <c r="O24" s="165"/>
      <c r="P24" s="165"/>
      <c r="Q24" s="165"/>
      <c r="R24" s="176" t="s">
        <v>17</v>
      </c>
      <c r="S24" s="176"/>
      <c r="T24" s="176"/>
      <c r="U24" s="176"/>
      <c r="V24" s="165"/>
      <c r="W24" s="300" t="s">
        <v>810</v>
      </c>
      <c r="X24" s="300"/>
      <c r="Y24" s="165"/>
      <c r="Z24" s="176" t="s">
        <v>209</v>
      </c>
      <c r="AA24" s="165"/>
      <c r="AB24" s="165"/>
      <c r="AC24" s="165"/>
      <c r="AD24" s="165"/>
      <c r="AE24" s="165"/>
      <c r="AF24" s="165"/>
      <c r="AG24" s="165"/>
    </row>
    <row r="25" spans="1:33" ht="45" x14ac:dyDescent="0.25">
      <c r="A25" s="165" t="s">
        <v>247</v>
      </c>
      <c r="B25" s="165" t="s">
        <v>205</v>
      </c>
      <c r="C25" s="165" t="s">
        <v>206</v>
      </c>
      <c r="D25" s="165" t="s">
        <v>809</v>
      </c>
      <c r="E25" s="165">
        <v>8.8800000000000008</v>
      </c>
      <c r="F25" s="165"/>
      <c r="G25" s="165"/>
      <c r="H25" s="165" t="s">
        <v>247</v>
      </c>
      <c r="I25" s="165" t="s">
        <v>205</v>
      </c>
      <c r="J25" s="165" t="s">
        <v>206</v>
      </c>
      <c r="K25" s="165" t="s">
        <v>809</v>
      </c>
      <c r="L25" s="165">
        <v>29.97</v>
      </c>
      <c r="M25" s="165"/>
      <c r="N25" s="165"/>
      <c r="O25" s="165"/>
      <c r="P25" s="165"/>
      <c r="Q25" s="90" t="s">
        <v>20</v>
      </c>
      <c r="R25" s="90" t="s">
        <v>21</v>
      </c>
      <c r="S25" s="90" t="s">
        <v>22</v>
      </c>
      <c r="T25" s="90" t="s">
        <v>23</v>
      </c>
      <c r="U25" s="90" t="s">
        <v>24</v>
      </c>
      <c r="V25" s="90" t="s">
        <v>224</v>
      </c>
      <c r="W25" s="90" t="s">
        <v>807</v>
      </c>
      <c r="X25" s="90" t="s">
        <v>811</v>
      </c>
      <c r="Y25" s="90" t="s">
        <v>227</v>
      </c>
      <c r="Z25" s="90" t="s">
        <v>807</v>
      </c>
      <c r="AA25" s="90" t="s">
        <v>811</v>
      </c>
      <c r="AB25" s="90" t="s">
        <v>227</v>
      </c>
      <c r="AC25" s="90" t="s">
        <v>738</v>
      </c>
      <c r="AD25" s="165"/>
      <c r="AE25" s="165"/>
      <c r="AF25" s="165"/>
      <c r="AG25" s="165"/>
    </row>
    <row r="26" spans="1:33" x14ac:dyDescent="0.25">
      <c r="A26" s="165" t="s">
        <v>248</v>
      </c>
      <c r="B26" s="165" t="s">
        <v>205</v>
      </c>
      <c r="C26" s="165" t="s">
        <v>206</v>
      </c>
      <c r="D26" s="165" t="s">
        <v>809</v>
      </c>
      <c r="E26" s="165">
        <v>13.48</v>
      </c>
      <c r="F26" s="165">
        <f>AVERAGE(E27:E37)</f>
        <v>15.161818181818184</v>
      </c>
      <c r="G26" s="165">
        <f>STDEV(E27:E37)</f>
        <v>0.24400074515534501</v>
      </c>
      <c r="H26" s="165" t="s">
        <v>248</v>
      </c>
      <c r="I26" s="165" t="s">
        <v>205</v>
      </c>
      <c r="J26" s="165" t="s">
        <v>206</v>
      </c>
      <c r="K26" s="165" t="s">
        <v>809</v>
      </c>
      <c r="L26" s="165">
        <v>37.24</v>
      </c>
      <c r="M26" s="165">
        <f>AVERAGE(L27:L37)</f>
        <v>38.986363636363627</v>
      </c>
      <c r="N26" s="165">
        <f>STDEV(L27:L37)</f>
        <v>1.2785012532435989</v>
      </c>
      <c r="O26" s="165"/>
      <c r="P26" s="165"/>
      <c r="Q26" s="89" t="s">
        <v>29</v>
      </c>
      <c r="R26" s="84">
        <v>10</v>
      </c>
      <c r="S26" s="165">
        <f>R26*1000000</f>
        <v>10000000</v>
      </c>
      <c r="T26" s="89"/>
      <c r="U26" s="89"/>
      <c r="V26" s="89"/>
      <c r="W26" s="165"/>
      <c r="X26" s="165"/>
      <c r="Y26" s="165"/>
      <c r="Z26" s="165"/>
      <c r="AA26" s="165"/>
      <c r="AB26" s="165"/>
      <c r="AC26" s="165"/>
      <c r="AD26" s="165"/>
      <c r="AE26" s="165"/>
      <c r="AF26" s="165"/>
      <c r="AG26" s="165"/>
    </row>
    <row r="27" spans="1:33" x14ac:dyDescent="0.25">
      <c r="A27" s="165" t="s">
        <v>249</v>
      </c>
      <c r="B27" s="165" t="s">
        <v>205</v>
      </c>
      <c r="C27" s="165" t="s">
        <v>206</v>
      </c>
      <c r="D27" s="165" t="s">
        <v>809</v>
      </c>
      <c r="E27" s="165">
        <v>15.12</v>
      </c>
      <c r="F27" s="165"/>
      <c r="G27" s="165"/>
      <c r="H27" s="165" t="s">
        <v>249</v>
      </c>
      <c r="I27" s="165" t="s">
        <v>205</v>
      </c>
      <c r="J27" s="165" t="s">
        <v>206</v>
      </c>
      <c r="K27" s="165" t="s">
        <v>809</v>
      </c>
      <c r="L27" s="165">
        <v>38.869999999999997</v>
      </c>
      <c r="M27" s="165"/>
      <c r="N27" s="165"/>
      <c r="O27" s="165"/>
      <c r="P27" s="165"/>
      <c r="Q27" s="165" t="s">
        <v>30</v>
      </c>
      <c r="R27" s="165">
        <f>R26/100</f>
        <v>0.1</v>
      </c>
      <c r="S27" s="165">
        <f t="shared" ref="S27:S44" si="0">R27*1000000</f>
        <v>100000</v>
      </c>
      <c r="T27" s="89">
        <f>R26*0.00001/1000000*6.022E+23</f>
        <v>60220000000000.008</v>
      </c>
      <c r="U27" s="89">
        <f>T27/1000*2</f>
        <v>120440000000.00002</v>
      </c>
      <c r="V27" s="89">
        <f>LOG(U27)</f>
        <v>11.080770746840722</v>
      </c>
      <c r="W27" s="165" t="s">
        <v>812</v>
      </c>
      <c r="X27" s="165"/>
      <c r="Y27" s="165"/>
      <c r="Z27" s="165">
        <v>25.443636363636369</v>
      </c>
      <c r="AA27" s="165">
        <v>0.21048860906342295</v>
      </c>
      <c r="AB27" s="165">
        <f>2*AA27</f>
        <v>0.42097721812684591</v>
      </c>
      <c r="AC27" s="165"/>
      <c r="AD27" s="165"/>
      <c r="AE27" s="165"/>
      <c r="AF27" s="165"/>
      <c r="AG27" s="165"/>
    </row>
    <row r="28" spans="1:33" x14ac:dyDescent="0.25">
      <c r="A28" s="165" t="s">
        <v>250</v>
      </c>
      <c r="B28" s="165" t="s">
        <v>205</v>
      </c>
      <c r="C28" s="165" t="s">
        <v>206</v>
      </c>
      <c r="D28" s="165" t="s">
        <v>809</v>
      </c>
      <c r="E28" s="165">
        <v>15.47</v>
      </c>
      <c r="F28" s="165"/>
      <c r="G28" s="165"/>
      <c r="H28" s="165" t="s">
        <v>250</v>
      </c>
      <c r="I28" s="165" t="s">
        <v>205</v>
      </c>
      <c r="J28" s="165" t="s">
        <v>206</v>
      </c>
      <c r="K28" s="165" t="s">
        <v>809</v>
      </c>
      <c r="L28" s="165">
        <v>38.74</v>
      </c>
      <c r="M28" s="165"/>
      <c r="N28" s="165"/>
      <c r="O28" s="165"/>
      <c r="P28" s="165"/>
      <c r="Q28" s="165" t="s">
        <v>31</v>
      </c>
      <c r="R28" s="165">
        <f t="shared" ref="R28:R43" si="1">R27/10</f>
        <v>0.01</v>
      </c>
      <c r="S28" s="165">
        <f t="shared" si="0"/>
        <v>10000</v>
      </c>
      <c r="T28" s="165">
        <f t="shared" ref="T28:T44" si="2">T27/10</f>
        <v>6022000000000.001</v>
      </c>
      <c r="U28" s="165">
        <f t="shared" ref="U28:U44" si="3">T28/1000*2</f>
        <v>12044000000.000002</v>
      </c>
      <c r="V28" s="89">
        <f t="shared" ref="V28:V44" si="4">LOG(U28)</f>
        <v>10.080770746840722</v>
      </c>
      <c r="W28" s="165">
        <v>9.4863636363636363</v>
      </c>
      <c r="X28" s="165">
        <v>0.4512266110785737</v>
      </c>
      <c r="Y28" s="165">
        <f>2*X28</f>
        <v>0.90245322215714741</v>
      </c>
      <c r="Z28" s="165">
        <v>30.068181818181817</v>
      </c>
      <c r="AA28" s="165">
        <v>0.16491320030962911</v>
      </c>
      <c r="AB28" s="165">
        <f t="shared" ref="AB28:AB29" si="5">2*AA28</f>
        <v>0.32982640061925822</v>
      </c>
      <c r="AC28" s="165">
        <f>Z28-W28</f>
        <v>20.581818181818178</v>
      </c>
      <c r="AD28" s="165"/>
      <c r="AE28" s="165"/>
      <c r="AF28" s="165"/>
      <c r="AG28" s="165"/>
    </row>
    <row r="29" spans="1:33" x14ac:dyDescent="0.25">
      <c r="A29" s="165" t="s">
        <v>251</v>
      </c>
      <c r="B29" s="165" t="s">
        <v>205</v>
      </c>
      <c r="C29" s="165" t="s">
        <v>206</v>
      </c>
      <c r="D29" s="165" t="s">
        <v>809</v>
      </c>
      <c r="E29" s="165">
        <v>15.38</v>
      </c>
      <c r="F29" s="165"/>
      <c r="G29" s="165"/>
      <c r="H29" s="165" t="s">
        <v>251</v>
      </c>
      <c r="I29" s="165" t="s">
        <v>205</v>
      </c>
      <c r="J29" s="165" t="s">
        <v>206</v>
      </c>
      <c r="K29" s="165" t="s">
        <v>809</v>
      </c>
      <c r="L29" s="165">
        <v>40.61</v>
      </c>
      <c r="M29" s="165"/>
      <c r="N29" s="165"/>
      <c r="O29" s="165"/>
      <c r="P29" s="165"/>
      <c r="Q29" s="165" t="s">
        <v>32</v>
      </c>
      <c r="R29" s="165">
        <f t="shared" si="1"/>
        <v>1E-3</v>
      </c>
      <c r="S29" s="165">
        <f t="shared" si="0"/>
        <v>1000</v>
      </c>
      <c r="T29" s="165">
        <f t="shared" si="2"/>
        <v>602200000000.00012</v>
      </c>
      <c r="U29" s="165">
        <f t="shared" si="3"/>
        <v>1204400000.0000002</v>
      </c>
      <c r="V29" s="89">
        <f t="shared" si="4"/>
        <v>9.0807707468407219</v>
      </c>
      <c r="W29" s="165">
        <v>15.161818181818184</v>
      </c>
      <c r="X29" s="165">
        <v>0.24400074515534501</v>
      </c>
      <c r="Y29" s="165">
        <f t="shared" ref="Y29:Y32" si="6">2*X29</f>
        <v>0.48800149031069001</v>
      </c>
      <c r="Z29" s="165">
        <v>38.986363636363627</v>
      </c>
      <c r="AA29" s="165">
        <v>1.2785012532435989</v>
      </c>
      <c r="AB29" s="165">
        <f t="shared" si="5"/>
        <v>2.5570025064871977</v>
      </c>
      <c r="AC29" s="165">
        <f>Z29-W29</f>
        <v>23.824545454545444</v>
      </c>
      <c r="AD29" s="165"/>
      <c r="AE29" s="165"/>
      <c r="AF29" s="165"/>
      <c r="AG29" s="165"/>
    </row>
    <row r="30" spans="1:33" x14ac:dyDescent="0.25">
      <c r="A30" s="165" t="s">
        <v>252</v>
      </c>
      <c r="B30" s="165" t="s">
        <v>205</v>
      </c>
      <c r="C30" s="165" t="s">
        <v>206</v>
      </c>
      <c r="D30" s="165" t="s">
        <v>809</v>
      </c>
      <c r="E30" s="165">
        <v>15.4</v>
      </c>
      <c r="F30" s="165"/>
      <c r="G30" s="165"/>
      <c r="H30" s="165" t="s">
        <v>252</v>
      </c>
      <c r="I30" s="165" t="s">
        <v>205</v>
      </c>
      <c r="J30" s="165" t="s">
        <v>206</v>
      </c>
      <c r="K30" s="165" t="s">
        <v>809</v>
      </c>
      <c r="L30" s="165">
        <v>39.229999999999997</v>
      </c>
      <c r="M30" s="165"/>
      <c r="N30" s="165"/>
      <c r="O30" s="165"/>
      <c r="P30" s="165"/>
      <c r="Q30" s="165" t="s">
        <v>33</v>
      </c>
      <c r="R30" s="165">
        <f t="shared" si="1"/>
        <v>1E-4</v>
      </c>
      <c r="S30" s="165">
        <f t="shared" si="0"/>
        <v>100</v>
      </c>
      <c r="T30" s="165">
        <f t="shared" si="2"/>
        <v>60220000000.000015</v>
      </c>
      <c r="U30" s="165">
        <f t="shared" si="3"/>
        <v>120440000.00000003</v>
      </c>
      <c r="V30" s="89">
        <f t="shared" si="4"/>
        <v>8.0807707468407219</v>
      </c>
      <c r="W30" s="165">
        <v>22.054545454545455</v>
      </c>
      <c r="X30" s="165">
        <v>0.72824945775968386</v>
      </c>
      <c r="Y30" s="165">
        <f t="shared" si="6"/>
        <v>1.4564989155193677</v>
      </c>
      <c r="Z30" s="165"/>
      <c r="AA30" s="165"/>
      <c r="AB30" s="165"/>
      <c r="AC30" s="165"/>
      <c r="AD30" s="165"/>
      <c r="AE30" s="165"/>
      <c r="AF30" s="165"/>
      <c r="AG30" s="165"/>
    </row>
    <row r="31" spans="1:33" x14ac:dyDescent="0.25">
      <c r="A31" s="165" t="s">
        <v>253</v>
      </c>
      <c r="B31" s="165" t="s">
        <v>205</v>
      </c>
      <c r="C31" s="165" t="s">
        <v>206</v>
      </c>
      <c r="D31" s="165" t="s">
        <v>809</v>
      </c>
      <c r="E31" s="165">
        <v>15.25</v>
      </c>
      <c r="F31" s="165"/>
      <c r="G31" s="165"/>
      <c r="H31" s="165" t="s">
        <v>253</v>
      </c>
      <c r="I31" s="165" t="s">
        <v>205</v>
      </c>
      <c r="J31" s="165" t="s">
        <v>206</v>
      </c>
      <c r="K31" s="165" t="s">
        <v>809</v>
      </c>
      <c r="L31" s="165">
        <v>38.08</v>
      </c>
      <c r="M31" s="165"/>
      <c r="N31" s="165"/>
      <c r="O31" s="165"/>
      <c r="P31" s="165"/>
      <c r="Q31" s="165" t="s">
        <v>34</v>
      </c>
      <c r="R31" s="165">
        <f t="shared" si="1"/>
        <v>1.0000000000000001E-5</v>
      </c>
      <c r="S31" s="165">
        <f t="shared" si="0"/>
        <v>10</v>
      </c>
      <c r="T31" s="165">
        <f t="shared" si="2"/>
        <v>6022000000.0000019</v>
      </c>
      <c r="U31" s="165">
        <f t="shared" si="3"/>
        <v>12044000.000000004</v>
      </c>
      <c r="V31" s="89">
        <f t="shared" si="4"/>
        <v>7.0807707468407219</v>
      </c>
      <c r="W31" s="165">
        <v>27.501818181818184</v>
      </c>
      <c r="X31" s="165">
        <v>0.28389498698702592</v>
      </c>
      <c r="Y31" s="165">
        <f t="shared" si="6"/>
        <v>0.56778997397405184</v>
      </c>
      <c r="Z31" s="165"/>
      <c r="AA31" s="165"/>
      <c r="AB31" s="165"/>
      <c r="AC31" s="165"/>
      <c r="AD31" s="165"/>
      <c r="AE31" s="165"/>
      <c r="AF31" s="165"/>
      <c r="AG31" s="165"/>
    </row>
    <row r="32" spans="1:33" x14ac:dyDescent="0.25">
      <c r="A32" s="165" t="s">
        <v>254</v>
      </c>
      <c r="B32" s="165" t="s">
        <v>205</v>
      </c>
      <c r="C32" s="165" t="s">
        <v>206</v>
      </c>
      <c r="D32" s="165" t="s">
        <v>809</v>
      </c>
      <c r="E32" s="165">
        <v>15.31</v>
      </c>
      <c r="F32" s="165"/>
      <c r="G32" s="165"/>
      <c r="H32" s="165" t="s">
        <v>254</v>
      </c>
      <c r="I32" s="165" t="s">
        <v>205</v>
      </c>
      <c r="J32" s="165" t="s">
        <v>206</v>
      </c>
      <c r="K32" s="165" t="s">
        <v>809</v>
      </c>
      <c r="L32" s="165">
        <v>38.840000000000003</v>
      </c>
      <c r="M32" s="165"/>
      <c r="N32" s="165"/>
      <c r="O32" s="165"/>
      <c r="P32" s="165"/>
      <c r="Q32" s="165" t="s">
        <v>35</v>
      </c>
      <c r="R32" s="165">
        <f t="shared" si="1"/>
        <v>1.0000000000000002E-6</v>
      </c>
      <c r="S32" s="165">
        <f t="shared" si="0"/>
        <v>1.0000000000000002</v>
      </c>
      <c r="T32" s="165">
        <f t="shared" si="2"/>
        <v>602200000.00000024</v>
      </c>
      <c r="U32" s="165">
        <f t="shared" si="3"/>
        <v>1204400.0000000005</v>
      </c>
      <c r="V32" s="89">
        <f t="shared" si="4"/>
        <v>6.0807707468407219</v>
      </c>
      <c r="W32" s="165">
        <v>28.344545454545457</v>
      </c>
      <c r="X32" s="165">
        <v>0.35550987711633641</v>
      </c>
      <c r="Y32" s="165">
        <f t="shared" si="6"/>
        <v>0.71101975423267283</v>
      </c>
      <c r="Z32" s="165"/>
      <c r="AA32" s="165"/>
      <c r="AB32" s="165"/>
      <c r="AC32" s="165"/>
      <c r="AD32" s="165"/>
      <c r="AE32" s="165"/>
      <c r="AF32" s="165"/>
      <c r="AG32" s="165"/>
    </row>
    <row r="33" spans="1:22" x14ac:dyDescent="0.25">
      <c r="A33" s="165" t="s">
        <v>255</v>
      </c>
      <c r="B33" s="165" t="s">
        <v>205</v>
      </c>
      <c r="C33" s="165" t="s">
        <v>206</v>
      </c>
      <c r="D33" s="165" t="s">
        <v>809</v>
      </c>
      <c r="E33" s="165">
        <v>15</v>
      </c>
      <c r="F33" s="165"/>
      <c r="G33" s="165"/>
      <c r="H33" s="165" t="s">
        <v>255</v>
      </c>
      <c r="I33" s="165" t="s">
        <v>205</v>
      </c>
      <c r="J33" s="165" t="s">
        <v>206</v>
      </c>
      <c r="K33" s="165" t="s">
        <v>809</v>
      </c>
      <c r="L33" s="165">
        <v>39.31</v>
      </c>
      <c r="M33" s="165"/>
      <c r="N33" s="165"/>
      <c r="O33" s="165"/>
      <c r="P33" s="165"/>
      <c r="Q33" s="165" t="s">
        <v>36</v>
      </c>
      <c r="R33" s="165">
        <f t="shared" si="1"/>
        <v>1.0000000000000002E-7</v>
      </c>
      <c r="S33" s="165">
        <f t="shared" si="0"/>
        <v>0.10000000000000002</v>
      </c>
      <c r="T33" s="165">
        <f t="shared" si="2"/>
        <v>60220000.000000022</v>
      </c>
      <c r="U33" s="165">
        <f t="shared" si="3"/>
        <v>120440.00000000004</v>
      </c>
      <c r="V33" s="89">
        <f t="shared" si="4"/>
        <v>5.0807707468407219</v>
      </c>
    </row>
    <row r="34" spans="1:22" x14ac:dyDescent="0.25">
      <c r="A34" s="165" t="s">
        <v>256</v>
      </c>
      <c r="B34" s="165" t="s">
        <v>205</v>
      </c>
      <c r="C34" s="165" t="s">
        <v>206</v>
      </c>
      <c r="D34" s="165" t="s">
        <v>809</v>
      </c>
      <c r="E34" s="165">
        <v>15.21</v>
      </c>
      <c r="F34" s="165"/>
      <c r="G34" s="165"/>
      <c r="H34" s="165" t="s">
        <v>256</v>
      </c>
      <c r="I34" s="165" t="s">
        <v>205</v>
      </c>
      <c r="J34" s="165" t="s">
        <v>206</v>
      </c>
      <c r="K34" s="165" t="s">
        <v>809</v>
      </c>
      <c r="L34" s="165">
        <v>37.99</v>
      </c>
      <c r="M34" s="165"/>
      <c r="N34" s="165"/>
      <c r="O34" s="165"/>
      <c r="P34" s="165"/>
      <c r="Q34" s="165" t="s">
        <v>37</v>
      </c>
      <c r="R34" s="165">
        <f t="shared" si="1"/>
        <v>1.0000000000000002E-8</v>
      </c>
      <c r="S34" s="165">
        <f t="shared" si="0"/>
        <v>1.0000000000000002E-2</v>
      </c>
      <c r="T34" s="165">
        <f t="shared" si="2"/>
        <v>6022000.0000000019</v>
      </c>
      <c r="U34" s="165">
        <f t="shared" si="3"/>
        <v>12044.000000000004</v>
      </c>
      <c r="V34" s="89">
        <f t="shared" si="4"/>
        <v>4.0807707468407219</v>
      </c>
    </row>
    <row r="35" spans="1:22" x14ac:dyDescent="0.25">
      <c r="A35" s="165" t="s">
        <v>257</v>
      </c>
      <c r="B35" s="165" t="s">
        <v>205</v>
      </c>
      <c r="C35" s="165" t="s">
        <v>206</v>
      </c>
      <c r="D35" s="165" t="s">
        <v>809</v>
      </c>
      <c r="E35" s="165">
        <v>15.13</v>
      </c>
      <c r="F35" s="165"/>
      <c r="G35" s="165"/>
      <c r="H35" s="165" t="s">
        <v>257</v>
      </c>
      <c r="I35" s="165" t="s">
        <v>205</v>
      </c>
      <c r="J35" s="165" t="s">
        <v>206</v>
      </c>
      <c r="K35" s="165" t="s">
        <v>809</v>
      </c>
      <c r="L35" s="165">
        <v>41.66</v>
      </c>
      <c r="M35" s="165"/>
      <c r="N35" s="165"/>
      <c r="O35" s="165"/>
      <c r="P35" s="165"/>
      <c r="Q35" s="165" t="s">
        <v>38</v>
      </c>
      <c r="R35" s="165">
        <f t="shared" si="1"/>
        <v>1.0000000000000003E-9</v>
      </c>
      <c r="S35" s="165">
        <f t="shared" si="0"/>
        <v>1.0000000000000002E-3</v>
      </c>
      <c r="T35" s="165">
        <f t="shared" si="2"/>
        <v>602200.00000000023</v>
      </c>
      <c r="U35" s="165">
        <f t="shared" si="3"/>
        <v>1204.4000000000005</v>
      </c>
      <c r="V35" s="89">
        <f t="shared" si="4"/>
        <v>3.0807707468407219</v>
      </c>
    </row>
    <row r="36" spans="1:22" x14ac:dyDescent="0.25">
      <c r="A36" s="165" t="s">
        <v>258</v>
      </c>
      <c r="B36" s="165" t="s">
        <v>205</v>
      </c>
      <c r="C36" s="165" t="s">
        <v>206</v>
      </c>
      <c r="D36" s="165" t="s">
        <v>809</v>
      </c>
      <c r="E36" s="165">
        <v>14.8</v>
      </c>
      <c r="F36" s="165"/>
      <c r="G36" s="165"/>
      <c r="H36" s="165" t="s">
        <v>258</v>
      </c>
      <c r="I36" s="165" t="s">
        <v>205</v>
      </c>
      <c r="J36" s="165" t="s">
        <v>206</v>
      </c>
      <c r="K36" s="165" t="s">
        <v>809</v>
      </c>
      <c r="L36" s="165">
        <v>36.9</v>
      </c>
      <c r="M36" s="165"/>
      <c r="N36" s="165"/>
      <c r="O36" s="165"/>
      <c r="P36" s="165"/>
      <c r="Q36" s="165" t="s">
        <v>39</v>
      </c>
      <c r="R36" s="165">
        <f t="shared" si="1"/>
        <v>1.0000000000000003E-10</v>
      </c>
      <c r="S36" s="165">
        <f t="shared" si="0"/>
        <v>1.0000000000000003E-4</v>
      </c>
      <c r="T36" s="165">
        <f t="shared" si="2"/>
        <v>60220.000000000022</v>
      </c>
      <c r="U36" s="165">
        <f t="shared" si="3"/>
        <v>120.44000000000004</v>
      </c>
      <c r="V36" s="89">
        <f t="shared" si="4"/>
        <v>2.0807707468407219</v>
      </c>
    </row>
    <row r="37" spans="1:22" x14ac:dyDescent="0.25">
      <c r="A37" s="165" t="s">
        <v>259</v>
      </c>
      <c r="B37" s="165" t="s">
        <v>205</v>
      </c>
      <c r="C37" s="165" t="s">
        <v>206</v>
      </c>
      <c r="D37" s="165" t="s">
        <v>809</v>
      </c>
      <c r="E37" s="165">
        <v>14.71</v>
      </c>
      <c r="F37" s="165"/>
      <c r="G37" s="165"/>
      <c r="H37" s="165" t="s">
        <v>259</v>
      </c>
      <c r="I37" s="165" t="s">
        <v>205</v>
      </c>
      <c r="J37" s="165" t="s">
        <v>206</v>
      </c>
      <c r="K37" s="165" t="s">
        <v>809</v>
      </c>
      <c r="L37" s="165">
        <v>38.619999999999997</v>
      </c>
      <c r="M37" s="165"/>
      <c r="N37" s="165"/>
      <c r="O37" s="165"/>
      <c r="P37" s="165"/>
      <c r="Q37" s="165" t="s">
        <v>40</v>
      </c>
      <c r="R37" s="165">
        <f t="shared" si="1"/>
        <v>1.0000000000000003E-11</v>
      </c>
      <c r="S37" s="165">
        <f t="shared" si="0"/>
        <v>1.0000000000000003E-5</v>
      </c>
      <c r="T37" s="165">
        <f t="shared" si="2"/>
        <v>6022.0000000000018</v>
      </c>
      <c r="U37" s="89">
        <f t="shared" si="3"/>
        <v>12.044000000000004</v>
      </c>
      <c r="V37" s="89">
        <f t="shared" si="4"/>
        <v>1.0807707468407219</v>
      </c>
    </row>
    <row r="38" spans="1:22" x14ac:dyDescent="0.25">
      <c r="A38" s="165" t="s">
        <v>260</v>
      </c>
      <c r="B38" s="165" t="s">
        <v>205</v>
      </c>
      <c r="C38" s="165" t="s">
        <v>206</v>
      </c>
      <c r="D38" s="165" t="s">
        <v>809</v>
      </c>
      <c r="E38" s="165">
        <v>19.89</v>
      </c>
      <c r="F38" s="165">
        <f>AVERAGE(E39:E49)</f>
        <v>22.054545454545455</v>
      </c>
      <c r="G38" s="165">
        <f>STDEV(E39:E49)</f>
        <v>0.72824945775968386</v>
      </c>
      <c r="H38" s="165" t="s">
        <v>260</v>
      </c>
      <c r="I38" s="165" t="s">
        <v>205</v>
      </c>
      <c r="J38" s="165" t="s">
        <v>206</v>
      </c>
      <c r="K38" s="165" t="s">
        <v>809</v>
      </c>
      <c r="L38" s="165" t="s">
        <v>220</v>
      </c>
      <c r="M38" s="165"/>
      <c r="N38" s="165"/>
      <c r="O38" s="165"/>
      <c r="P38" s="165"/>
      <c r="Q38" s="165" t="s">
        <v>41</v>
      </c>
      <c r="R38" s="165">
        <f t="shared" si="1"/>
        <v>1.0000000000000002E-12</v>
      </c>
      <c r="S38" s="165">
        <f t="shared" si="0"/>
        <v>1.0000000000000002E-6</v>
      </c>
      <c r="T38" s="165">
        <f t="shared" si="2"/>
        <v>602.20000000000016</v>
      </c>
      <c r="U38" s="89">
        <f t="shared" si="3"/>
        <v>1.2044000000000004</v>
      </c>
      <c r="V38" s="89">
        <f t="shared" si="4"/>
        <v>8.077074684072183E-2</v>
      </c>
    </row>
    <row r="39" spans="1:22" x14ac:dyDescent="0.25">
      <c r="A39" s="165" t="s">
        <v>261</v>
      </c>
      <c r="B39" s="165" t="s">
        <v>205</v>
      </c>
      <c r="C39" s="165" t="s">
        <v>206</v>
      </c>
      <c r="D39" s="165" t="s">
        <v>809</v>
      </c>
      <c r="E39" s="165">
        <v>22.07</v>
      </c>
      <c r="F39" s="165"/>
      <c r="G39" s="165"/>
      <c r="H39" s="165" t="s">
        <v>261</v>
      </c>
      <c r="I39" s="165" t="s">
        <v>205</v>
      </c>
      <c r="J39" s="165" t="s">
        <v>206</v>
      </c>
      <c r="K39" s="165" t="s">
        <v>809</v>
      </c>
      <c r="L39" s="165" t="s">
        <v>220</v>
      </c>
      <c r="M39" s="165"/>
      <c r="N39" s="165"/>
      <c r="O39" s="165"/>
      <c r="P39" s="165"/>
      <c r="Q39" s="89" t="s">
        <v>42</v>
      </c>
      <c r="R39" s="165">
        <f t="shared" si="1"/>
        <v>1.0000000000000002E-13</v>
      </c>
      <c r="S39" s="165">
        <f t="shared" si="0"/>
        <v>1.0000000000000002E-7</v>
      </c>
      <c r="T39" s="165">
        <f t="shared" si="2"/>
        <v>60.220000000000013</v>
      </c>
      <c r="U39" s="89">
        <f t="shared" si="3"/>
        <v>0.12044000000000002</v>
      </c>
      <c r="V39" s="89">
        <f t="shared" si="4"/>
        <v>-0.91922925315927817</v>
      </c>
    </row>
    <row r="40" spans="1:22" x14ac:dyDescent="0.25">
      <c r="A40" s="165" t="s">
        <v>262</v>
      </c>
      <c r="B40" s="165" t="s">
        <v>205</v>
      </c>
      <c r="C40" s="165" t="s">
        <v>206</v>
      </c>
      <c r="D40" s="165" t="s">
        <v>809</v>
      </c>
      <c r="E40" s="165">
        <v>22.92</v>
      </c>
      <c r="F40" s="165"/>
      <c r="G40" s="165"/>
      <c r="H40" s="165" t="s">
        <v>262</v>
      </c>
      <c r="I40" s="165" t="s">
        <v>205</v>
      </c>
      <c r="J40" s="165" t="s">
        <v>206</v>
      </c>
      <c r="K40" s="165" t="s">
        <v>809</v>
      </c>
      <c r="L40" s="165" t="s">
        <v>220</v>
      </c>
      <c r="M40" s="165"/>
      <c r="N40" s="165"/>
      <c r="O40" s="165"/>
      <c r="P40" s="165"/>
      <c r="Q40" s="89" t="s">
        <v>43</v>
      </c>
      <c r="R40" s="165">
        <f t="shared" si="1"/>
        <v>1.0000000000000002E-14</v>
      </c>
      <c r="S40" s="165">
        <f t="shared" si="0"/>
        <v>1.0000000000000002E-8</v>
      </c>
      <c r="T40" s="165">
        <f t="shared" si="2"/>
        <v>6.0220000000000011</v>
      </c>
      <c r="U40" s="89">
        <f t="shared" si="3"/>
        <v>1.2044000000000003E-2</v>
      </c>
      <c r="V40" s="89">
        <f t="shared" si="4"/>
        <v>-1.9192292531592783</v>
      </c>
    </row>
    <row r="41" spans="1:22" x14ac:dyDescent="0.25">
      <c r="A41" s="165" t="s">
        <v>263</v>
      </c>
      <c r="B41" s="165" t="s">
        <v>205</v>
      </c>
      <c r="C41" s="165" t="s">
        <v>206</v>
      </c>
      <c r="D41" s="165" t="s">
        <v>809</v>
      </c>
      <c r="E41" s="165">
        <v>23.51</v>
      </c>
      <c r="F41" s="165"/>
      <c r="G41" s="165"/>
      <c r="H41" s="165" t="s">
        <v>263</v>
      </c>
      <c r="I41" s="165" t="s">
        <v>205</v>
      </c>
      <c r="J41" s="165" t="s">
        <v>206</v>
      </c>
      <c r="K41" s="165" t="s">
        <v>809</v>
      </c>
      <c r="L41" s="165" t="s">
        <v>220</v>
      </c>
      <c r="M41" s="165"/>
      <c r="N41" s="165"/>
      <c r="O41" s="165"/>
      <c r="P41" s="165"/>
      <c r="Q41" s="89" t="s">
        <v>44</v>
      </c>
      <c r="R41" s="165">
        <f t="shared" si="1"/>
        <v>1.0000000000000001E-15</v>
      </c>
      <c r="S41" s="165">
        <f t="shared" si="0"/>
        <v>1.0000000000000001E-9</v>
      </c>
      <c r="T41" s="89">
        <f t="shared" si="2"/>
        <v>0.60220000000000007</v>
      </c>
      <c r="U41" s="89">
        <f t="shared" si="3"/>
        <v>1.2044000000000002E-3</v>
      </c>
      <c r="V41" s="89">
        <f t="shared" si="4"/>
        <v>-2.9192292531592781</v>
      </c>
    </row>
    <row r="42" spans="1:22" x14ac:dyDescent="0.25">
      <c r="A42" s="165" t="s">
        <v>264</v>
      </c>
      <c r="B42" s="165" t="s">
        <v>205</v>
      </c>
      <c r="C42" s="165" t="s">
        <v>206</v>
      </c>
      <c r="D42" s="165" t="s">
        <v>809</v>
      </c>
      <c r="E42" s="165">
        <v>22.49</v>
      </c>
      <c r="F42" s="165"/>
      <c r="G42" s="165"/>
      <c r="H42" s="165" t="s">
        <v>264</v>
      </c>
      <c r="I42" s="165" t="s">
        <v>205</v>
      </c>
      <c r="J42" s="165" t="s">
        <v>206</v>
      </c>
      <c r="K42" s="165" t="s">
        <v>809</v>
      </c>
      <c r="L42" s="165" t="s">
        <v>220</v>
      </c>
      <c r="M42" s="165"/>
      <c r="N42" s="165"/>
      <c r="O42" s="165"/>
      <c r="P42" s="165"/>
      <c r="Q42" s="89" t="s">
        <v>45</v>
      </c>
      <c r="R42" s="165">
        <f t="shared" si="1"/>
        <v>1.0000000000000001E-16</v>
      </c>
      <c r="S42" s="165">
        <f t="shared" si="0"/>
        <v>1.0000000000000002E-10</v>
      </c>
      <c r="T42" s="89">
        <f t="shared" si="2"/>
        <v>6.022000000000001E-2</v>
      </c>
      <c r="U42" s="89">
        <f t="shared" si="3"/>
        <v>1.2044000000000002E-4</v>
      </c>
      <c r="V42" s="89">
        <f t="shared" si="4"/>
        <v>-3.9192292531592781</v>
      </c>
    </row>
    <row r="43" spans="1:22" x14ac:dyDescent="0.25">
      <c r="A43" s="165" t="s">
        <v>265</v>
      </c>
      <c r="B43" s="165" t="s">
        <v>205</v>
      </c>
      <c r="C43" s="165" t="s">
        <v>206</v>
      </c>
      <c r="D43" s="165" t="s">
        <v>809</v>
      </c>
      <c r="E43" s="165">
        <v>22.45</v>
      </c>
      <c r="F43" s="165"/>
      <c r="G43" s="165"/>
      <c r="H43" s="165" t="s">
        <v>265</v>
      </c>
      <c r="I43" s="165" t="s">
        <v>205</v>
      </c>
      <c r="J43" s="165" t="s">
        <v>206</v>
      </c>
      <c r="K43" s="165" t="s">
        <v>809</v>
      </c>
      <c r="L43" s="165" t="s">
        <v>220</v>
      </c>
      <c r="M43" s="165"/>
      <c r="N43" s="165"/>
      <c r="O43" s="165"/>
      <c r="P43" s="165"/>
      <c r="Q43" s="89" t="s">
        <v>46</v>
      </c>
      <c r="R43" s="165">
        <f t="shared" si="1"/>
        <v>1.0000000000000001E-17</v>
      </c>
      <c r="S43" s="165">
        <f t="shared" si="0"/>
        <v>1.0000000000000001E-11</v>
      </c>
      <c r="T43" s="89">
        <f t="shared" si="2"/>
        <v>6.0220000000000013E-3</v>
      </c>
      <c r="U43" s="89">
        <f t="shared" si="3"/>
        <v>1.2044000000000002E-5</v>
      </c>
      <c r="V43" s="89">
        <f t="shared" si="4"/>
        <v>-4.9192292531592781</v>
      </c>
    </row>
    <row r="44" spans="1:22" x14ac:dyDescent="0.25">
      <c r="A44" s="165" t="s">
        <v>266</v>
      </c>
      <c r="B44" s="165" t="s">
        <v>205</v>
      </c>
      <c r="C44" s="165" t="s">
        <v>206</v>
      </c>
      <c r="D44" s="165" t="s">
        <v>809</v>
      </c>
      <c r="E44" s="165">
        <v>21.47</v>
      </c>
      <c r="F44" s="165"/>
      <c r="G44" s="165"/>
      <c r="H44" s="165" t="s">
        <v>266</v>
      </c>
      <c r="I44" s="165" t="s">
        <v>205</v>
      </c>
      <c r="J44" s="165" t="s">
        <v>206</v>
      </c>
      <c r="K44" s="165" t="s">
        <v>809</v>
      </c>
      <c r="L44" s="165" t="s">
        <v>220</v>
      </c>
      <c r="M44" s="165"/>
      <c r="N44" s="165"/>
      <c r="O44" s="165"/>
      <c r="P44" s="165"/>
      <c r="Q44" s="89" t="s">
        <v>47</v>
      </c>
      <c r="R44" s="165">
        <f>R43/10</f>
        <v>1.0000000000000001E-18</v>
      </c>
      <c r="S44" s="165">
        <f t="shared" si="0"/>
        <v>9.9999999999999998E-13</v>
      </c>
      <c r="T44" s="89">
        <f t="shared" si="2"/>
        <v>6.0220000000000011E-4</v>
      </c>
      <c r="U44" s="89">
        <f t="shared" si="3"/>
        <v>1.2044000000000003E-6</v>
      </c>
      <c r="V44" s="89">
        <f t="shared" si="4"/>
        <v>-5.9192292531592781</v>
      </c>
    </row>
    <row r="45" spans="1:22" x14ac:dyDescent="0.25">
      <c r="A45" s="165" t="s">
        <v>267</v>
      </c>
      <c r="B45" s="165" t="s">
        <v>205</v>
      </c>
      <c r="C45" s="165" t="s">
        <v>206</v>
      </c>
      <c r="D45" s="165" t="s">
        <v>809</v>
      </c>
      <c r="E45" s="165">
        <v>21.86</v>
      </c>
      <c r="F45" s="165"/>
      <c r="G45" s="165"/>
      <c r="H45" s="165" t="s">
        <v>267</v>
      </c>
      <c r="I45" s="165" t="s">
        <v>205</v>
      </c>
      <c r="J45" s="165" t="s">
        <v>206</v>
      </c>
      <c r="K45" s="165" t="s">
        <v>809</v>
      </c>
      <c r="L45" s="165" t="s">
        <v>220</v>
      </c>
      <c r="M45" s="165"/>
      <c r="N45" s="165"/>
      <c r="O45" s="165"/>
      <c r="P45" s="165"/>
      <c r="Q45" s="165"/>
      <c r="R45" s="165"/>
      <c r="S45" s="165"/>
      <c r="T45" s="165"/>
      <c r="U45" s="165"/>
      <c r="V45" s="165"/>
    </row>
    <row r="46" spans="1:22" x14ac:dyDescent="0.25">
      <c r="A46" s="165" t="s">
        <v>268</v>
      </c>
      <c r="B46" s="165" t="s">
        <v>205</v>
      </c>
      <c r="C46" s="165" t="s">
        <v>206</v>
      </c>
      <c r="D46" s="165" t="s">
        <v>809</v>
      </c>
      <c r="E46" s="165">
        <v>21.9</v>
      </c>
      <c r="F46" s="165"/>
      <c r="G46" s="165"/>
      <c r="H46" s="165" t="s">
        <v>268</v>
      </c>
      <c r="I46" s="165" t="s">
        <v>205</v>
      </c>
      <c r="J46" s="165" t="s">
        <v>206</v>
      </c>
      <c r="K46" s="165" t="s">
        <v>809</v>
      </c>
      <c r="L46" s="165" t="s">
        <v>220</v>
      </c>
      <c r="M46" s="165"/>
      <c r="N46" s="165"/>
      <c r="O46" s="165"/>
      <c r="P46" s="165"/>
      <c r="Q46" s="165"/>
      <c r="R46" s="165"/>
      <c r="S46" s="165"/>
      <c r="T46" s="165"/>
      <c r="U46" s="165"/>
      <c r="V46" s="165"/>
    </row>
    <row r="47" spans="1:22" x14ac:dyDescent="0.25">
      <c r="A47" s="165" t="s">
        <v>270</v>
      </c>
      <c r="B47" s="165" t="s">
        <v>205</v>
      </c>
      <c r="C47" s="165" t="s">
        <v>206</v>
      </c>
      <c r="D47" s="165" t="s">
        <v>809</v>
      </c>
      <c r="E47" s="165">
        <v>21.43</v>
      </c>
      <c r="F47" s="165"/>
      <c r="G47" s="165"/>
      <c r="H47" s="165" t="s">
        <v>270</v>
      </c>
      <c r="I47" s="165" t="s">
        <v>205</v>
      </c>
      <c r="J47" s="165" t="s">
        <v>206</v>
      </c>
      <c r="K47" s="165" t="s">
        <v>809</v>
      </c>
      <c r="L47" s="165" t="s">
        <v>220</v>
      </c>
      <c r="M47" s="165"/>
      <c r="N47" s="165"/>
      <c r="O47" s="165"/>
      <c r="P47" s="165"/>
      <c r="Q47" s="165"/>
      <c r="R47" s="165"/>
      <c r="S47" s="165"/>
      <c r="T47" s="165"/>
      <c r="U47" s="165"/>
      <c r="V47" s="165"/>
    </row>
    <row r="48" spans="1:22" x14ac:dyDescent="0.25">
      <c r="A48" s="165" t="s">
        <v>272</v>
      </c>
      <c r="B48" s="165" t="s">
        <v>205</v>
      </c>
      <c r="C48" s="165" t="s">
        <v>206</v>
      </c>
      <c r="D48" s="165" t="s">
        <v>809</v>
      </c>
      <c r="E48" s="165">
        <v>21.28</v>
      </c>
      <c r="F48" s="165"/>
      <c r="G48" s="165"/>
      <c r="H48" s="165" t="s">
        <v>272</v>
      </c>
      <c r="I48" s="165" t="s">
        <v>205</v>
      </c>
      <c r="J48" s="165" t="s">
        <v>206</v>
      </c>
      <c r="K48" s="165" t="s">
        <v>809</v>
      </c>
      <c r="L48" s="165" t="s">
        <v>220</v>
      </c>
      <c r="M48" s="165"/>
      <c r="N48" s="165"/>
      <c r="O48" s="165"/>
      <c r="P48" s="165"/>
      <c r="Q48" s="165" t="s">
        <v>813</v>
      </c>
      <c r="R48" s="165" t="s">
        <v>814</v>
      </c>
      <c r="S48" s="165" t="s">
        <v>815</v>
      </c>
      <c r="T48" s="165" t="s">
        <v>816</v>
      </c>
      <c r="U48" s="165"/>
      <c r="V48" s="165"/>
    </row>
    <row r="49" spans="1:20" x14ac:dyDescent="0.25">
      <c r="A49" s="165" t="s">
        <v>273</v>
      </c>
      <c r="B49" s="165" t="s">
        <v>205</v>
      </c>
      <c r="C49" s="165" t="s">
        <v>206</v>
      </c>
      <c r="D49" s="165" t="s">
        <v>809</v>
      </c>
      <c r="E49" s="165">
        <v>21.22</v>
      </c>
      <c r="F49" s="165"/>
      <c r="G49" s="165"/>
      <c r="H49" s="165" t="s">
        <v>273</v>
      </c>
      <c r="I49" s="165" t="s">
        <v>205</v>
      </c>
      <c r="J49" s="165" t="s">
        <v>206</v>
      </c>
      <c r="K49" s="165" t="s">
        <v>809</v>
      </c>
      <c r="L49" s="165" t="s">
        <v>220</v>
      </c>
      <c r="M49" s="165"/>
      <c r="N49" s="165"/>
      <c r="O49" s="165"/>
      <c r="P49" s="165"/>
      <c r="Q49" s="89">
        <f>T27/1000*10</f>
        <v>602200000000.00012</v>
      </c>
      <c r="R49" s="165">
        <v>10</v>
      </c>
      <c r="S49" s="89">
        <f>Q49*R49/T49</f>
        <v>4014666666.6666675</v>
      </c>
      <c r="T49" s="165">
        <v>1500</v>
      </c>
    </row>
    <row r="50" spans="1:20" x14ac:dyDescent="0.25">
      <c r="A50" s="165" t="s">
        <v>274</v>
      </c>
      <c r="B50" s="165" t="s">
        <v>205</v>
      </c>
      <c r="C50" s="165" t="s">
        <v>206</v>
      </c>
      <c r="D50" s="165" t="s">
        <v>809</v>
      </c>
      <c r="E50" s="165">
        <v>26.37</v>
      </c>
      <c r="F50" s="165">
        <f>AVERAGE(E51:E61)</f>
        <v>27.501818181818184</v>
      </c>
      <c r="G50" s="165">
        <f>STDEV(E51:E61)</f>
        <v>0.28389498698702592</v>
      </c>
      <c r="H50" s="165" t="s">
        <v>274</v>
      </c>
      <c r="I50" s="165" t="s">
        <v>205</v>
      </c>
      <c r="J50" s="165" t="s">
        <v>206</v>
      </c>
      <c r="K50" s="165" t="s">
        <v>809</v>
      </c>
      <c r="L50" s="165" t="s">
        <v>220</v>
      </c>
      <c r="M50" s="165"/>
      <c r="N50" s="165"/>
      <c r="O50" s="165"/>
      <c r="P50" s="165"/>
      <c r="Q50" s="165"/>
      <c r="R50" s="165"/>
      <c r="S50" s="165"/>
      <c r="T50" s="165"/>
    </row>
    <row r="51" spans="1:20" x14ac:dyDescent="0.25">
      <c r="A51" s="165" t="s">
        <v>275</v>
      </c>
      <c r="B51" s="165" t="s">
        <v>205</v>
      </c>
      <c r="C51" s="165" t="s">
        <v>206</v>
      </c>
      <c r="D51" s="165" t="s">
        <v>809</v>
      </c>
      <c r="E51" s="165">
        <v>27.63</v>
      </c>
      <c r="F51" s="165"/>
      <c r="G51" s="165"/>
      <c r="H51" s="165" t="s">
        <v>275</v>
      </c>
      <c r="I51" s="165" t="s">
        <v>205</v>
      </c>
      <c r="J51" s="165" t="s">
        <v>206</v>
      </c>
      <c r="K51" s="165" t="s">
        <v>809</v>
      </c>
      <c r="L51" s="165" t="s">
        <v>220</v>
      </c>
      <c r="M51" s="165"/>
      <c r="N51" s="165"/>
      <c r="O51" s="165"/>
      <c r="P51" s="165"/>
      <c r="Q51" s="165"/>
      <c r="R51" s="165"/>
      <c r="S51" s="165"/>
      <c r="T51" s="165"/>
    </row>
    <row r="52" spans="1:20" x14ac:dyDescent="0.25">
      <c r="A52" s="165" t="s">
        <v>276</v>
      </c>
      <c r="B52" s="165" t="s">
        <v>205</v>
      </c>
      <c r="C52" s="165" t="s">
        <v>206</v>
      </c>
      <c r="D52" s="165" t="s">
        <v>809</v>
      </c>
      <c r="E52" s="165">
        <v>27.42</v>
      </c>
      <c r="F52" s="165"/>
      <c r="G52" s="165"/>
      <c r="H52" s="165" t="s">
        <v>276</v>
      </c>
      <c r="I52" s="165" t="s">
        <v>205</v>
      </c>
      <c r="J52" s="165" t="s">
        <v>206</v>
      </c>
      <c r="K52" s="165" t="s">
        <v>809</v>
      </c>
      <c r="L52" s="165" t="s">
        <v>220</v>
      </c>
      <c r="M52" s="165"/>
      <c r="N52" s="165"/>
      <c r="O52" s="165"/>
      <c r="P52" s="165"/>
      <c r="Q52" s="165"/>
      <c r="R52" s="165"/>
      <c r="S52" s="165"/>
      <c r="T52" s="165"/>
    </row>
    <row r="53" spans="1:20" x14ac:dyDescent="0.25">
      <c r="A53" s="165" t="s">
        <v>277</v>
      </c>
      <c r="B53" s="165" t="s">
        <v>205</v>
      </c>
      <c r="C53" s="165" t="s">
        <v>206</v>
      </c>
      <c r="D53" s="165" t="s">
        <v>809</v>
      </c>
      <c r="E53" s="165">
        <v>26.99</v>
      </c>
      <c r="F53" s="165"/>
      <c r="G53" s="165"/>
      <c r="H53" s="165" t="s">
        <v>277</v>
      </c>
      <c r="I53" s="165" t="s">
        <v>205</v>
      </c>
      <c r="J53" s="165" t="s">
        <v>206</v>
      </c>
      <c r="K53" s="165" t="s">
        <v>809</v>
      </c>
      <c r="L53" s="165" t="s">
        <v>220</v>
      </c>
      <c r="M53" s="165"/>
      <c r="N53" s="165"/>
      <c r="O53" s="165"/>
      <c r="P53" s="165"/>
      <c r="Q53" s="165"/>
      <c r="R53" s="165"/>
      <c r="S53" s="165"/>
      <c r="T53" s="165"/>
    </row>
    <row r="54" spans="1:20" x14ac:dyDescent="0.25">
      <c r="A54" s="165" t="s">
        <v>278</v>
      </c>
      <c r="B54" s="165" t="s">
        <v>205</v>
      </c>
      <c r="C54" s="165" t="s">
        <v>206</v>
      </c>
      <c r="D54" s="165" t="s">
        <v>809</v>
      </c>
      <c r="E54" s="165">
        <v>27.42</v>
      </c>
      <c r="F54" s="165"/>
      <c r="G54" s="165"/>
      <c r="H54" s="165" t="s">
        <v>278</v>
      </c>
      <c r="I54" s="165" t="s">
        <v>205</v>
      </c>
      <c r="J54" s="165" t="s">
        <v>206</v>
      </c>
      <c r="K54" s="165" t="s">
        <v>809</v>
      </c>
      <c r="L54" s="165" t="s">
        <v>220</v>
      </c>
      <c r="M54" s="165"/>
      <c r="N54" s="165"/>
      <c r="O54" s="165"/>
      <c r="P54" s="165"/>
      <c r="Q54" s="165"/>
      <c r="R54" s="165"/>
      <c r="S54" s="165"/>
      <c r="T54" s="165"/>
    </row>
    <row r="55" spans="1:20" x14ac:dyDescent="0.25">
      <c r="A55" s="165" t="s">
        <v>279</v>
      </c>
      <c r="B55" s="165" t="s">
        <v>205</v>
      </c>
      <c r="C55" s="165" t="s">
        <v>206</v>
      </c>
      <c r="D55" s="165" t="s">
        <v>809</v>
      </c>
      <c r="E55" s="165">
        <v>27.51</v>
      </c>
      <c r="F55" s="165"/>
      <c r="G55" s="165"/>
      <c r="H55" s="165" t="s">
        <v>279</v>
      </c>
      <c r="I55" s="165" t="s">
        <v>205</v>
      </c>
      <c r="J55" s="165" t="s">
        <v>206</v>
      </c>
      <c r="K55" s="165" t="s">
        <v>809</v>
      </c>
      <c r="L55" s="165" t="s">
        <v>220</v>
      </c>
      <c r="M55" s="165"/>
      <c r="N55" s="165"/>
      <c r="O55" s="165"/>
      <c r="P55" s="165"/>
      <c r="Q55" s="165"/>
      <c r="R55" s="165"/>
      <c r="S55" s="165"/>
      <c r="T55" s="165"/>
    </row>
    <row r="56" spans="1:20" x14ac:dyDescent="0.25">
      <c r="A56" s="165" t="s">
        <v>280</v>
      </c>
      <c r="B56" s="165" t="s">
        <v>205</v>
      </c>
      <c r="C56" s="165" t="s">
        <v>206</v>
      </c>
      <c r="D56" s="165" t="s">
        <v>809</v>
      </c>
      <c r="E56" s="165">
        <v>27.8</v>
      </c>
      <c r="F56" s="165"/>
      <c r="G56" s="165"/>
      <c r="H56" s="165" t="s">
        <v>280</v>
      </c>
      <c r="I56" s="165" t="s">
        <v>205</v>
      </c>
      <c r="J56" s="165" t="s">
        <v>206</v>
      </c>
      <c r="K56" s="165" t="s">
        <v>809</v>
      </c>
      <c r="L56" s="165" t="s">
        <v>220</v>
      </c>
      <c r="M56" s="165"/>
      <c r="N56" s="165"/>
      <c r="O56" s="165"/>
      <c r="P56" s="165"/>
      <c r="Q56" s="165"/>
      <c r="R56" s="165"/>
      <c r="S56" s="165"/>
      <c r="T56" s="165"/>
    </row>
    <row r="57" spans="1:20" x14ac:dyDescent="0.25">
      <c r="A57" s="165" t="s">
        <v>281</v>
      </c>
      <c r="B57" s="165" t="s">
        <v>205</v>
      </c>
      <c r="C57" s="165" t="s">
        <v>206</v>
      </c>
      <c r="D57" s="165" t="s">
        <v>809</v>
      </c>
      <c r="E57" s="165">
        <v>27.27</v>
      </c>
      <c r="F57" s="165"/>
      <c r="G57" s="165"/>
      <c r="H57" s="165" t="s">
        <v>281</v>
      </c>
      <c r="I57" s="165" t="s">
        <v>205</v>
      </c>
      <c r="J57" s="165" t="s">
        <v>206</v>
      </c>
      <c r="K57" s="165" t="s">
        <v>809</v>
      </c>
      <c r="L57" s="165" t="s">
        <v>220</v>
      </c>
      <c r="M57" s="165"/>
      <c r="N57" s="165"/>
      <c r="O57" s="165"/>
      <c r="P57" s="165"/>
      <c r="Q57" s="165"/>
      <c r="R57" s="165"/>
      <c r="S57" s="165"/>
      <c r="T57" s="165"/>
    </row>
    <row r="58" spans="1:20" x14ac:dyDescent="0.25">
      <c r="A58" s="165" t="s">
        <v>282</v>
      </c>
      <c r="B58" s="165" t="s">
        <v>205</v>
      </c>
      <c r="C58" s="165" t="s">
        <v>206</v>
      </c>
      <c r="D58" s="165" t="s">
        <v>809</v>
      </c>
      <c r="E58" s="165">
        <v>27.61</v>
      </c>
      <c r="F58" s="165"/>
      <c r="G58" s="165"/>
      <c r="H58" s="165" t="s">
        <v>282</v>
      </c>
      <c r="I58" s="165" t="s">
        <v>205</v>
      </c>
      <c r="J58" s="165" t="s">
        <v>206</v>
      </c>
      <c r="K58" s="165" t="s">
        <v>809</v>
      </c>
      <c r="L58" s="165" t="s">
        <v>220</v>
      </c>
      <c r="M58" s="165"/>
      <c r="N58" s="165"/>
      <c r="O58" s="165"/>
      <c r="P58" s="165"/>
      <c r="Q58" s="165"/>
      <c r="R58" s="165"/>
      <c r="S58" s="165"/>
      <c r="T58" s="165"/>
    </row>
    <row r="59" spans="1:20" x14ac:dyDescent="0.25">
      <c r="A59" s="165" t="s">
        <v>283</v>
      </c>
      <c r="B59" s="165" t="s">
        <v>205</v>
      </c>
      <c r="C59" s="165" t="s">
        <v>206</v>
      </c>
      <c r="D59" s="165" t="s">
        <v>809</v>
      </c>
      <c r="E59" s="165">
        <v>27.79</v>
      </c>
      <c r="F59" s="165"/>
      <c r="G59" s="165"/>
      <c r="H59" s="165" t="s">
        <v>283</v>
      </c>
      <c r="I59" s="165" t="s">
        <v>205</v>
      </c>
      <c r="J59" s="165" t="s">
        <v>206</v>
      </c>
      <c r="K59" s="165" t="s">
        <v>809</v>
      </c>
      <c r="L59" s="165" t="s">
        <v>220</v>
      </c>
      <c r="M59" s="165"/>
      <c r="N59" s="165"/>
      <c r="O59" s="165"/>
      <c r="P59" s="165"/>
      <c r="Q59" s="165"/>
      <c r="R59" s="165"/>
      <c r="S59" s="165"/>
      <c r="T59" s="165"/>
    </row>
    <row r="60" spans="1:20" x14ac:dyDescent="0.25">
      <c r="A60" s="165" t="s">
        <v>284</v>
      </c>
      <c r="B60" s="165" t="s">
        <v>205</v>
      </c>
      <c r="C60" s="165" t="s">
        <v>206</v>
      </c>
      <c r="D60" s="165" t="s">
        <v>809</v>
      </c>
      <c r="E60" s="165">
        <v>27.17</v>
      </c>
      <c r="F60" s="165"/>
      <c r="G60" s="165"/>
      <c r="H60" s="165" t="s">
        <v>284</v>
      </c>
      <c r="I60" s="165" t="s">
        <v>205</v>
      </c>
      <c r="J60" s="165" t="s">
        <v>206</v>
      </c>
      <c r="K60" s="165" t="s">
        <v>809</v>
      </c>
      <c r="L60" s="165" t="s">
        <v>220</v>
      </c>
      <c r="M60" s="165"/>
      <c r="N60" s="165"/>
      <c r="O60" s="165"/>
      <c r="P60" s="165"/>
      <c r="Q60" s="165"/>
      <c r="R60" s="165"/>
      <c r="S60" s="165"/>
      <c r="T60" s="165"/>
    </row>
    <row r="61" spans="1:20" x14ac:dyDescent="0.25">
      <c r="A61" s="165" t="s">
        <v>285</v>
      </c>
      <c r="B61" s="165" t="s">
        <v>205</v>
      </c>
      <c r="C61" s="165" t="s">
        <v>206</v>
      </c>
      <c r="D61" s="165" t="s">
        <v>809</v>
      </c>
      <c r="E61" s="165">
        <v>27.91</v>
      </c>
      <c r="F61" s="165"/>
      <c r="G61" s="165"/>
      <c r="H61" s="165" t="s">
        <v>285</v>
      </c>
      <c r="I61" s="165" t="s">
        <v>205</v>
      </c>
      <c r="J61" s="165" t="s">
        <v>206</v>
      </c>
      <c r="K61" s="165" t="s">
        <v>809</v>
      </c>
      <c r="L61" s="165" t="s">
        <v>220</v>
      </c>
      <c r="M61" s="165"/>
      <c r="N61" s="165"/>
      <c r="O61" s="165"/>
      <c r="P61" s="165"/>
      <c r="Q61" s="165"/>
      <c r="R61" s="165"/>
      <c r="S61" s="165"/>
      <c r="T61" s="165"/>
    </row>
    <row r="62" spans="1:20" x14ac:dyDescent="0.25">
      <c r="A62" s="165" t="s">
        <v>286</v>
      </c>
      <c r="B62" s="165" t="s">
        <v>205</v>
      </c>
      <c r="C62" s="165" t="s">
        <v>206</v>
      </c>
      <c r="D62" s="165" t="s">
        <v>809</v>
      </c>
      <c r="E62" s="165">
        <v>27.06</v>
      </c>
      <c r="F62" s="165">
        <f>AVERAGE(E63:E73)</f>
        <v>28.344545454545457</v>
      </c>
      <c r="G62" s="165">
        <f>STDEV(E63:E73)</f>
        <v>0.35550987711633641</v>
      </c>
      <c r="H62" s="165" t="s">
        <v>286</v>
      </c>
      <c r="I62" s="165" t="s">
        <v>205</v>
      </c>
      <c r="J62" s="165" t="s">
        <v>206</v>
      </c>
      <c r="K62" s="165" t="s">
        <v>809</v>
      </c>
      <c r="L62" s="165" t="s">
        <v>220</v>
      </c>
      <c r="M62" s="165"/>
      <c r="N62" s="165"/>
      <c r="O62" s="165"/>
      <c r="P62" s="165"/>
      <c r="Q62" s="165"/>
      <c r="R62" s="165"/>
      <c r="S62" s="165"/>
      <c r="T62" s="165"/>
    </row>
    <row r="63" spans="1:20" x14ac:dyDescent="0.25">
      <c r="A63" s="165" t="s">
        <v>287</v>
      </c>
      <c r="B63" s="165" t="s">
        <v>205</v>
      </c>
      <c r="C63" s="165" t="s">
        <v>206</v>
      </c>
      <c r="D63" s="165" t="s">
        <v>809</v>
      </c>
      <c r="E63" s="165">
        <v>28.36</v>
      </c>
      <c r="F63" s="165"/>
      <c r="G63" s="165"/>
      <c r="H63" s="165" t="s">
        <v>287</v>
      </c>
      <c r="I63" s="165" t="s">
        <v>205</v>
      </c>
      <c r="J63" s="165" t="s">
        <v>206</v>
      </c>
      <c r="K63" s="165" t="s">
        <v>809</v>
      </c>
      <c r="L63" s="165" t="s">
        <v>220</v>
      </c>
      <c r="M63" s="165"/>
      <c r="N63" s="165"/>
      <c r="O63" s="165"/>
      <c r="P63" s="165"/>
      <c r="Q63" s="165"/>
      <c r="R63" s="165"/>
      <c r="S63" s="165"/>
      <c r="T63" s="165"/>
    </row>
    <row r="64" spans="1:20" x14ac:dyDescent="0.25">
      <c r="A64" s="165" t="s">
        <v>288</v>
      </c>
      <c r="B64" s="165" t="s">
        <v>205</v>
      </c>
      <c r="C64" s="165" t="s">
        <v>206</v>
      </c>
      <c r="D64" s="165" t="s">
        <v>809</v>
      </c>
      <c r="E64" s="165">
        <v>28.53</v>
      </c>
      <c r="F64" s="165"/>
      <c r="G64" s="165"/>
      <c r="H64" s="165" t="s">
        <v>288</v>
      </c>
      <c r="I64" s="165" t="s">
        <v>205</v>
      </c>
      <c r="J64" s="165" t="s">
        <v>206</v>
      </c>
      <c r="K64" s="165" t="s">
        <v>809</v>
      </c>
      <c r="L64" s="165" t="s">
        <v>220</v>
      </c>
      <c r="M64" s="165"/>
      <c r="N64" s="165"/>
      <c r="O64" s="165"/>
      <c r="P64" s="165"/>
      <c r="Q64" s="165"/>
      <c r="R64" s="165"/>
      <c r="S64" s="165"/>
      <c r="T64" s="165"/>
    </row>
    <row r="65" spans="1:14" x14ac:dyDescent="0.25">
      <c r="A65" s="165" t="s">
        <v>289</v>
      </c>
      <c r="B65" s="165" t="s">
        <v>205</v>
      </c>
      <c r="C65" s="165" t="s">
        <v>206</v>
      </c>
      <c r="D65" s="165" t="s">
        <v>809</v>
      </c>
      <c r="E65" s="165">
        <v>28.29</v>
      </c>
      <c r="F65" s="165"/>
      <c r="G65" s="165"/>
      <c r="H65" s="165" t="s">
        <v>289</v>
      </c>
      <c r="I65" s="165" t="s">
        <v>205</v>
      </c>
      <c r="J65" s="165" t="s">
        <v>206</v>
      </c>
      <c r="K65" s="165" t="s">
        <v>809</v>
      </c>
      <c r="L65" s="165" t="s">
        <v>220</v>
      </c>
      <c r="M65" s="165"/>
      <c r="N65" s="165"/>
    </row>
    <row r="66" spans="1:14" x14ac:dyDescent="0.25">
      <c r="A66" s="165" t="s">
        <v>290</v>
      </c>
      <c r="B66" s="165" t="s">
        <v>205</v>
      </c>
      <c r="C66" s="165" t="s">
        <v>206</v>
      </c>
      <c r="D66" s="165" t="s">
        <v>809</v>
      </c>
      <c r="E66" s="165">
        <v>29.14</v>
      </c>
      <c r="F66" s="165"/>
      <c r="G66" s="165"/>
      <c r="H66" s="165" t="s">
        <v>290</v>
      </c>
      <c r="I66" s="165" t="s">
        <v>205</v>
      </c>
      <c r="J66" s="165" t="s">
        <v>206</v>
      </c>
      <c r="K66" s="165" t="s">
        <v>809</v>
      </c>
      <c r="L66" s="165" t="s">
        <v>220</v>
      </c>
      <c r="M66" s="165"/>
      <c r="N66" s="165"/>
    </row>
    <row r="67" spans="1:14" x14ac:dyDescent="0.25">
      <c r="A67" s="165" t="s">
        <v>291</v>
      </c>
      <c r="B67" s="165" t="s">
        <v>205</v>
      </c>
      <c r="C67" s="165" t="s">
        <v>206</v>
      </c>
      <c r="D67" s="165" t="s">
        <v>809</v>
      </c>
      <c r="E67" s="165">
        <v>28.18</v>
      </c>
      <c r="F67" s="165"/>
      <c r="G67" s="165"/>
      <c r="H67" s="165" t="s">
        <v>291</v>
      </c>
      <c r="I67" s="165" t="s">
        <v>205</v>
      </c>
      <c r="J67" s="165" t="s">
        <v>206</v>
      </c>
      <c r="K67" s="165" t="s">
        <v>809</v>
      </c>
      <c r="L67" s="165" t="s">
        <v>220</v>
      </c>
      <c r="M67" s="165"/>
      <c r="N67" s="165"/>
    </row>
    <row r="68" spans="1:14" x14ac:dyDescent="0.25">
      <c r="A68" s="165" t="s">
        <v>292</v>
      </c>
      <c r="B68" s="165" t="s">
        <v>205</v>
      </c>
      <c r="C68" s="165" t="s">
        <v>206</v>
      </c>
      <c r="D68" s="165" t="s">
        <v>809</v>
      </c>
      <c r="E68" s="165">
        <v>28.51</v>
      </c>
      <c r="F68" s="165"/>
      <c r="G68" s="165"/>
      <c r="H68" s="165" t="s">
        <v>292</v>
      </c>
      <c r="I68" s="165" t="s">
        <v>205</v>
      </c>
      <c r="J68" s="165" t="s">
        <v>206</v>
      </c>
      <c r="K68" s="165" t="s">
        <v>809</v>
      </c>
      <c r="L68" s="165" t="s">
        <v>220</v>
      </c>
      <c r="M68" s="165"/>
      <c r="N68" s="165"/>
    </row>
    <row r="69" spans="1:14" x14ac:dyDescent="0.25">
      <c r="A69" s="165" t="s">
        <v>293</v>
      </c>
      <c r="B69" s="165" t="s">
        <v>205</v>
      </c>
      <c r="C69" s="165" t="s">
        <v>206</v>
      </c>
      <c r="D69" s="165" t="s">
        <v>809</v>
      </c>
      <c r="E69" s="165">
        <v>27.78</v>
      </c>
      <c r="F69" s="165"/>
      <c r="G69" s="165"/>
      <c r="H69" s="165" t="s">
        <v>293</v>
      </c>
      <c r="I69" s="165" t="s">
        <v>205</v>
      </c>
      <c r="J69" s="165" t="s">
        <v>206</v>
      </c>
      <c r="K69" s="165" t="s">
        <v>809</v>
      </c>
      <c r="L69" s="165" t="s">
        <v>220</v>
      </c>
      <c r="M69" s="165"/>
      <c r="N69" s="165"/>
    </row>
    <row r="70" spans="1:14" x14ac:dyDescent="0.25">
      <c r="A70" s="165" t="s">
        <v>294</v>
      </c>
      <c r="B70" s="165" t="s">
        <v>205</v>
      </c>
      <c r="C70" s="165" t="s">
        <v>206</v>
      </c>
      <c r="D70" s="165" t="s">
        <v>809</v>
      </c>
      <c r="E70" s="165">
        <v>28.39</v>
      </c>
      <c r="F70" s="165"/>
      <c r="G70" s="165"/>
      <c r="H70" s="165" t="s">
        <v>294</v>
      </c>
      <c r="I70" s="165" t="s">
        <v>205</v>
      </c>
      <c r="J70" s="165" t="s">
        <v>206</v>
      </c>
      <c r="K70" s="165" t="s">
        <v>809</v>
      </c>
      <c r="L70" s="165" t="s">
        <v>220</v>
      </c>
      <c r="M70" s="165"/>
      <c r="N70" s="165"/>
    </row>
    <row r="71" spans="1:14" x14ac:dyDescent="0.25">
      <c r="A71" s="165" t="s">
        <v>295</v>
      </c>
      <c r="B71" s="165" t="s">
        <v>205</v>
      </c>
      <c r="C71" s="165" t="s">
        <v>206</v>
      </c>
      <c r="D71" s="165" t="s">
        <v>809</v>
      </c>
      <c r="E71" s="165">
        <v>28.5</v>
      </c>
      <c r="F71" s="165"/>
      <c r="G71" s="165"/>
      <c r="H71" s="165" t="s">
        <v>295</v>
      </c>
      <c r="I71" s="165" t="s">
        <v>205</v>
      </c>
      <c r="J71" s="165" t="s">
        <v>206</v>
      </c>
      <c r="K71" s="165" t="s">
        <v>809</v>
      </c>
      <c r="L71" s="165" t="s">
        <v>220</v>
      </c>
      <c r="M71" s="165"/>
      <c r="N71" s="165"/>
    </row>
    <row r="72" spans="1:14" x14ac:dyDescent="0.25">
      <c r="A72" s="165" t="s">
        <v>296</v>
      </c>
      <c r="B72" s="165" t="s">
        <v>205</v>
      </c>
      <c r="C72" s="165" t="s">
        <v>206</v>
      </c>
      <c r="D72" s="165" t="s">
        <v>809</v>
      </c>
      <c r="E72" s="165">
        <v>28.17</v>
      </c>
      <c r="F72" s="165"/>
      <c r="G72" s="165"/>
      <c r="H72" s="165" t="s">
        <v>296</v>
      </c>
      <c r="I72" s="165" t="s">
        <v>205</v>
      </c>
      <c r="J72" s="165" t="s">
        <v>206</v>
      </c>
      <c r="K72" s="165" t="s">
        <v>809</v>
      </c>
      <c r="L72" s="165" t="s">
        <v>220</v>
      </c>
      <c r="M72" s="165"/>
      <c r="N72" s="165"/>
    </row>
    <row r="73" spans="1:14" x14ac:dyDescent="0.25">
      <c r="A73" s="165" t="s">
        <v>297</v>
      </c>
      <c r="B73" s="165" t="s">
        <v>205</v>
      </c>
      <c r="C73" s="165" t="s">
        <v>206</v>
      </c>
      <c r="D73" s="165" t="s">
        <v>809</v>
      </c>
      <c r="E73" s="165">
        <v>27.94</v>
      </c>
      <c r="F73" s="165"/>
      <c r="G73" s="165"/>
      <c r="H73" s="165" t="s">
        <v>297</v>
      </c>
      <c r="I73" s="165" t="s">
        <v>205</v>
      </c>
      <c r="J73" s="165" t="s">
        <v>206</v>
      </c>
      <c r="K73" s="165" t="s">
        <v>809</v>
      </c>
      <c r="L73" s="165" t="s">
        <v>220</v>
      </c>
      <c r="M73" s="165"/>
      <c r="N73" s="165"/>
    </row>
    <row r="74" spans="1:14" x14ac:dyDescent="0.25">
      <c r="A74" s="165" t="s">
        <v>298</v>
      </c>
      <c r="B74" s="165" t="s">
        <v>205</v>
      </c>
      <c r="C74" s="165" t="s">
        <v>206</v>
      </c>
      <c r="D74" s="165" t="s">
        <v>809</v>
      </c>
      <c r="E74" s="165" t="s">
        <v>220</v>
      </c>
      <c r="F74" s="165" t="e">
        <f>AVERAGE(E74:E76)</f>
        <v>#DIV/0!</v>
      </c>
      <c r="G74" s="165" t="e">
        <f>STDEV(E74:E76)</f>
        <v>#DIV/0!</v>
      </c>
      <c r="H74" s="165" t="s">
        <v>298</v>
      </c>
      <c r="I74" s="165" t="s">
        <v>205</v>
      </c>
      <c r="J74" s="165" t="s">
        <v>206</v>
      </c>
      <c r="K74" s="165" t="s">
        <v>809</v>
      </c>
      <c r="L74" s="165">
        <v>24.98</v>
      </c>
      <c r="M74" s="165">
        <f>AVERAGE(L74:L76)</f>
        <v>25.200000000000003</v>
      </c>
      <c r="N74" s="165">
        <f>STDEV(L74:L76)</f>
        <v>0.20663978319771831</v>
      </c>
    </row>
    <row r="75" spans="1:14" x14ac:dyDescent="0.25">
      <c r="A75" s="165" t="s">
        <v>299</v>
      </c>
      <c r="B75" s="165" t="s">
        <v>205</v>
      </c>
      <c r="C75" s="165" t="s">
        <v>206</v>
      </c>
      <c r="D75" s="165" t="s">
        <v>809</v>
      </c>
      <c r="E75" s="165" t="s">
        <v>220</v>
      </c>
      <c r="F75" s="165"/>
      <c r="G75" s="165"/>
      <c r="H75" s="165" t="s">
        <v>299</v>
      </c>
      <c r="I75" s="165" t="s">
        <v>205</v>
      </c>
      <c r="J75" s="165" t="s">
        <v>206</v>
      </c>
      <c r="K75" s="165" t="s">
        <v>809</v>
      </c>
      <c r="L75" s="165">
        <v>25.39</v>
      </c>
      <c r="M75" s="165"/>
      <c r="N75" s="165"/>
    </row>
    <row r="76" spans="1:14" x14ac:dyDescent="0.25">
      <c r="A76" s="165" t="s">
        <v>300</v>
      </c>
      <c r="B76" s="165" t="s">
        <v>205</v>
      </c>
      <c r="C76" s="165" t="s">
        <v>206</v>
      </c>
      <c r="D76" s="165" t="s">
        <v>809</v>
      </c>
      <c r="E76" s="165" t="s">
        <v>220</v>
      </c>
      <c r="F76" s="165"/>
      <c r="G76" s="165"/>
      <c r="H76" s="165" t="s">
        <v>300</v>
      </c>
      <c r="I76" s="165" t="s">
        <v>205</v>
      </c>
      <c r="J76" s="165" t="s">
        <v>206</v>
      </c>
      <c r="K76" s="165" t="s">
        <v>809</v>
      </c>
      <c r="L76" s="165">
        <v>25.23</v>
      </c>
      <c r="M76" s="165"/>
      <c r="N76" s="165"/>
    </row>
    <row r="77" spans="1:14" x14ac:dyDescent="0.25">
      <c r="A77" s="165" t="s">
        <v>301</v>
      </c>
      <c r="B77" s="165" t="s">
        <v>205</v>
      </c>
      <c r="C77" s="165" t="s">
        <v>206</v>
      </c>
      <c r="D77" s="165" t="s">
        <v>809</v>
      </c>
      <c r="E77" s="165">
        <v>9.48</v>
      </c>
      <c r="F77" s="165">
        <f>AVERAGE(E77:E79)</f>
        <v>9.663333333333334</v>
      </c>
      <c r="G77" s="165">
        <f>STDEV(E77:E79)</f>
        <v>0.16502525059315434</v>
      </c>
      <c r="H77" s="165" t="s">
        <v>301</v>
      </c>
      <c r="I77" s="165" t="s">
        <v>205</v>
      </c>
      <c r="J77" s="165" t="s">
        <v>206</v>
      </c>
      <c r="K77" s="165" t="s">
        <v>809</v>
      </c>
      <c r="L77" s="165">
        <v>29.69</v>
      </c>
      <c r="M77" s="165">
        <f>AVERAGE(L77:L79)</f>
        <v>29.776666666666667</v>
      </c>
      <c r="N77" s="165">
        <f>STDEV(L77:L79)</f>
        <v>7.571877794400203E-2</v>
      </c>
    </row>
    <row r="78" spans="1:14" x14ac:dyDescent="0.25">
      <c r="A78" s="165" t="s">
        <v>302</v>
      </c>
      <c r="B78" s="165" t="s">
        <v>205</v>
      </c>
      <c r="C78" s="165" t="s">
        <v>206</v>
      </c>
      <c r="D78" s="165" t="s">
        <v>809</v>
      </c>
      <c r="E78" s="165">
        <v>9.7100000000000009</v>
      </c>
      <c r="F78" s="165"/>
      <c r="G78" s="165"/>
      <c r="H78" s="165" t="s">
        <v>302</v>
      </c>
      <c r="I78" s="165" t="s">
        <v>205</v>
      </c>
      <c r="J78" s="165" t="s">
        <v>206</v>
      </c>
      <c r="K78" s="165" t="s">
        <v>809</v>
      </c>
      <c r="L78" s="165">
        <v>29.83</v>
      </c>
      <c r="M78" s="165"/>
      <c r="N78" s="165"/>
    </row>
    <row r="79" spans="1:14" x14ac:dyDescent="0.25">
      <c r="A79" s="165" t="s">
        <v>303</v>
      </c>
      <c r="B79" s="165" t="s">
        <v>205</v>
      </c>
      <c r="C79" s="165" t="s">
        <v>206</v>
      </c>
      <c r="D79" s="165" t="s">
        <v>809</v>
      </c>
      <c r="E79" s="165">
        <v>9.8000000000000007</v>
      </c>
      <c r="F79" s="165"/>
      <c r="G79" s="165"/>
      <c r="H79" s="165" t="s">
        <v>303</v>
      </c>
      <c r="I79" s="165" t="s">
        <v>205</v>
      </c>
      <c r="J79" s="165" t="s">
        <v>206</v>
      </c>
      <c r="K79" s="165" t="s">
        <v>809</v>
      </c>
      <c r="L79" s="165">
        <v>29.81</v>
      </c>
      <c r="M79" s="165"/>
      <c r="N79" s="165"/>
    </row>
    <row r="80" spans="1:14" x14ac:dyDescent="0.25">
      <c r="A80" s="165" t="s">
        <v>304</v>
      </c>
      <c r="B80" s="165" t="s">
        <v>205</v>
      </c>
      <c r="C80" s="165" t="s">
        <v>206</v>
      </c>
      <c r="D80" s="165" t="s">
        <v>809</v>
      </c>
      <c r="E80" s="165">
        <v>14.85</v>
      </c>
      <c r="F80" s="165">
        <f>AVERAGE(E80:E82)</f>
        <v>14.826666666666668</v>
      </c>
      <c r="G80" s="165">
        <f>STDEV(E80:E82)</f>
        <v>9.7125348562222769E-2</v>
      </c>
      <c r="H80" s="165" t="s">
        <v>304</v>
      </c>
      <c r="I80" s="165" t="s">
        <v>205</v>
      </c>
      <c r="J80" s="165" t="s">
        <v>206</v>
      </c>
      <c r="K80" s="165" t="s">
        <v>809</v>
      </c>
      <c r="L80" s="165">
        <v>37.82</v>
      </c>
      <c r="M80" s="165">
        <f>AVERAGE(L80:L82)</f>
        <v>37.660000000000004</v>
      </c>
      <c r="N80" s="165">
        <f>STDEV(L80:L82)</f>
        <v>0.13999999999999904</v>
      </c>
    </row>
    <row r="81" spans="1:12" x14ac:dyDescent="0.25">
      <c r="A81" s="165" t="s">
        <v>305</v>
      </c>
      <c r="B81" s="165" t="s">
        <v>205</v>
      </c>
      <c r="C81" s="165" t="s">
        <v>206</v>
      </c>
      <c r="D81" s="165" t="s">
        <v>809</v>
      </c>
      <c r="E81" s="165">
        <v>14.72</v>
      </c>
      <c r="F81" s="165"/>
      <c r="G81" s="165"/>
      <c r="H81" s="165" t="s">
        <v>305</v>
      </c>
      <c r="I81" s="165" t="s">
        <v>205</v>
      </c>
      <c r="J81" s="165" t="s">
        <v>206</v>
      </c>
      <c r="K81" s="165" t="s">
        <v>809</v>
      </c>
      <c r="L81" s="165">
        <v>37.6</v>
      </c>
    </row>
    <row r="82" spans="1:12" x14ac:dyDescent="0.25">
      <c r="A82" s="165" t="s">
        <v>306</v>
      </c>
      <c r="B82" s="165" t="s">
        <v>205</v>
      </c>
      <c r="C82" s="165" t="s">
        <v>206</v>
      </c>
      <c r="D82" s="165" t="s">
        <v>809</v>
      </c>
      <c r="E82" s="165">
        <v>14.91</v>
      </c>
      <c r="F82" s="165"/>
      <c r="G82" s="165"/>
      <c r="H82" s="165" t="s">
        <v>306</v>
      </c>
      <c r="I82" s="165" t="s">
        <v>205</v>
      </c>
      <c r="J82" s="165" t="s">
        <v>206</v>
      </c>
      <c r="K82" s="165" t="s">
        <v>809</v>
      </c>
      <c r="L82" s="165">
        <v>37.56</v>
      </c>
    </row>
    <row r="83" spans="1:12" x14ac:dyDescent="0.25">
      <c r="A83" s="165" t="s">
        <v>307</v>
      </c>
      <c r="B83" s="165" t="s">
        <v>205</v>
      </c>
      <c r="C83" s="165" t="s">
        <v>206</v>
      </c>
      <c r="D83" s="165" t="s">
        <v>809</v>
      </c>
      <c r="E83" s="165">
        <v>21.32</v>
      </c>
      <c r="F83" s="165">
        <f>AVERAGE(E83:E85)</f>
        <v>21.783333333333331</v>
      </c>
      <c r="G83" s="165">
        <f>STDEV(E83:E85)</f>
        <v>0.44613152021946795</v>
      </c>
      <c r="H83" s="165" t="s">
        <v>307</v>
      </c>
      <c r="I83" s="165" t="s">
        <v>205</v>
      </c>
      <c r="J83" s="165" t="s">
        <v>206</v>
      </c>
      <c r="K83" s="165" t="s">
        <v>809</v>
      </c>
      <c r="L83" s="165" t="s">
        <v>220</v>
      </c>
    </row>
    <row r="84" spans="1:12" x14ac:dyDescent="0.25">
      <c r="A84" s="165" t="s">
        <v>308</v>
      </c>
      <c r="B84" s="165" t="s">
        <v>205</v>
      </c>
      <c r="C84" s="165" t="s">
        <v>206</v>
      </c>
      <c r="D84" s="165" t="s">
        <v>809</v>
      </c>
      <c r="E84" s="165">
        <v>22.21</v>
      </c>
      <c r="F84" s="165"/>
      <c r="G84" s="165"/>
      <c r="H84" s="165" t="s">
        <v>308</v>
      </c>
      <c r="I84" s="165" t="s">
        <v>205</v>
      </c>
      <c r="J84" s="165" t="s">
        <v>206</v>
      </c>
      <c r="K84" s="165" t="s">
        <v>809</v>
      </c>
      <c r="L84" s="165" t="s">
        <v>220</v>
      </c>
    </row>
    <row r="85" spans="1:12" x14ac:dyDescent="0.25">
      <c r="A85" s="165" t="s">
        <v>309</v>
      </c>
      <c r="B85" s="165" t="s">
        <v>205</v>
      </c>
      <c r="C85" s="165" t="s">
        <v>206</v>
      </c>
      <c r="D85" s="165" t="s">
        <v>809</v>
      </c>
      <c r="E85" s="165">
        <v>21.82</v>
      </c>
      <c r="F85" s="165"/>
      <c r="G85" s="165"/>
      <c r="H85" s="165" t="s">
        <v>309</v>
      </c>
      <c r="I85" s="165" t="s">
        <v>205</v>
      </c>
      <c r="J85" s="165" t="s">
        <v>206</v>
      </c>
      <c r="K85" s="165" t="s">
        <v>809</v>
      </c>
      <c r="L85" s="165" t="s">
        <v>220</v>
      </c>
    </row>
    <row r="86" spans="1:12" x14ac:dyDescent="0.25">
      <c r="A86" s="165" t="s">
        <v>310</v>
      </c>
      <c r="B86" s="165" t="s">
        <v>205</v>
      </c>
      <c r="C86" s="165" t="s">
        <v>206</v>
      </c>
      <c r="D86" s="165" t="s">
        <v>809</v>
      </c>
      <c r="E86" s="165">
        <v>26.53</v>
      </c>
      <c r="F86" s="165">
        <f>AVERAGE(E86:E88)</f>
        <v>26.893333333333334</v>
      </c>
      <c r="G86" s="165">
        <f>STDEV(E86:E88)</f>
        <v>0.38109491381194344</v>
      </c>
      <c r="H86" s="165" t="s">
        <v>310</v>
      </c>
      <c r="I86" s="165" t="s">
        <v>205</v>
      </c>
      <c r="J86" s="165" t="s">
        <v>206</v>
      </c>
      <c r="K86" s="165" t="s">
        <v>809</v>
      </c>
      <c r="L86" s="165" t="s">
        <v>220</v>
      </c>
    </row>
    <row r="87" spans="1:12" x14ac:dyDescent="0.25">
      <c r="A87" s="165" t="s">
        <v>311</v>
      </c>
      <c r="B87" s="165" t="s">
        <v>205</v>
      </c>
      <c r="C87" s="165" t="s">
        <v>206</v>
      </c>
      <c r="D87" s="165" t="s">
        <v>809</v>
      </c>
      <c r="E87" s="165">
        <v>27.29</v>
      </c>
      <c r="F87" s="165"/>
      <c r="G87" s="165"/>
      <c r="H87" s="165" t="s">
        <v>311</v>
      </c>
      <c r="I87" s="165" t="s">
        <v>205</v>
      </c>
      <c r="J87" s="165" t="s">
        <v>206</v>
      </c>
      <c r="K87" s="165" t="s">
        <v>809</v>
      </c>
      <c r="L87" s="165" t="s">
        <v>220</v>
      </c>
    </row>
    <row r="88" spans="1:12" x14ac:dyDescent="0.25">
      <c r="A88" s="165" t="s">
        <v>312</v>
      </c>
      <c r="B88" s="165" t="s">
        <v>205</v>
      </c>
      <c r="C88" s="165" t="s">
        <v>206</v>
      </c>
      <c r="D88" s="165" t="s">
        <v>809</v>
      </c>
      <c r="E88" s="165">
        <v>26.86</v>
      </c>
      <c r="F88" s="165"/>
      <c r="G88" s="165"/>
      <c r="H88" s="165" t="s">
        <v>312</v>
      </c>
      <c r="I88" s="165" t="s">
        <v>205</v>
      </c>
      <c r="J88" s="165" t="s">
        <v>206</v>
      </c>
      <c r="K88" s="165" t="s">
        <v>809</v>
      </c>
      <c r="L88" s="165" t="s">
        <v>220</v>
      </c>
    </row>
    <row r="89" spans="1:12" x14ac:dyDescent="0.25">
      <c r="A89" s="165" t="s">
        <v>313</v>
      </c>
      <c r="B89" s="165" t="s">
        <v>205</v>
      </c>
      <c r="C89" s="165" t="s">
        <v>206</v>
      </c>
      <c r="D89" s="165" t="s">
        <v>809</v>
      </c>
      <c r="E89" s="165">
        <v>28.02</v>
      </c>
      <c r="F89" s="165">
        <f>AVERAGE(E89:E91)</f>
        <v>28.033333333333335</v>
      </c>
      <c r="G89" s="165">
        <f>STDEV(E89:E91)</f>
        <v>0.33020195840323752</v>
      </c>
      <c r="H89" s="165" t="s">
        <v>313</v>
      </c>
      <c r="I89" s="165" t="s">
        <v>205</v>
      </c>
      <c r="J89" s="165" t="s">
        <v>206</v>
      </c>
      <c r="K89" s="165" t="s">
        <v>809</v>
      </c>
      <c r="L89" s="165" t="s">
        <v>220</v>
      </c>
    </row>
    <row r="90" spans="1:12" x14ac:dyDescent="0.25">
      <c r="A90" s="165" t="s">
        <v>314</v>
      </c>
      <c r="B90" s="165" t="s">
        <v>205</v>
      </c>
      <c r="C90" s="165" t="s">
        <v>206</v>
      </c>
      <c r="D90" s="165" t="s">
        <v>809</v>
      </c>
      <c r="E90" s="165">
        <v>27.71</v>
      </c>
      <c r="F90" s="165"/>
      <c r="G90" s="165"/>
      <c r="H90" s="165" t="s">
        <v>314</v>
      </c>
      <c r="I90" s="165" t="s">
        <v>205</v>
      </c>
      <c r="J90" s="165" t="s">
        <v>206</v>
      </c>
      <c r="K90" s="165" t="s">
        <v>809</v>
      </c>
      <c r="L90" s="165" t="s">
        <v>220</v>
      </c>
    </row>
    <row r="91" spans="1:12" x14ac:dyDescent="0.25">
      <c r="A91" s="165" t="s">
        <v>315</v>
      </c>
      <c r="B91" s="165" t="s">
        <v>205</v>
      </c>
      <c r="C91" s="165" t="s">
        <v>206</v>
      </c>
      <c r="D91" s="165" t="s">
        <v>809</v>
      </c>
      <c r="E91" s="165">
        <v>28.37</v>
      </c>
      <c r="F91" s="165"/>
      <c r="G91" s="165"/>
      <c r="H91" s="165" t="s">
        <v>315</v>
      </c>
      <c r="I91" s="165" t="s">
        <v>205</v>
      </c>
      <c r="J91" s="165" t="s">
        <v>206</v>
      </c>
      <c r="K91" s="165" t="s">
        <v>809</v>
      </c>
      <c r="L91" s="165" t="s">
        <v>220</v>
      </c>
    </row>
    <row r="92" spans="1:12" x14ac:dyDescent="0.25">
      <c r="A92" s="165" t="s">
        <v>316</v>
      </c>
      <c r="B92" s="165" t="s">
        <v>205</v>
      </c>
      <c r="C92" s="165" t="s">
        <v>206</v>
      </c>
      <c r="D92" s="165" t="s">
        <v>809</v>
      </c>
      <c r="E92" s="165">
        <v>28.85</v>
      </c>
      <c r="F92" s="165">
        <f>AVERAGE(E92:E94)</f>
        <v>28.89</v>
      </c>
      <c r="G92" s="165">
        <f>STDEV(E92:E94)</f>
        <v>4.5825756949558587E-2</v>
      </c>
      <c r="H92" s="165" t="s">
        <v>316</v>
      </c>
      <c r="I92" s="165" t="s">
        <v>205</v>
      </c>
      <c r="J92" s="165" t="s">
        <v>206</v>
      </c>
      <c r="K92" s="165" t="s">
        <v>809</v>
      </c>
      <c r="L92" s="165" t="s">
        <v>220</v>
      </c>
    </row>
    <row r="93" spans="1:12" x14ac:dyDescent="0.25">
      <c r="A93" s="165" t="s">
        <v>317</v>
      </c>
      <c r="B93" s="165" t="s">
        <v>205</v>
      </c>
      <c r="C93" s="165" t="s">
        <v>206</v>
      </c>
      <c r="D93" s="165" t="s">
        <v>809</v>
      </c>
      <c r="E93" s="165">
        <v>28.88</v>
      </c>
      <c r="F93" s="165"/>
      <c r="G93" s="165"/>
      <c r="H93" s="165" t="s">
        <v>317</v>
      </c>
      <c r="I93" s="165" t="s">
        <v>205</v>
      </c>
      <c r="J93" s="165" t="s">
        <v>206</v>
      </c>
      <c r="K93" s="165" t="s">
        <v>809</v>
      </c>
      <c r="L93" s="165" t="s">
        <v>220</v>
      </c>
    </row>
    <row r="94" spans="1:12" x14ac:dyDescent="0.25">
      <c r="A94" s="165" t="s">
        <v>318</v>
      </c>
      <c r="B94" s="165" t="s">
        <v>205</v>
      </c>
      <c r="C94" s="165" t="s">
        <v>206</v>
      </c>
      <c r="D94" s="165" t="s">
        <v>809</v>
      </c>
      <c r="E94" s="165">
        <v>28.94</v>
      </c>
      <c r="F94" s="165"/>
      <c r="G94" s="165"/>
      <c r="H94" s="165" t="s">
        <v>318</v>
      </c>
      <c r="I94" s="165" t="s">
        <v>205</v>
      </c>
      <c r="J94" s="165" t="s">
        <v>206</v>
      </c>
      <c r="K94" s="165" t="s">
        <v>809</v>
      </c>
      <c r="L94" s="165" t="s">
        <v>220</v>
      </c>
    </row>
    <row r="95" spans="1:12" x14ac:dyDescent="0.25">
      <c r="A95" s="165" t="s">
        <v>319</v>
      </c>
      <c r="B95" s="165" t="s">
        <v>205</v>
      </c>
      <c r="C95" s="165" t="s">
        <v>206</v>
      </c>
      <c r="D95" s="165" t="s">
        <v>809</v>
      </c>
      <c r="E95" s="165">
        <v>29.07</v>
      </c>
      <c r="F95" s="165">
        <f>AVERAGE(E95:E97)</f>
        <v>29.08666666666667</v>
      </c>
      <c r="G95" s="165">
        <f>STDEV(E95:E97)</f>
        <v>4.725815626252608E-2</v>
      </c>
      <c r="H95" s="165" t="s">
        <v>319</v>
      </c>
      <c r="I95" s="165" t="s">
        <v>205</v>
      </c>
      <c r="J95" s="165" t="s">
        <v>206</v>
      </c>
      <c r="K95" s="165" t="s">
        <v>809</v>
      </c>
      <c r="L95" s="165" t="s">
        <v>220</v>
      </c>
    </row>
    <row r="96" spans="1:12" x14ac:dyDescent="0.25">
      <c r="A96" s="165" t="s">
        <v>321</v>
      </c>
      <c r="B96" s="165" t="s">
        <v>205</v>
      </c>
      <c r="C96" s="165" t="s">
        <v>206</v>
      </c>
      <c r="D96" s="165" t="s">
        <v>809</v>
      </c>
      <c r="E96" s="165">
        <v>29.05</v>
      </c>
      <c r="F96" s="165"/>
      <c r="G96" s="165"/>
      <c r="H96" s="165" t="s">
        <v>321</v>
      </c>
      <c r="I96" s="165" t="s">
        <v>205</v>
      </c>
      <c r="J96" s="165" t="s">
        <v>206</v>
      </c>
      <c r="K96" s="165" t="s">
        <v>809</v>
      </c>
      <c r="L96" s="165" t="s">
        <v>220</v>
      </c>
    </row>
    <row r="97" spans="1:12" x14ac:dyDescent="0.25">
      <c r="A97" s="165" t="s">
        <v>322</v>
      </c>
      <c r="B97" s="165" t="s">
        <v>205</v>
      </c>
      <c r="C97" s="165" t="s">
        <v>206</v>
      </c>
      <c r="D97" s="165" t="s">
        <v>809</v>
      </c>
      <c r="E97" s="165">
        <v>29.14</v>
      </c>
      <c r="F97" s="165"/>
      <c r="G97" s="165"/>
      <c r="H97" s="165" t="s">
        <v>322</v>
      </c>
      <c r="I97" s="165" t="s">
        <v>205</v>
      </c>
      <c r="J97" s="165" t="s">
        <v>206</v>
      </c>
      <c r="K97" s="165" t="s">
        <v>809</v>
      </c>
      <c r="L97" s="165" t="s">
        <v>220</v>
      </c>
    </row>
    <row r="98" spans="1:12" x14ac:dyDescent="0.25">
      <c r="A98" s="165" t="s">
        <v>204</v>
      </c>
      <c r="B98" s="165" t="s">
        <v>810</v>
      </c>
      <c r="C98" s="165" t="s">
        <v>206</v>
      </c>
      <c r="D98" s="165" t="s">
        <v>210</v>
      </c>
      <c r="E98" s="165" t="s">
        <v>220</v>
      </c>
      <c r="F98" s="165"/>
      <c r="G98" s="165"/>
      <c r="H98" s="165" t="s">
        <v>204</v>
      </c>
      <c r="I98" s="165" t="s">
        <v>209</v>
      </c>
      <c r="J98" s="165" t="s">
        <v>206</v>
      </c>
      <c r="K98" s="165" t="s">
        <v>210</v>
      </c>
      <c r="L98" s="165" t="s">
        <v>220</v>
      </c>
    </row>
    <row r="99" spans="1:12" x14ac:dyDescent="0.25">
      <c r="A99" s="165" t="s">
        <v>211</v>
      </c>
      <c r="B99" s="165" t="s">
        <v>810</v>
      </c>
      <c r="C99" s="165" t="s">
        <v>206</v>
      </c>
      <c r="D99" s="165" t="s">
        <v>210</v>
      </c>
      <c r="E99" s="165" t="s">
        <v>220</v>
      </c>
      <c r="F99" s="165"/>
      <c r="G99" s="165"/>
      <c r="H99" s="165" t="s">
        <v>211</v>
      </c>
      <c r="I99" s="165" t="s">
        <v>209</v>
      </c>
      <c r="J99" s="165" t="s">
        <v>206</v>
      </c>
      <c r="K99" s="165" t="s">
        <v>210</v>
      </c>
      <c r="L99" s="165" t="s">
        <v>220</v>
      </c>
    </row>
    <row r="100" spans="1:12" x14ac:dyDescent="0.25">
      <c r="A100" s="165" t="s">
        <v>212</v>
      </c>
      <c r="B100" s="165" t="s">
        <v>810</v>
      </c>
      <c r="C100" s="165" t="s">
        <v>206</v>
      </c>
      <c r="D100" s="165" t="s">
        <v>210</v>
      </c>
      <c r="E100" s="165">
        <v>11.78</v>
      </c>
      <c r="F100" s="165"/>
      <c r="G100" s="165"/>
      <c r="H100" s="165" t="s">
        <v>212</v>
      </c>
      <c r="I100" s="165" t="s">
        <v>209</v>
      </c>
      <c r="J100" s="165" t="s">
        <v>206</v>
      </c>
      <c r="K100" s="165" t="s">
        <v>210</v>
      </c>
      <c r="L100" s="165" t="s">
        <v>220</v>
      </c>
    </row>
    <row r="101" spans="1:12" x14ac:dyDescent="0.25">
      <c r="A101" s="165" t="s">
        <v>213</v>
      </c>
      <c r="B101" s="165" t="s">
        <v>810</v>
      </c>
      <c r="C101" s="165" t="s">
        <v>206</v>
      </c>
      <c r="D101" s="165" t="s">
        <v>210</v>
      </c>
      <c r="E101" s="165" t="s">
        <v>220</v>
      </c>
      <c r="F101" s="165"/>
      <c r="G101" s="165"/>
      <c r="H101" s="165" t="s">
        <v>213</v>
      </c>
      <c r="I101" s="165" t="s">
        <v>209</v>
      </c>
      <c r="J101" s="165" t="s">
        <v>206</v>
      </c>
      <c r="K101" s="165" t="s">
        <v>210</v>
      </c>
      <c r="L101" s="165" t="s">
        <v>220</v>
      </c>
    </row>
    <row r="102" spans="1:12" x14ac:dyDescent="0.25">
      <c r="A102" s="165" t="s">
        <v>214</v>
      </c>
      <c r="B102" s="165" t="s">
        <v>810</v>
      </c>
      <c r="C102" s="165" t="s">
        <v>206</v>
      </c>
      <c r="D102" s="165" t="s">
        <v>210</v>
      </c>
      <c r="E102" s="165" t="s">
        <v>220</v>
      </c>
      <c r="F102" s="165"/>
      <c r="G102" s="165"/>
      <c r="H102" s="165" t="s">
        <v>214</v>
      </c>
      <c r="I102" s="165" t="s">
        <v>209</v>
      </c>
      <c r="J102" s="165" t="s">
        <v>206</v>
      </c>
      <c r="K102" s="165" t="s">
        <v>210</v>
      </c>
      <c r="L102" s="165" t="s">
        <v>220</v>
      </c>
    </row>
    <row r="103" spans="1:12" x14ac:dyDescent="0.25">
      <c r="A103" s="165" t="s">
        <v>215</v>
      </c>
      <c r="B103" s="165" t="s">
        <v>810</v>
      </c>
      <c r="C103" s="165" t="s">
        <v>206</v>
      </c>
      <c r="D103" s="165" t="s">
        <v>210</v>
      </c>
      <c r="E103" s="165" t="s">
        <v>220</v>
      </c>
      <c r="F103" s="165"/>
      <c r="G103" s="165"/>
      <c r="H103" s="165" t="s">
        <v>215</v>
      </c>
      <c r="I103" s="165" t="s">
        <v>209</v>
      </c>
      <c r="J103" s="165" t="s">
        <v>206</v>
      </c>
      <c r="K103" s="165" t="s">
        <v>210</v>
      </c>
      <c r="L103" s="165" t="s">
        <v>220</v>
      </c>
    </row>
    <row r="104" spans="1:12" x14ac:dyDescent="0.25">
      <c r="A104" s="165" t="s">
        <v>216</v>
      </c>
      <c r="B104" s="165" t="s">
        <v>810</v>
      </c>
      <c r="C104" s="165" t="s">
        <v>206</v>
      </c>
      <c r="D104" s="165" t="s">
        <v>210</v>
      </c>
      <c r="E104" s="165" t="s">
        <v>220</v>
      </c>
      <c r="F104" s="165"/>
      <c r="G104" s="165"/>
      <c r="H104" s="165" t="s">
        <v>216</v>
      </c>
      <c r="I104" s="165" t="s">
        <v>209</v>
      </c>
      <c r="J104" s="165" t="s">
        <v>206</v>
      </c>
      <c r="K104" s="165" t="s">
        <v>210</v>
      </c>
      <c r="L104" s="165" t="s">
        <v>220</v>
      </c>
    </row>
    <row r="105" spans="1:12" x14ac:dyDescent="0.25">
      <c r="A105" s="165" t="s">
        <v>217</v>
      </c>
      <c r="B105" s="165" t="s">
        <v>810</v>
      </c>
      <c r="C105" s="165" t="s">
        <v>206</v>
      </c>
      <c r="D105" s="165" t="s">
        <v>210</v>
      </c>
      <c r="E105" s="165" t="s">
        <v>220</v>
      </c>
      <c r="F105" s="165"/>
      <c r="G105" s="165"/>
      <c r="H105" s="165" t="s">
        <v>217</v>
      </c>
      <c r="I105" s="165" t="s">
        <v>209</v>
      </c>
      <c r="J105" s="165" t="s">
        <v>206</v>
      </c>
      <c r="K105" s="165" t="s">
        <v>210</v>
      </c>
      <c r="L105" s="165" t="s">
        <v>220</v>
      </c>
    </row>
    <row r="106" spans="1:12" x14ac:dyDescent="0.25">
      <c r="A106" s="165" t="s">
        <v>218</v>
      </c>
      <c r="B106" s="165" t="s">
        <v>810</v>
      </c>
      <c r="C106" s="165" t="s">
        <v>206</v>
      </c>
      <c r="D106" s="165" t="s">
        <v>210</v>
      </c>
      <c r="E106" s="165" t="s">
        <v>220</v>
      </c>
      <c r="F106" s="165"/>
      <c r="G106" s="165"/>
      <c r="H106" s="165" t="s">
        <v>218</v>
      </c>
      <c r="I106" s="165" t="s">
        <v>209</v>
      </c>
      <c r="J106" s="165" t="s">
        <v>206</v>
      </c>
      <c r="K106" s="165" t="s">
        <v>210</v>
      </c>
      <c r="L106" s="165">
        <v>7.26</v>
      </c>
    </row>
    <row r="107" spans="1:12" x14ac:dyDescent="0.25">
      <c r="A107" s="165" t="s">
        <v>219</v>
      </c>
      <c r="B107" s="165" t="s">
        <v>810</v>
      </c>
      <c r="C107" s="165" t="s">
        <v>206</v>
      </c>
      <c r="D107" s="165" t="s">
        <v>210</v>
      </c>
      <c r="E107" s="165" t="s">
        <v>220</v>
      </c>
      <c r="F107" s="165"/>
      <c r="G107" s="165"/>
      <c r="H107" s="165" t="s">
        <v>219</v>
      </c>
      <c r="I107" s="165" t="s">
        <v>209</v>
      </c>
      <c r="J107" s="165" t="s">
        <v>206</v>
      </c>
      <c r="K107" s="165" t="s">
        <v>210</v>
      </c>
      <c r="L107" s="165" t="s">
        <v>220</v>
      </c>
    </row>
    <row r="108" spans="1:12" x14ac:dyDescent="0.25">
      <c r="A108" s="165" t="s">
        <v>221</v>
      </c>
      <c r="B108" s="165" t="s">
        <v>810</v>
      </c>
      <c r="C108" s="165" t="s">
        <v>206</v>
      </c>
      <c r="D108" s="165" t="s">
        <v>210</v>
      </c>
      <c r="E108" s="165" t="s">
        <v>220</v>
      </c>
      <c r="F108" s="165"/>
      <c r="G108" s="165"/>
      <c r="H108" s="165" t="s">
        <v>221</v>
      </c>
      <c r="I108" s="165" t="s">
        <v>209</v>
      </c>
      <c r="J108" s="165" t="s">
        <v>206</v>
      </c>
      <c r="K108" s="165" t="s">
        <v>210</v>
      </c>
      <c r="L108" s="165" t="s">
        <v>220</v>
      </c>
    </row>
    <row r="109" spans="1:12" x14ac:dyDescent="0.25">
      <c r="A109" s="165" t="s">
        <v>222</v>
      </c>
      <c r="B109" s="165" t="s">
        <v>810</v>
      </c>
      <c r="C109" s="165" t="s">
        <v>206</v>
      </c>
      <c r="D109" s="165" t="s">
        <v>210</v>
      </c>
      <c r="E109" s="165" t="s">
        <v>220</v>
      </c>
      <c r="F109" s="165"/>
      <c r="G109" s="165"/>
      <c r="H109" s="165" t="s">
        <v>222</v>
      </c>
      <c r="I109" s="165" t="s">
        <v>209</v>
      </c>
      <c r="J109" s="165" t="s">
        <v>206</v>
      </c>
      <c r="K109" s="165" t="s">
        <v>210</v>
      </c>
      <c r="L109" s="165" t="s">
        <v>220</v>
      </c>
    </row>
    <row r="110" spans="1:12" x14ac:dyDescent="0.25">
      <c r="A110" s="165" t="s">
        <v>223</v>
      </c>
      <c r="B110" s="165" t="s">
        <v>810</v>
      </c>
      <c r="C110" s="165" t="s">
        <v>206</v>
      </c>
      <c r="D110" s="165" t="s">
        <v>210</v>
      </c>
      <c r="E110" s="165" t="s">
        <v>220</v>
      </c>
      <c r="F110" s="165"/>
      <c r="G110" s="165"/>
      <c r="H110" s="165" t="s">
        <v>223</v>
      </c>
      <c r="I110" s="165" t="s">
        <v>209</v>
      </c>
      <c r="J110" s="165" t="s">
        <v>206</v>
      </c>
      <c r="K110" s="165" t="s">
        <v>210</v>
      </c>
      <c r="L110" s="165" t="s">
        <v>220</v>
      </c>
    </row>
    <row r="111" spans="1:12" x14ac:dyDescent="0.25">
      <c r="A111" s="165" t="s">
        <v>234</v>
      </c>
      <c r="B111" s="165" t="s">
        <v>810</v>
      </c>
      <c r="C111" s="165" t="s">
        <v>206</v>
      </c>
      <c r="D111" s="165" t="s">
        <v>210</v>
      </c>
      <c r="E111" s="165" t="s">
        <v>220</v>
      </c>
      <c r="F111" s="165"/>
      <c r="G111" s="165"/>
      <c r="H111" s="165" t="s">
        <v>234</v>
      </c>
      <c r="I111" s="165" t="s">
        <v>209</v>
      </c>
      <c r="J111" s="165" t="s">
        <v>206</v>
      </c>
      <c r="K111" s="165" t="s">
        <v>210</v>
      </c>
      <c r="L111" s="165" t="s">
        <v>220</v>
      </c>
    </row>
    <row r="112" spans="1:12" x14ac:dyDescent="0.25">
      <c r="A112" s="165" t="s">
        <v>235</v>
      </c>
      <c r="B112" s="165" t="s">
        <v>810</v>
      </c>
      <c r="C112" s="165" t="s">
        <v>206</v>
      </c>
      <c r="D112" s="165" t="s">
        <v>210</v>
      </c>
      <c r="E112" s="165" t="s">
        <v>220</v>
      </c>
      <c r="F112" s="165"/>
      <c r="G112" s="165"/>
      <c r="H112" s="165" t="s">
        <v>235</v>
      </c>
      <c r="I112" s="165" t="s">
        <v>209</v>
      </c>
      <c r="J112" s="165" t="s">
        <v>206</v>
      </c>
      <c r="K112" s="165" t="s">
        <v>210</v>
      </c>
      <c r="L112" s="165" t="s">
        <v>220</v>
      </c>
    </row>
    <row r="113" spans="1:24" x14ac:dyDescent="0.25">
      <c r="A113" s="165" t="s">
        <v>236</v>
      </c>
      <c r="B113" s="165" t="s">
        <v>810</v>
      </c>
      <c r="C113" s="165" t="s">
        <v>206</v>
      </c>
      <c r="D113" s="165" t="s">
        <v>210</v>
      </c>
      <c r="E113" s="165" t="s">
        <v>220</v>
      </c>
      <c r="F113" s="165"/>
      <c r="G113" s="165"/>
      <c r="H113" s="165" t="s">
        <v>236</v>
      </c>
      <c r="I113" s="165" t="s">
        <v>209</v>
      </c>
      <c r="J113" s="165" t="s">
        <v>206</v>
      </c>
      <c r="K113" s="165" t="s">
        <v>210</v>
      </c>
      <c r="L113" s="165" t="s">
        <v>220</v>
      </c>
      <c r="M113" s="165"/>
      <c r="N113" s="165"/>
      <c r="O113" s="165"/>
      <c r="P113" s="165"/>
      <c r="Q113" s="165"/>
      <c r="R113" s="165"/>
      <c r="S113" s="165"/>
      <c r="T113" s="165"/>
      <c r="U113" s="165"/>
      <c r="V113" s="165"/>
      <c r="W113" s="165"/>
      <c r="X113" s="165"/>
    </row>
    <row r="114" spans="1:24" x14ac:dyDescent="0.25">
      <c r="A114" s="165" t="s">
        <v>237</v>
      </c>
      <c r="B114" s="165" t="s">
        <v>810</v>
      </c>
      <c r="C114" s="165" t="s">
        <v>206</v>
      </c>
      <c r="D114" s="165" t="s">
        <v>210</v>
      </c>
      <c r="E114" s="165" t="s">
        <v>220</v>
      </c>
      <c r="F114" s="165"/>
      <c r="G114" s="165"/>
      <c r="H114" s="165" t="s">
        <v>237</v>
      </c>
      <c r="I114" s="165" t="s">
        <v>209</v>
      </c>
      <c r="J114" s="165" t="s">
        <v>206</v>
      </c>
      <c r="K114" s="165" t="s">
        <v>210</v>
      </c>
      <c r="L114" s="165" t="s">
        <v>220</v>
      </c>
      <c r="M114" s="165"/>
      <c r="N114" s="165"/>
      <c r="O114" s="165"/>
      <c r="P114" s="165"/>
      <c r="Q114" s="165"/>
      <c r="R114" s="165"/>
      <c r="S114" s="165"/>
      <c r="T114" s="165"/>
      <c r="U114" s="165"/>
      <c r="V114" s="165"/>
      <c r="W114" s="165"/>
      <c r="X114" s="165" t="s">
        <v>817</v>
      </c>
    </row>
    <row r="115" spans="1:24" x14ac:dyDescent="0.25">
      <c r="A115" s="165" t="s">
        <v>238</v>
      </c>
      <c r="B115" s="165" t="s">
        <v>810</v>
      </c>
      <c r="C115" s="165" t="s">
        <v>206</v>
      </c>
      <c r="D115" s="165" t="s">
        <v>210</v>
      </c>
      <c r="E115" s="165" t="s">
        <v>220</v>
      </c>
      <c r="F115" s="165"/>
      <c r="G115" s="165"/>
      <c r="H115" s="165" t="s">
        <v>238</v>
      </c>
      <c r="I115" s="165" t="s">
        <v>209</v>
      </c>
      <c r="J115" s="165" t="s">
        <v>206</v>
      </c>
      <c r="K115" s="165" t="s">
        <v>210</v>
      </c>
      <c r="L115" s="165" t="s">
        <v>220</v>
      </c>
      <c r="M115" s="165"/>
      <c r="N115" s="165"/>
      <c r="O115" s="165"/>
      <c r="P115" s="165"/>
      <c r="Q115" s="165"/>
      <c r="R115" s="165"/>
      <c r="S115" s="165"/>
      <c r="T115" s="165"/>
      <c r="U115" s="165"/>
      <c r="V115" s="165"/>
      <c r="W115" s="165"/>
      <c r="X115" s="111" t="s">
        <v>818</v>
      </c>
    </row>
    <row r="116" spans="1:24" x14ac:dyDescent="0.25">
      <c r="A116" s="165" t="s">
        <v>239</v>
      </c>
      <c r="B116" s="165" t="s">
        <v>810</v>
      </c>
      <c r="C116" s="165" t="s">
        <v>206</v>
      </c>
      <c r="D116" s="165" t="s">
        <v>210</v>
      </c>
      <c r="E116" s="165" t="s">
        <v>220</v>
      </c>
      <c r="F116" s="165"/>
      <c r="G116" s="165"/>
      <c r="H116" s="165" t="s">
        <v>239</v>
      </c>
      <c r="I116" s="165" t="s">
        <v>209</v>
      </c>
      <c r="J116" s="165" t="s">
        <v>206</v>
      </c>
      <c r="K116" s="165" t="s">
        <v>210</v>
      </c>
      <c r="L116" s="165" t="s">
        <v>220</v>
      </c>
      <c r="M116" s="165"/>
      <c r="N116" s="165"/>
      <c r="O116" s="165"/>
      <c r="P116" s="165"/>
      <c r="Q116" s="165"/>
      <c r="R116" s="165"/>
      <c r="S116" s="165"/>
      <c r="T116" s="165"/>
      <c r="U116" s="165"/>
      <c r="V116" s="165"/>
      <c r="W116" s="165"/>
      <c r="X116" s="56" t="s">
        <v>819</v>
      </c>
    </row>
    <row r="117" spans="1:24" x14ac:dyDescent="0.25">
      <c r="A117" s="165" t="s">
        <v>242</v>
      </c>
      <c r="B117" s="165" t="s">
        <v>810</v>
      </c>
      <c r="C117" s="165" t="s">
        <v>206</v>
      </c>
      <c r="D117" s="165" t="s">
        <v>210</v>
      </c>
      <c r="E117" s="165" t="s">
        <v>220</v>
      </c>
      <c r="F117" s="165"/>
      <c r="G117" s="165"/>
      <c r="H117" s="165" t="s">
        <v>242</v>
      </c>
      <c r="I117" s="165" t="s">
        <v>209</v>
      </c>
      <c r="J117" s="165" t="s">
        <v>206</v>
      </c>
      <c r="K117" s="165" t="s">
        <v>210</v>
      </c>
      <c r="L117" s="165" t="s">
        <v>220</v>
      </c>
      <c r="M117" s="165"/>
      <c r="N117" s="165"/>
      <c r="O117" s="165"/>
      <c r="P117" s="165"/>
      <c r="Q117" s="165"/>
      <c r="R117" s="165"/>
      <c r="S117" s="165"/>
      <c r="T117" s="165"/>
      <c r="U117" s="165"/>
      <c r="V117" s="165"/>
      <c r="W117" s="165"/>
      <c r="X117" s="57"/>
    </row>
    <row r="118" spans="1:24" x14ac:dyDescent="0.25">
      <c r="A118" s="165" t="s">
        <v>243</v>
      </c>
      <c r="B118" s="165" t="s">
        <v>810</v>
      </c>
      <c r="C118" s="165" t="s">
        <v>206</v>
      </c>
      <c r="D118" s="165" t="s">
        <v>210</v>
      </c>
      <c r="E118" s="165" t="s">
        <v>220</v>
      </c>
      <c r="F118" s="165"/>
      <c r="G118" s="165"/>
      <c r="H118" s="165" t="s">
        <v>243</v>
      </c>
      <c r="I118" s="165" t="s">
        <v>209</v>
      </c>
      <c r="J118" s="165" t="s">
        <v>206</v>
      </c>
      <c r="K118" s="165" t="s">
        <v>210</v>
      </c>
      <c r="L118" s="165" t="s">
        <v>220</v>
      </c>
      <c r="M118" s="165"/>
      <c r="N118" s="165"/>
      <c r="O118" s="165"/>
      <c r="P118" s="165"/>
      <c r="Q118" s="165"/>
      <c r="R118" s="165"/>
      <c r="S118" s="165"/>
      <c r="T118" s="165"/>
      <c r="U118" s="165"/>
      <c r="V118" s="165"/>
      <c r="W118" s="165"/>
      <c r="X118" s="56" t="s">
        <v>820</v>
      </c>
    </row>
    <row r="119" spans="1:24" x14ac:dyDescent="0.25">
      <c r="A119" s="165" t="s">
        <v>244</v>
      </c>
      <c r="B119" s="165" t="s">
        <v>810</v>
      </c>
      <c r="C119" s="165" t="s">
        <v>206</v>
      </c>
      <c r="D119" s="165" t="s">
        <v>210</v>
      </c>
      <c r="E119" s="165" t="s">
        <v>220</v>
      </c>
      <c r="F119" s="165"/>
      <c r="G119" s="165"/>
      <c r="H119" s="165" t="s">
        <v>244</v>
      </c>
      <c r="I119" s="165" t="s">
        <v>209</v>
      </c>
      <c r="J119" s="165" t="s">
        <v>206</v>
      </c>
      <c r="K119" s="165" t="s">
        <v>210</v>
      </c>
      <c r="L119" s="165" t="s">
        <v>220</v>
      </c>
      <c r="M119" s="165"/>
      <c r="N119" s="165"/>
      <c r="O119" s="165"/>
      <c r="P119" s="165"/>
      <c r="Q119" s="165"/>
      <c r="R119" s="165"/>
      <c r="S119" s="165"/>
      <c r="T119" s="165"/>
      <c r="U119" s="165"/>
      <c r="V119" s="165"/>
      <c r="W119" s="165"/>
      <c r="X119" s="165"/>
    </row>
    <row r="120" spans="1:24" x14ac:dyDescent="0.25">
      <c r="A120" s="165" t="s">
        <v>245</v>
      </c>
      <c r="B120" s="165" t="s">
        <v>810</v>
      </c>
      <c r="C120" s="165" t="s">
        <v>206</v>
      </c>
      <c r="D120" s="165" t="s">
        <v>210</v>
      </c>
      <c r="E120" s="165" t="s">
        <v>220</v>
      </c>
      <c r="F120" s="165"/>
      <c r="G120" s="165"/>
      <c r="H120" s="165" t="s">
        <v>245</v>
      </c>
      <c r="I120" s="165" t="s">
        <v>209</v>
      </c>
      <c r="J120" s="165" t="s">
        <v>206</v>
      </c>
      <c r="K120" s="165" t="s">
        <v>210</v>
      </c>
      <c r="L120" s="165" t="s">
        <v>220</v>
      </c>
      <c r="M120" s="165"/>
      <c r="N120" s="165"/>
      <c r="O120" s="165"/>
      <c r="P120" s="165"/>
      <c r="Q120" s="165"/>
      <c r="R120" s="165"/>
      <c r="S120" s="165"/>
      <c r="T120" s="165"/>
      <c r="U120" s="165"/>
      <c r="V120" s="165"/>
      <c r="W120" s="165"/>
      <c r="X120" s="165"/>
    </row>
    <row r="121" spans="1:24" x14ac:dyDescent="0.25">
      <c r="A121" s="165" t="s">
        <v>247</v>
      </c>
      <c r="B121" s="165" t="s">
        <v>810</v>
      </c>
      <c r="C121" s="165" t="s">
        <v>206</v>
      </c>
      <c r="D121" s="165" t="s">
        <v>210</v>
      </c>
      <c r="E121" s="165" t="s">
        <v>220</v>
      </c>
      <c r="F121" s="165"/>
      <c r="G121" s="165"/>
      <c r="H121" s="165" t="s">
        <v>247</v>
      </c>
      <c r="I121" s="165" t="s">
        <v>209</v>
      </c>
      <c r="J121" s="165" t="s">
        <v>206</v>
      </c>
      <c r="K121" s="165" t="s">
        <v>210</v>
      </c>
      <c r="L121" s="165" t="s">
        <v>220</v>
      </c>
      <c r="M121" s="165"/>
      <c r="N121" s="165"/>
      <c r="O121" s="165"/>
      <c r="P121" s="165"/>
      <c r="Q121" s="165"/>
      <c r="R121" s="165"/>
      <c r="S121" s="165"/>
      <c r="T121" s="165"/>
      <c r="U121" s="165"/>
      <c r="V121" s="165"/>
      <c r="W121" s="165"/>
      <c r="X121" s="165"/>
    </row>
    <row r="122" spans="1:24" x14ac:dyDescent="0.25">
      <c r="A122" s="165" t="s">
        <v>248</v>
      </c>
      <c r="B122" s="165" t="s">
        <v>810</v>
      </c>
      <c r="C122" s="165" t="s">
        <v>206</v>
      </c>
      <c r="D122" s="165" t="s">
        <v>210</v>
      </c>
      <c r="E122" s="165" t="s">
        <v>220</v>
      </c>
      <c r="F122" s="165"/>
      <c r="G122" s="165"/>
      <c r="H122" s="165" t="s">
        <v>248</v>
      </c>
      <c r="I122" s="165" t="s">
        <v>209</v>
      </c>
      <c r="J122" s="165" t="s">
        <v>206</v>
      </c>
      <c r="K122" s="165" t="s">
        <v>210</v>
      </c>
      <c r="L122" s="165" t="s">
        <v>220</v>
      </c>
      <c r="M122" s="165"/>
      <c r="N122" s="165"/>
      <c r="O122" s="165"/>
      <c r="P122" s="165"/>
      <c r="Q122" s="165"/>
      <c r="R122" s="165"/>
      <c r="S122" s="165"/>
      <c r="T122" s="165"/>
      <c r="U122" s="165"/>
      <c r="V122" s="165"/>
      <c r="W122" s="165"/>
      <c r="X122" s="165"/>
    </row>
    <row r="123" spans="1:24" x14ac:dyDescent="0.25">
      <c r="A123" s="165" t="s">
        <v>249</v>
      </c>
      <c r="B123" s="165" t="s">
        <v>810</v>
      </c>
      <c r="C123" s="165" t="s">
        <v>206</v>
      </c>
      <c r="D123" s="165" t="s">
        <v>210</v>
      </c>
      <c r="E123" s="165" t="s">
        <v>220</v>
      </c>
      <c r="F123" s="165"/>
      <c r="G123" s="165"/>
      <c r="H123" s="165" t="s">
        <v>249</v>
      </c>
      <c r="I123" s="165" t="s">
        <v>209</v>
      </c>
      <c r="J123" s="165" t="s">
        <v>206</v>
      </c>
      <c r="K123" s="165" t="s">
        <v>210</v>
      </c>
      <c r="L123" s="165" t="s">
        <v>220</v>
      </c>
      <c r="M123" s="165"/>
      <c r="N123" s="165"/>
      <c r="O123" s="165"/>
      <c r="P123" s="165"/>
      <c r="Q123" s="165"/>
      <c r="R123" s="165"/>
      <c r="S123" s="165"/>
      <c r="T123" s="165"/>
      <c r="U123" s="165"/>
      <c r="V123" s="165"/>
      <c r="W123" s="165"/>
      <c r="X123" s="165"/>
    </row>
    <row r="124" spans="1:24" x14ac:dyDescent="0.25">
      <c r="A124" s="165" t="s">
        <v>250</v>
      </c>
      <c r="B124" s="165" t="s">
        <v>810</v>
      </c>
      <c r="C124" s="165" t="s">
        <v>206</v>
      </c>
      <c r="D124" s="165" t="s">
        <v>210</v>
      </c>
      <c r="E124" s="165">
        <v>37.380000000000003</v>
      </c>
      <c r="F124" s="165"/>
      <c r="G124" s="165"/>
      <c r="H124" s="165" t="s">
        <v>250</v>
      </c>
      <c r="I124" s="165" t="s">
        <v>209</v>
      </c>
      <c r="J124" s="165" t="s">
        <v>206</v>
      </c>
      <c r="K124" s="165" t="s">
        <v>210</v>
      </c>
      <c r="L124" s="165" t="s">
        <v>220</v>
      </c>
      <c r="M124" s="165"/>
      <c r="N124" s="165"/>
      <c r="O124" s="165"/>
      <c r="P124" s="165"/>
      <c r="Q124" s="165"/>
      <c r="R124" s="165"/>
      <c r="S124" s="165"/>
      <c r="T124" s="165"/>
      <c r="U124" s="165"/>
      <c r="V124" s="165"/>
      <c r="W124" s="165"/>
      <c r="X124" s="165"/>
    </row>
    <row r="125" spans="1:24" x14ac:dyDescent="0.25">
      <c r="A125" s="165" t="s">
        <v>251</v>
      </c>
      <c r="B125" s="165" t="s">
        <v>810</v>
      </c>
      <c r="C125" s="165" t="s">
        <v>206</v>
      </c>
      <c r="D125" s="165" t="s">
        <v>210</v>
      </c>
      <c r="E125" s="165" t="s">
        <v>220</v>
      </c>
      <c r="F125" s="165"/>
      <c r="G125" s="165"/>
      <c r="H125" s="165" t="s">
        <v>251</v>
      </c>
      <c r="I125" s="165" t="s">
        <v>209</v>
      </c>
      <c r="J125" s="165" t="s">
        <v>206</v>
      </c>
      <c r="K125" s="165" t="s">
        <v>210</v>
      </c>
      <c r="L125" s="165" t="s">
        <v>220</v>
      </c>
      <c r="M125" s="165"/>
      <c r="N125" s="165"/>
      <c r="O125" s="165"/>
      <c r="P125" s="165"/>
      <c r="Q125" s="165"/>
      <c r="R125" s="165"/>
      <c r="S125" s="165"/>
      <c r="T125" s="165"/>
      <c r="U125" s="165"/>
      <c r="V125" s="165"/>
      <c r="W125" s="165"/>
      <c r="X125" s="165"/>
    </row>
    <row r="126" spans="1:24" x14ac:dyDescent="0.25">
      <c r="A126" s="165" t="s">
        <v>252</v>
      </c>
      <c r="B126" s="165" t="s">
        <v>810</v>
      </c>
      <c r="C126" s="165" t="s">
        <v>206</v>
      </c>
      <c r="D126" s="165" t="s">
        <v>210</v>
      </c>
      <c r="E126" s="165" t="s">
        <v>220</v>
      </c>
      <c r="F126" s="165"/>
      <c r="G126" s="165"/>
      <c r="H126" s="165" t="s">
        <v>252</v>
      </c>
      <c r="I126" s="165" t="s">
        <v>209</v>
      </c>
      <c r="J126" s="165" t="s">
        <v>206</v>
      </c>
      <c r="K126" s="165" t="s">
        <v>210</v>
      </c>
      <c r="L126" s="165" t="s">
        <v>220</v>
      </c>
      <c r="M126" s="165"/>
      <c r="N126" s="165"/>
      <c r="O126" s="165"/>
      <c r="P126" s="165"/>
      <c r="Q126" s="165"/>
      <c r="R126" s="165"/>
      <c r="S126" s="165"/>
      <c r="T126" s="165"/>
      <c r="U126" s="165"/>
      <c r="V126" s="165"/>
      <c r="W126" s="165"/>
      <c r="X126" s="165"/>
    </row>
    <row r="127" spans="1:24" x14ac:dyDescent="0.25">
      <c r="A127" s="165" t="s">
        <v>253</v>
      </c>
      <c r="B127" s="165" t="s">
        <v>810</v>
      </c>
      <c r="C127" s="165" t="s">
        <v>206</v>
      </c>
      <c r="D127" s="165" t="s">
        <v>210</v>
      </c>
      <c r="E127" s="165" t="s">
        <v>220</v>
      </c>
      <c r="F127" s="165"/>
      <c r="G127" s="165"/>
      <c r="H127" s="165" t="s">
        <v>253</v>
      </c>
      <c r="I127" s="165" t="s">
        <v>209</v>
      </c>
      <c r="J127" s="165" t="s">
        <v>206</v>
      </c>
      <c r="K127" s="165" t="s">
        <v>210</v>
      </c>
      <c r="L127" s="165" t="s">
        <v>220</v>
      </c>
      <c r="M127" s="165"/>
      <c r="N127" s="165"/>
      <c r="O127" s="165"/>
      <c r="P127" s="165"/>
      <c r="Q127" s="165"/>
      <c r="R127" s="165"/>
      <c r="S127" s="165"/>
      <c r="T127" s="165"/>
      <c r="U127" s="165"/>
      <c r="V127" s="165"/>
      <c r="W127" s="165"/>
      <c r="X127" s="165"/>
    </row>
    <row r="128" spans="1:24" x14ac:dyDescent="0.25">
      <c r="A128" s="165" t="s">
        <v>254</v>
      </c>
      <c r="B128" s="165" t="s">
        <v>810</v>
      </c>
      <c r="C128" s="165" t="s">
        <v>206</v>
      </c>
      <c r="D128" s="165" t="s">
        <v>210</v>
      </c>
      <c r="E128" s="165" t="s">
        <v>220</v>
      </c>
      <c r="F128" s="165"/>
      <c r="G128" s="165"/>
      <c r="H128" s="165" t="s">
        <v>254</v>
      </c>
      <c r="I128" s="165" t="s">
        <v>209</v>
      </c>
      <c r="J128" s="165" t="s">
        <v>206</v>
      </c>
      <c r="K128" s="165" t="s">
        <v>210</v>
      </c>
      <c r="L128" s="165" t="s">
        <v>220</v>
      </c>
      <c r="M128" s="165"/>
      <c r="N128" s="165"/>
      <c r="O128" s="165"/>
      <c r="P128" s="165"/>
      <c r="Q128" s="165"/>
      <c r="R128" s="165"/>
      <c r="S128" s="165"/>
      <c r="T128" s="165"/>
      <c r="U128" s="165"/>
      <c r="V128" s="165"/>
      <c r="W128" s="165"/>
      <c r="X128" s="165"/>
    </row>
    <row r="129" spans="1:12" x14ac:dyDescent="0.25">
      <c r="A129" s="165" t="s">
        <v>255</v>
      </c>
      <c r="B129" s="165" t="s">
        <v>810</v>
      </c>
      <c r="C129" s="165" t="s">
        <v>206</v>
      </c>
      <c r="D129" s="165" t="s">
        <v>210</v>
      </c>
      <c r="E129" s="165" t="s">
        <v>220</v>
      </c>
      <c r="F129" s="165"/>
      <c r="G129" s="165"/>
      <c r="H129" s="165" t="s">
        <v>255</v>
      </c>
      <c r="I129" s="165" t="s">
        <v>209</v>
      </c>
      <c r="J129" s="165" t="s">
        <v>206</v>
      </c>
      <c r="K129" s="165" t="s">
        <v>210</v>
      </c>
      <c r="L129" s="165" t="s">
        <v>220</v>
      </c>
    </row>
    <row r="130" spans="1:12" x14ac:dyDescent="0.25">
      <c r="A130" s="165" t="s">
        <v>256</v>
      </c>
      <c r="B130" s="165" t="s">
        <v>810</v>
      </c>
      <c r="C130" s="165" t="s">
        <v>206</v>
      </c>
      <c r="D130" s="165" t="s">
        <v>210</v>
      </c>
      <c r="E130" s="165" t="s">
        <v>220</v>
      </c>
      <c r="F130" s="165"/>
      <c r="G130" s="165"/>
      <c r="H130" s="165" t="s">
        <v>256</v>
      </c>
      <c r="I130" s="165" t="s">
        <v>209</v>
      </c>
      <c r="J130" s="165" t="s">
        <v>206</v>
      </c>
      <c r="K130" s="165" t="s">
        <v>210</v>
      </c>
      <c r="L130" s="165" t="s">
        <v>220</v>
      </c>
    </row>
    <row r="131" spans="1:12" x14ac:dyDescent="0.25">
      <c r="A131" s="165" t="s">
        <v>257</v>
      </c>
      <c r="B131" s="165" t="s">
        <v>810</v>
      </c>
      <c r="C131" s="165" t="s">
        <v>206</v>
      </c>
      <c r="D131" s="165" t="s">
        <v>210</v>
      </c>
      <c r="E131" s="165" t="s">
        <v>220</v>
      </c>
      <c r="F131" s="165"/>
      <c r="G131" s="165"/>
      <c r="H131" s="165" t="s">
        <v>257</v>
      </c>
      <c r="I131" s="165" t="s">
        <v>209</v>
      </c>
      <c r="J131" s="165" t="s">
        <v>206</v>
      </c>
      <c r="K131" s="165" t="s">
        <v>210</v>
      </c>
      <c r="L131" s="165" t="s">
        <v>220</v>
      </c>
    </row>
    <row r="132" spans="1:12" x14ac:dyDescent="0.25">
      <c r="A132" s="165" t="s">
        <v>258</v>
      </c>
      <c r="B132" s="165" t="s">
        <v>810</v>
      </c>
      <c r="C132" s="165" t="s">
        <v>206</v>
      </c>
      <c r="D132" s="165" t="s">
        <v>210</v>
      </c>
      <c r="E132" s="165" t="s">
        <v>220</v>
      </c>
      <c r="F132" s="165"/>
      <c r="G132" s="165"/>
      <c r="H132" s="165" t="s">
        <v>258</v>
      </c>
      <c r="I132" s="165" t="s">
        <v>209</v>
      </c>
      <c r="J132" s="165" t="s">
        <v>206</v>
      </c>
      <c r="K132" s="165" t="s">
        <v>210</v>
      </c>
      <c r="L132" s="165" t="s">
        <v>220</v>
      </c>
    </row>
    <row r="133" spans="1:12" x14ac:dyDescent="0.25">
      <c r="A133" s="165" t="s">
        <v>259</v>
      </c>
      <c r="B133" s="165" t="s">
        <v>810</v>
      </c>
      <c r="C133" s="165" t="s">
        <v>206</v>
      </c>
      <c r="D133" s="165" t="s">
        <v>210</v>
      </c>
      <c r="E133" s="165" t="s">
        <v>220</v>
      </c>
      <c r="F133" s="165"/>
      <c r="G133" s="165"/>
      <c r="H133" s="165" t="s">
        <v>259</v>
      </c>
      <c r="I133" s="165" t="s">
        <v>209</v>
      </c>
      <c r="J133" s="165" t="s">
        <v>206</v>
      </c>
      <c r="K133" s="165" t="s">
        <v>210</v>
      </c>
      <c r="L133" s="165" t="s">
        <v>220</v>
      </c>
    </row>
    <row r="134" spans="1:12" x14ac:dyDescent="0.25">
      <c r="A134" s="165" t="s">
        <v>260</v>
      </c>
      <c r="B134" s="165" t="s">
        <v>810</v>
      </c>
      <c r="C134" s="165" t="s">
        <v>206</v>
      </c>
      <c r="D134" s="165" t="s">
        <v>210</v>
      </c>
      <c r="E134" s="165" t="s">
        <v>220</v>
      </c>
      <c r="F134" s="165"/>
      <c r="G134" s="165"/>
      <c r="H134" s="165" t="s">
        <v>260</v>
      </c>
      <c r="I134" s="165" t="s">
        <v>209</v>
      </c>
      <c r="J134" s="165" t="s">
        <v>206</v>
      </c>
      <c r="K134" s="165" t="s">
        <v>210</v>
      </c>
      <c r="L134" s="165" t="s">
        <v>220</v>
      </c>
    </row>
    <row r="135" spans="1:12" x14ac:dyDescent="0.25">
      <c r="A135" s="165" t="s">
        <v>261</v>
      </c>
      <c r="B135" s="165" t="s">
        <v>810</v>
      </c>
      <c r="C135" s="165" t="s">
        <v>206</v>
      </c>
      <c r="D135" s="165" t="s">
        <v>210</v>
      </c>
      <c r="E135" s="165" t="s">
        <v>220</v>
      </c>
      <c r="F135" s="165"/>
      <c r="G135" s="165"/>
      <c r="H135" s="165" t="s">
        <v>261</v>
      </c>
      <c r="I135" s="165" t="s">
        <v>209</v>
      </c>
      <c r="J135" s="165" t="s">
        <v>206</v>
      </c>
      <c r="K135" s="165" t="s">
        <v>210</v>
      </c>
      <c r="L135" s="165" t="s">
        <v>220</v>
      </c>
    </row>
    <row r="136" spans="1:12" x14ac:dyDescent="0.25">
      <c r="A136" s="165" t="s">
        <v>262</v>
      </c>
      <c r="B136" s="165" t="s">
        <v>810</v>
      </c>
      <c r="C136" s="165" t="s">
        <v>206</v>
      </c>
      <c r="D136" s="165" t="s">
        <v>210</v>
      </c>
      <c r="E136" s="165" t="s">
        <v>220</v>
      </c>
      <c r="F136" s="165"/>
      <c r="G136" s="165"/>
      <c r="H136" s="165" t="s">
        <v>262</v>
      </c>
      <c r="I136" s="165" t="s">
        <v>209</v>
      </c>
      <c r="J136" s="165" t="s">
        <v>206</v>
      </c>
      <c r="K136" s="165" t="s">
        <v>210</v>
      </c>
      <c r="L136" s="165" t="s">
        <v>220</v>
      </c>
    </row>
    <row r="137" spans="1:12" x14ac:dyDescent="0.25">
      <c r="A137" s="165" t="s">
        <v>263</v>
      </c>
      <c r="B137" s="165" t="s">
        <v>810</v>
      </c>
      <c r="C137" s="165" t="s">
        <v>206</v>
      </c>
      <c r="D137" s="165" t="s">
        <v>210</v>
      </c>
      <c r="E137" s="165" t="s">
        <v>220</v>
      </c>
      <c r="F137" s="165"/>
      <c r="G137" s="165"/>
      <c r="H137" s="165" t="s">
        <v>263</v>
      </c>
      <c r="I137" s="165" t="s">
        <v>209</v>
      </c>
      <c r="J137" s="165" t="s">
        <v>206</v>
      </c>
      <c r="K137" s="165" t="s">
        <v>210</v>
      </c>
      <c r="L137" s="165" t="s">
        <v>220</v>
      </c>
    </row>
    <row r="138" spans="1:12" x14ac:dyDescent="0.25">
      <c r="A138" s="165" t="s">
        <v>264</v>
      </c>
      <c r="B138" s="165" t="s">
        <v>810</v>
      </c>
      <c r="C138" s="165" t="s">
        <v>206</v>
      </c>
      <c r="D138" s="165" t="s">
        <v>210</v>
      </c>
      <c r="E138" s="165" t="s">
        <v>220</v>
      </c>
      <c r="F138" s="165"/>
      <c r="G138" s="165"/>
      <c r="H138" s="165" t="s">
        <v>264</v>
      </c>
      <c r="I138" s="165" t="s">
        <v>209</v>
      </c>
      <c r="J138" s="165" t="s">
        <v>206</v>
      </c>
      <c r="K138" s="165" t="s">
        <v>210</v>
      </c>
      <c r="L138" s="165" t="s">
        <v>220</v>
      </c>
    </row>
    <row r="139" spans="1:12" x14ac:dyDescent="0.25">
      <c r="A139" s="165" t="s">
        <v>265</v>
      </c>
      <c r="B139" s="165" t="s">
        <v>810</v>
      </c>
      <c r="C139" s="165" t="s">
        <v>206</v>
      </c>
      <c r="D139" s="165" t="s">
        <v>210</v>
      </c>
      <c r="E139" s="165" t="s">
        <v>220</v>
      </c>
      <c r="F139" s="165"/>
      <c r="G139" s="165"/>
      <c r="H139" s="165" t="s">
        <v>265</v>
      </c>
      <c r="I139" s="165" t="s">
        <v>209</v>
      </c>
      <c r="J139" s="165" t="s">
        <v>206</v>
      </c>
      <c r="K139" s="165" t="s">
        <v>210</v>
      </c>
      <c r="L139" s="165" t="s">
        <v>220</v>
      </c>
    </row>
    <row r="140" spans="1:12" x14ac:dyDescent="0.25">
      <c r="A140" s="165" t="s">
        <v>266</v>
      </c>
      <c r="B140" s="165" t="s">
        <v>810</v>
      </c>
      <c r="C140" s="165" t="s">
        <v>206</v>
      </c>
      <c r="D140" s="165" t="s">
        <v>210</v>
      </c>
      <c r="E140" s="165" t="s">
        <v>220</v>
      </c>
      <c r="F140" s="165"/>
      <c r="G140" s="165"/>
      <c r="H140" s="165" t="s">
        <v>266</v>
      </c>
      <c r="I140" s="165" t="s">
        <v>209</v>
      </c>
      <c r="J140" s="165" t="s">
        <v>206</v>
      </c>
      <c r="K140" s="165" t="s">
        <v>210</v>
      </c>
      <c r="L140" s="165" t="s">
        <v>220</v>
      </c>
    </row>
    <row r="141" spans="1:12" x14ac:dyDescent="0.25">
      <c r="A141" s="165" t="s">
        <v>267</v>
      </c>
      <c r="B141" s="165" t="s">
        <v>810</v>
      </c>
      <c r="C141" s="165" t="s">
        <v>206</v>
      </c>
      <c r="D141" s="165" t="s">
        <v>210</v>
      </c>
      <c r="E141" s="165" t="s">
        <v>220</v>
      </c>
      <c r="F141" s="165"/>
      <c r="G141" s="165"/>
      <c r="H141" s="165" t="s">
        <v>267</v>
      </c>
      <c r="I141" s="165" t="s">
        <v>209</v>
      </c>
      <c r="J141" s="165" t="s">
        <v>206</v>
      </c>
      <c r="K141" s="165" t="s">
        <v>210</v>
      </c>
      <c r="L141" s="165" t="s">
        <v>220</v>
      </c>
    </row>
    <row r="142" spans="1:12" x14ac:dyDescent="0.25">
      <c r="A142" s="165" t="s">
        <v>268</v>
      </c>
      <c r="B142" s="165" t="s">
        <v>810</v>
      </c>
      <c r="C142" s="165" t="s">
        <v>206</v>
      </c>
      <c r="D142" s="165" t="s">
        <v>210</v>
      </c>
      <c r="E142" s="165" t="s">
        <v>220</v>
      </c>
      <c r="F142" s="165"/>
      <c r="G142" s="165"/>
      <c r="H142" s="165" t="s">
        <v>268</v>
      </c>
      <c r="I142" s="165" t="s">
        <v>209</v>
      </c>
      <c r="J142" s="165" t="s">
        <v>206</v>
      </c>
      <c r="K142" s="165" t="s">
        <v>210</v>
      </c>
      <c r="L142" s="165" t="s">
        <v>220</v>
      </c>
    </row>
    <row r="143" spans="1:12" x14ac:dyDescent="0.25">
      <c r="A143" s="165" t="s">
        <v>270</v>
      </c>
      <c r="B143" s="165" t="s">
        <v>810</v>
      </c>
      <c r="C143" s="165" t="s">
        <v>206</v>
      </c>
      <c r="D143" s="165" t="s">
        <v>210</v>
      </c>
      <c r="E143" s="165" t="s">
        <v>220</v>
      </c>
      <c r="F143" s="165"/>
      <c r="G143" s="165"/>
      <c r="H143" s="165" t="s">
        <v>270</v>
      </c>
      <c r="I143" s="165" t="s">
        <v>209</v>
      </c>
      <c r="J143" s="165" t="s">
        <v>206</v>
      </c>
      <c r="K143" s="165" t="s">
        <v>210</v>
      </c>
      <c r="L143" s="165" t="s">
        <v>220</v>
      </c>
    </row>
    <row r="144" spans="1:12" x14ac:dyDescent="0.25">
      <c r="A144" s="165" t="s">
        <v>272</v>
      </c>
      <c r="B144" s="165" t="s">
        <v>810</v>
      </c>
      <c r="C144" s="165" t="s">
        <v>206</v>
      </c>
      <c r="D144" s="165" t="s">
        <v>210</v>
      </c>
      <c r="E144" s="165" t="s">
        <v>220</v>
      </c>
      <c r="F144" s="165"/>
      <c r="G144" s="165"/>
      <c r="H144" s="165" t="s">
        <v>272</v>
      </c>
      <c r="I144" s="165" t="s">
        <v>209</v>
      </c>
      <c r="J144" s="165" t="s">
        <v>206</v>
      </c>
      <c r="K144" s="165" t="s">
        <v>210</v>
      </c>
      <c r="L144" s="165" t="s">
        <v>220</v>
      </c>
    </row>
    <row r="145" spans="1:12" x14ac:dyDescent="0.25">
      <c r="A145" s="165" t="s">
        <v>273</v>
      </c>
      <c r="B145" s="165" t="s">
        <v>810</v>
      </c>
      <c r="C145" s="165" t="s">
        <v>206</v>
      </c>
      <c r="D145" s="165" t="s">
        <v>210</v>
      </c>
      <c r="E145" s="165" t="s">
        <v>220</v>
      </c>
      <c r="F145" s="165"/>
      <c r="G145" s="165"/>
      <c r="H145" s="165" t="s">
        <v>273</v>
      </c>
      <c r="I145" s="165" t="s">
        <v>209</v>
      </c>
      <c r="J145" s="165" t="s">
        <v>206</v>
      </c>
      <c r="K145" s="165" t="s">
        <v>210</v>
      </c>
      <c r="L145" s="165" t="s">
        <v>220</v>
      </c>
    </row>
    <row r="146" spans="1:12" x14ac:dyDescent="0.25">
      <c r="A146" s="165" t="s">
        <v>274</v>
      </c>
      <c r="B146" s="165" t="s">
        <v>810</v>
      </c>
      <c r="C146" s="165" t="s">
        <v>206</v>
      </c>
      <c r="D146" s="165" t="s">
        <v>210</v>
      </c>
      <c r="E146" s="165" t="s">
        <v>220</v>
      </c>
      <c r="F146" s="165"/>
      <c r="G146" s="165"/>
      <c r="H146" s="165" t="s">
        <v>274</v>
      </c>
      <c r="I146" s="165" t="s">
        <v>209</v>
      </c>
      <c r="J146" s="165" t="s">
        <v>206</v>
      </c>
      <c r="K146" s="165" t="s">
        <v>210</v>
      </c>
      <c r="L146" s="165" t="s">
        <v>220</v>
      </c>
    </row>
    <row r="147" spans="1:12" x14ac:dyDescent="0.25">
      <c r="A147" s="165" t="s">
        <v>275</v>
      </c>
      <c r="B147" s="165" t="s">
        <v>810</v>
      </c>
      <c r="C147" s="165" t="s">
        <v>206</v>
      </c>
      <c r="D147" s="165" t="s">
        <v>210</v>
      </c>
      <c r="E147" s="165" t="s">
        <v>220</v>
      </c>
      <c r="F147" s="165"/>
      <c r="G147" s="165"/>
      <c r="H147" s="165" t="s">
        <v>275</v>
      </c>
      <c r="I147" s="165" t="s">
        <v>209</v>
      </c>
      <c r="J147" s="165" t="s">
        <v>206</v>
      </c>
      <c r="K147" s="165" t="s">
        <v>210</v>
      </c>
      <c r="L147" s="165" t="s">
        <v>220</v>
      </c>
    </row>
    <row r="148" spans="1:12" x14ac:dyDescent="0.25">
      <c r="A148" s="165" t="s">
        <v>276</v>
      </c>
      <c r="B148" s="165" t="s">
        <v>810</v>
      </c>
      <c r="C148" s="165" t="s">
        <v>206</v>
      </c>
      <c r="D148" s="165" t="s">
        <v>210</v>
      </c>
      <c r="E148" s="165" t="s">
        <v>220</v>
      </c>
      <c r="F148" s="165"/>
      <c r="G148" s="165"/>
      <c r="H148" s="165" t="s">
        <v>276</v>
      </c>
      <c r="I148" s="165" t="s">
        <v>209</v>
      </c>
      <c r="J148" s="165" t="s">
        <v>206</v>
      </c>
      <c r="K148" s="165" t="s">
        <v>210</v>
      </c>
      <c r="L148" s="165" t="s">
        <v>220</v>
      </c>
    </row>
    <row r="149" spans="1:12" x14ac:dyDescent="0.25">
      <c r="A149" s="165" t="s">
        <v>277</v>
      </c>
      <c r="B149" s="165" t="s">
        <v>810</v>
      </c>
      <c r="C149" s="165" t="s">
        <v>206</v>
      </c>
      <c r="D149" s="165" t="s">
        <v>210</v>
      </c>
      <c r="E149" s="165" t="s">
        <v>220</v>
      </c>
      <c r="F149" s="165"/>
      <c r="G149" s="165"/>
      <c r="H149" s="165" t="s">
        <v>277</v>
      </c>
      <c r="I149" s="165" t="s">
        <v>209</v>
      </c>
      <c r="J149" s="165" t="s">
        <v>206</v>
      </c>
      <c r="K149" s="165" t="s">
        <v>210</v>
      </c>
      <c r="L149" s="165" t="s">
        <v>220</v>
      </c>
    </row>
    <row r="150" spans="1:12" x14ac:dyDescent="0.25">
      <c r="A150" s="165" t="s">
        <v>278</v>
      </c>
      <c r="B150" s="165" t="s">
        <v>810</v>
      </c>
      <c r="C150" s="165" t="s">
        <v>206</v>
      </c>
      <c r="D150" s="165" t="s">
        <v>210</v>
      </c>
      <c r="E150" s="165" t="s">
        <v>220</v>
      </c>
      <c r="F150" s="165"/>
      <c r="G150" s="165"/>
      <c r="H150" s="165" t="s">
        <v>278</v>
      </c>
      <c r="I150" s="165" t="s">
        <v>209</v>
      </c>
      <c r="J150" s="165" t="s">
        <v>206</v>
      </c>
      <c r="K150" s="165" t="s">
        <v>210</v>
      </c>
      <c r="L150" s="165" t="s">
        <v>220</v>
      </c>
    </row>
    <row r="151" spans="1:12" x14ac:dyDescent="0.25">
      <c r="A151" s="165" t="s">
        <v>279</v>
      </c>
      <c r="B151" s="165" t="s">
        <v>810</v>
      </c>
      <c r="C151" s="165" t="s">
        <v>206</v>
      </c>
      <c r="D151" s="165" t="s">
        <v>210</v>
      </c>
      <c r="E151" s="165" t="s">
        <v>220</v>
      </c>
      <c r="F151" s="165"/>
      <c r="G151" s="165"/>
      <c r="H151" s="165" t="s">
        <v>279</v>
      </c>
      <c r="I151" s="165" t="s">
        <v>209</v>
      </c>
      <c r="J151" s="165" t="s">
        <v>206</v>
      </c>
      <c r="K151" s="165" t="s">
        <v>210</v>
      </c>
      <c r="L151" s="165" t="s">
        <v>220</v>
      </c>
    </row>
    <row r="152" spans="1:12" x14ac:dyDescent="0.25">
      <c r="A152" s="165" t="s">
        <v>280</v>
      </c>
      <c r="B152" s="165" t="s">
        <v>810</v>
      </c>
      <c r="C152" s="165" t="s">
        <v>206</v>
      </c>
      <c r="D152" s="165" t="s">
        <v>210</v>
      </c>
      <c r="E152" s="165" t="s">
        <v>220</v>
      </c>
      <c r="F152" s="165"/>
      <c r="G152" s="165"/>
      <c r="H152" s="165" t="s">
        <v>280</v>
      </c>
      <c r="I152" s="165" t="s">
        <v>209</v>
      </c>
      <c r="J152" s="165" t="s">
        <v>206</v>
      </c>
      <c r="K152" s="165" t="s">
        <v>210</v>
      </c>
      <c r="L152" s="165" t="s">
        <v>220</v>
      </c>
    </row>
    <row r="153" spans="1:12" x14ac:dyDescent="0.25">
      <c r="A153" s="165" t="s">
        <v>281</v>
      </c>
      <c r="B153" s="165" t="s">
        <v>810</v>
      </c>
      <c r="C153" s="165" t="s">
        <v>206</v>
      </c>
      <c r="D153" s="165" t="s">
        <v>210</v>
      </c>
      <c r="E153" s="165" t="s">
        <v>220</v>
      </c>
      <c r="F153" s="165"/>
      <c r="G153" s="165"/>
      <c r="H153" s="165" t="s">
        <v>281</v>
      </c>
      <c r="I153" s="165" t="s">
        <v>209</v>
      </c>
      <c r="J153" s="165" t="s">
        <v>206</v>
      </c>
      <c r="K153" s="165" t="s">
        <v>210</v>
      </c>
      <c r="L153" s="165" t="s">
        <v>220</v>
      </c>
    </row>
    <row r="154" spans="1:12" x14ac:dyDescent="0.25">
      <c r="A154" s="165" t="s">
        <v>282</v>
      </c>
      <c r="B154" s="165" t="s">
        <v>810</v>
      </c>
      <c r="C154" s="165" t="s">
        <v>206</v>
      </c>
      <c r="D154" s="165" t="s">
        <v>210</v>
      </c>
      <c r="E154" s="165" t="s">
        <v>220</v>
      </c>
      <c r="F154" s="165"/>
      <c r="G154" s="165"/>
      <c r="H154" s="165" t="s">
        <v>282</v>
      </c>
      <c r="I154" s="165" t="s">
        <v>209</v>
      </c>
      <c r="J154" s="165" t="s">
        <v>206</v>
      </c>
      <c r="K154" s="165" t="s">
        <v>210</v>
      </c>
      <c r="L154" s="165" t="s">
        <v>220</v>
      </c>
    </row>
    <row r="155" spans="1:12" x14ac:dyDescent="0.25">
      <c r="A155" s="165" t="s">
        <v>283</v>
      </c>
      <c r="B155" s="165" t="s">
        <v>810</v>
      </c>
      <c r="C155" s="165" t="s">
        <v>206</v>
      </c>
      <c r="D155" s="165" t="s">
        <v>210</v>
      </c>
      <c r="E155" s="165" t="s">
        <v>220</v>
      </c>
      <c r="F155" s="165"/>
      <c r="G155" s="165"/>
      <c r="H155" s="165" t="s">
        <v>283</v>
      </c>
      <c r="I155" s="165" t="s">
        <v>209</v>
      </c>
      <c r="J155" s="165" t="s">
        <v>206</v>
      </c>
      <c r="K155" s="165" t="s">
        <v>210</v>
      </c>
      <c r="L155" s="165" t="s">
        <v>220</v>
      </c>
    </row>
    <row r="156" spans="1:12" x14ac:dyDescent="0.25">
      <c r="A156" s="165" t="s">
        <v>284</v>
      </c>
      <c r="B156" s="165" t="s">
        <v>810</v>
      </c>
      <c r="C156" s="165" t="s">
        <v>206</v>
      </c>
      <c r="D156" s="165" t="s">
        <v>210</v>
      </c>
      <c r="E156" s="165" t="s">
        <v>220</v>
      </c>
      <c r="F156" s="165"/>
      <c r="G156" s="165"/>
      <c r="H156" s="165" t="s">
        <v>284</v>
      </c>
      <c r="I156" s="165" t="s">
        <v>209</v>
      </c>
      <c r="J156" s="165" t="s">
        <v>206</v>
      </c>
      <c r="K156" s="165" t="s">
        <v>210</v>
      </c>
      <c r="L156" s="165" t="s">
        <v>220</v>
      </c>
    </row>
    <row r="157" spans="1:12" x14ac:dyDescent="0.25">
      <c r="A157" s="165" t="s">
        <v>285</v>
      </c>
      <c r="B157" s="165" t="s">
        <v>810</v>
      </c>
      <c r="C157" s="165" t="s">
        <v>206</v>
      </c>
      <c r="D157" s="165" t="s">
        <v>210</v>
      </c>
      <c r="E157" s="165" t="s">
        <v>220</v>
      </c>
      <c r="F157" s="165"/>
      <c r="G157" s="165"/>
      <c r="H157" s="165" t="s">
        <v>285</v>
      </c>
      <c r="I157" s="165" t="s">
        <v>209</v>
      </c>
      <c r="J157" s="165" t="s">
        <v>206</v>
      </c>
      <c r="K157" s="165" t="s">
        <v>210</v>
      </c>
      <c r="L157" s="165" t="s">
        <v>220</v>
      </c>
    </row>
    <row r="158" spans="1:12" x14ac:dyDescent="0.25">
      <c r="A158" s="165" t="s">
        <v>286</v>
      </c>
      <c r="B158" s="165" t="s">
        <v>810</v>
      </c>
      <c r="C158" s="165" t="s">
        <v>206</v>
      </c>
      <c r="D158" s="165" t="s">
        <v>210</v>
      </c>
      <c r="E158" s="165" t="s">
        <v>220</v>
      </c>
      <c r="F158" s="165"/>
      <c r="G158" s="165"/>
      <c r="H158" s="165" t="s">
        <v>286</v>
      </c>
      <c r="I158" s="165" t="s">
        <v>209</v>
      </c>
      <c r="J158" s="165" t="s">
        <v>206</v>
      </c>
      <c r="K158" s="165" t="s">
        <v>210</v>
      </c>
      <c r="L158" s="165" t="s">
        <v>220</v>
      </c>
    </row>
    <row r="159" spans="1:12" x14ac:dyDescent="0.25">
      <c r="A159" s="165" t="s">
        <v>287</v>
      </c>
      <c r="B159" s="165" t="s">
        <v>810</v>
      </c>
      <c r="C159" s="165" t="s">
        <v>206</v>
      </c>
      <c r="D159" s="165" t="s">
        <v>210</v>
      </c>
      <c r="E159" s="165" t="s">
        <v>220</v>
      </c>
      <c r="F159" s="165"/>
      <c r="G159" s="165"/>
      <c r="H159" s="165" t="s">
        <v>287</v>
      </c>
      <c r="I159" s="165" t="s">
        <v>209</v>
      </c>
      <c r="J159" s="165" t="s">
        <v>206</v>
      </c>
      <c r="K159" s="165" t="s">
        <v>210</v>
      </c>
      <c r="L159" s="165" t="s">
        <v>220</v>
      </c>
    </row>
    <row r="160" spans="1:12" x14ac:dyDescent="0.25">
      <c r="A160" s="165" t="s">
        <v>288</v>
      </c>
      <c r="B160" s="165" t="s">
        <v>810</v>
      </c>
      <c r="C160" s="165" t="s">
        <v>206</v>
      </c>
      <c r="D160" s="165" t="s">
        <v>210</v>
      </c>
      <c r="E160" s="165" t="s">
        <v>220</v>
      </c>
      <c r="F160" s="165"/>
      <c r="G160" s="165"/>
      <c r="H160" s="165" t="s">
        <v>288</v>
      </c>
      <c r="I160" s="165" t="s">
        <v>209</v>
      </c>
      <c r="J160" s="165" t="s">
        <v>206</v>
      </c>
      <c r="K160" s="165" t="s">
        <v>210</v>
      </c>
      <c r="L160" s="165" t="s">
        <v>220</v>
      </c>
    </row>
    <row r="161" spans="1:12" x14ac:dyDescent="0.25">
      <c r="A161" s="165" t="s">
        <v>289</v>
      </c>
      <c r="B161" s="165" t="s">
        <v>810</v>
      </c>
      <c r="C161" s="165" t="s">
        <v>206</v>
      </c>
      <c r="D161" s="165" t="s">
        <v>210</v>
      </c>
      <c r="E161" s="165" t="s">
        <v>220</v>
      </c>
      <c r="F161" s="165"/>
      <c r="G161" s="165"/>
      <c r="H161" s="165" t="s">
        <v>289</v>
      </c>
      <c r="I161" s="165" t="s">
        <v>209</v>
      </c>
      <c r="J161" s="165" t="s">
        <v>206</v>
      </c>
      <c r="K161" s="165" t="s">
        <v>210</v>
      </c>
      <c r="L161" s="165" t="s">
        <v>220</v>
      </c>
    </row>
    <row r="162" spans="1:12" x14ac:dyDescent="0.25">
      <c r="A162" s="165" t="s">
        <v>290</v>
      </c>
      <c r="B162" s="165" t="s">
        <v>810</v>
      </c>
      <c r="C162" s="165" t="s">
        <v>206</v>
      </c>
      <c r="D162" s="165" t="s">
        <v>210</v>
      </c>
      <c r="E162" s="165" t="s">
        <v>220</v>
      </c>
      <c r="F162" s="165"/>
      <c r="G162" s="165"/>
      <c r="H162" s="165" t="s">
        <v>290</v>
      </c>
      <c r="I162" s="165" t="s">
        <v>209</v>
      </c>
      <c r="J162" s="165" t="s">
        <v>206</v>
      </c>
      <c r="K162" s="165" t="s">
        <v>210</v>
      </c>
      <c r="L162" s="165" t="s">
        <v>220</v>
      </c>
    </row>
    <row r="163" spans="1:12" x14ac:dyDescent="0.25">
      <c r="A163" s="165" t="s">
        <v>291</v>
      </c>
      <c r="B163" s="165" t="s">
        <v>810</v>
      </c>
      <c r="C163" s="165" t="s">
        <v>206</v>
      </c>
      <c r="D163" s="165" t="s">
        <v>210</v>
      </c>
      <c r="E163" s="165" t="s">
        <v>220</v>
      </c>
      <c r="F163" s="165"/>
      <c r="G163" s="165"/>
      <c r="H163" s="165" t="s">
        <v>291</v>
      </c>
      <c r="I163" s="165" t="s">
        <v>209</v>
      </c>
      <c r="J163" s="165" t="s">
        <v>206</v>
      </c>
      <c r="K163" s="165" t="s">
        <v>210</v>
      </c>
      <c r="L163" s="165" t="s">
        <v>220</v>
      </c>
    </row>
    <row r="164" spans="1:12" x14ac:dyDescent="0.25">
      <c r="A164" s="165" t="s">
        <v>292</v>
      </c>
      <c r="B164" s="165" t="s">
        <v>810</v>
      </c>
      <c r="C164" s="165" t="s">
        <v>206</v>
      </c>
      <c r="D164" s="165" t="s">
        <v>210</v>
      </c>
      <c r="E164" s="165" t="s">
        <v>220</v>
      </c>
      <c r="F164" s="165"/>
      <c r="G164" s="165"/>
      <c r="H164" s="165" t="s">
        <v>292</v>
      </c>
      <c r="I164" s="165" t="s">
        <v>209</v>
      </c>
      <c r="J164" s="165" t="s">
        <v>206</v>
      </c>
      <c r="K164" s="165" t="s">
        <v>210</v>
      </c>
      <c r="L164" s="165" t="s">
        <v>220</v>
      </c>
    </row>
    <row r="165" spans="1:12" x14ac:dyDescent="0.25">
      <c r="A165" s="165" t="s">
        <v>293</v>
      </c>
      <c r="B165" s="165" t="s">
        <v>810</v>
      </c>
      <c r="C165" s="165" t="s">
        <v>206</v>
      </c>
      <c r="D165" s="165" t="s">
        <v>210</v>
      </c>
      <c r="E165" s="165" t="s">
        <v>220</v>
      </c>
      <c r="F165" s="165"/>
      <c r="G165" s="165"/>
      <c r="H165" s="165" t="s">
        <v>293</v>
      </c>
      <c r="I165" s="165" t="s">
        <v>209</v>
      </c>
      <c r="J165" s="165" t="s">
        <v>206</v>
      </c>
      <c r="K165" s="165" t="s">
        <v>210</v>
      </c>
      <c r="L165" s="165">
        <v>36.17</v>
      </c>
    </row>
    <row r="166" spans="1:12" x14ac:dyDescent="0.25">
      <c r="A166" s="165" t="s">
        <v>294</v>
      </c>
      <c r="B166" s="165" t="s">
        <v>810</v>
      </c>
      <c r="C166" s="165" t="s">
        <v>206</v>
      </c>
      <c r="D166" s="165" t="s">
        <v>210</v>
      </c>
      <c r="E166" s="165" t="s">
        <v>220</v>
      </c>
      <c r="F166" s="165"/>
      <c r="G166" s="165"/>
      <c r="H166" s="165" t="s">
        <v>294</v>
      </c>
      <c r="I166" s="165" t="s">
        <v>209</v>
      </c>
      <c r="J166" s="165" t="s">
        <v>206</v>
      </c>
      <c r="K166" s="165" t="s">
        <v>210</v>
      </c>
      <c r="L166" s="165" t="s">
        <v>220</v>
      </c>
    </row>
    <row r="167" spans="1:12" x14ac:dyDescent="0.25">
      <c r="A167" s="165" t="s">
        <v>295</v>
      </c>
      <c r="B167" s="165" t="s">
        <v>810</v>
      </c>
      <c r="C167" s="165" t="s">
        <v>206</v>
      </c>
      <c r="D167" s="165" t="s">
        <v>210</v>
      </c>
      <c r="E167" s="165" t="s">
        <v>220</v>
      </c>
      <c r="F167" s="165"/>
      <c r="G167" s="165"/>
      <c r="H167" s="165" t="s">
        <v>295</v>
      </c>
      <c r="I167" s="165" t="s">
        <v>209</v>
      </c>
      <c r="J167" s="165" t="s">
        <v>206</v>
      </c>
      <c r="K167" s="165" t="s">
        <v>210</v>
      </c>
      <c r="L167" s="165" t="s">
        <v>220</v>
      </c>
    </row>
    <row r="168" spans="1:12" x14ac:dyDescent="0.25">
      <c r="A168" s="165" t="s">
        <v>296</v>
      </c>
      <c r="B168" s="165" t="s">
        <v>810</v>
      </c>
      <c r="C168" s="165" t="s">
        <v>206</v>
      </c>
      <c r="D168" s="165" t="s">
        <v>210</v>
      </c>
      <c r="E168" s="165" t="s">
        <v>220</v>
      </c>
      <c r="F168" s="165"/>
      <c r="G168" s="165"/>
      <c r="H168" s="165" t="s">
        <v>296</v>
      </c>
      <c r="I168" s="165" t="s">
        <v>209</v>
      </c>
      <c r="J168" s="165" t="s">
        <v>206</v>
      </c>
      <c r="K168" s="165" t="s">
        <v>210</v>
      </c>
      <c r="L168" s="165" t="s">
        <v>220</v>
      </c>
    </row>
    <row r="169" spans="1:12" x14ac:dyDescent="0.25">
      <c r="A169" s="165" t="s">
        <v>297</v>
      </c>
      <c r="B169" s="165" t="s">
        <v>810</v>
      </c>
      <c r="C169" s="165" t="s">
        <v>206</v>
      </c>
      <c r="D169" s="165" t="s">
        <v>210</v>
      </c>
      <c r="E169" s="165" t="s">
        <v>220</v>
      </c>
      <c r="F169" s="165"/>
      <c r="G169" s="165"/>
      <c r="H169" s="165" t="s">
        <v>297</v>
      </c>
      <c r="I169" s="165" t="s">
        <v>209</v>
      </c>
      <c r="J169" s="165" t="s">
        <v>206</v>
      </c>
      <c r="K169" s="165" t="s">
        <v>210</v>
      </c>
      <c r="L169" s="165" t="s">
        <v>220</v>
      </c>
    </row>
    <row r="170" spans="1:12" x14ac:dyDescent="0.25">
      <c r="A170" s="165" t="s">
        <v>298</v>
      </c>
      <c r="B170" s="165" t="s">
        <v>810</v>
      </c>
      <c r="C170" s="165" t="s">
        <v>206</v>
      </c>
      <c r="D170" s="165" t="s">
        <v>210</v>
      </c>
      <c r="E170" s="165" t="s">
        <v>220</v>
      </c>
      <c r="F170" s="165"/>
      <c r="G170" s="165"/>
      <c r="H170" s="165" t="s">
        <v>298</v>
      </c>
      <c r="I170" s="165" t="s">
        <v>209</v>
      </c>
      <c r="J170" s="165" t="s">
        <v>206</v>
      </c>
      <c r="K170" s="165" t="s">
        <v>210</v>
      </c>
      <c r="L170" s="165" t="s">
        <v>220</v>
      </c>
    </row>
    <row r="171" spans="1:12" x14ac:dyDescent="0.25">
      <c r="A171" s="165" t="s">
        <v>299</v>
      </c>
      <c r="B171" s="165" t="s">
        <v>810</v>
      </c>
      <c r="C171" s="165" t="s">
        <v>206</v>
      </c>
      <c r="D171" s="165" t="s">
        <v>210</v>
      </c>
      <c r="E171" s="165" t="s">
        <v>220</v>
      </c>
      <c r="F171" s="165"/>
      <c r="G171" s="165"/>
      <c r="H171" s="165" t="s">
        <v>299</v>
      </c>
      <c r="I171" s="165" t="s">
        <v>209</v>
      </c>
      <c r="J171" s="165" t="s">
        <v>206</v>
      </c>
      <c r="K171" s="165" t="s">
        <v>210</v>
      </c>
      <c r="L171" s="165" t="s">
        <v>220</v>
      </c>
    </row>
    <row r="172" spans="1:12" x14ac:dyDescent="0.25">
      <c r="A172" s="165" t="s">
        <v>300</v>
      </c>
      <c r="B172" s="165" t="s">
        <v>810</v>
      </c>
      <c r="C172" s="165" t="s">
        <v>206</v>
      </c>
      <c r="D172" s="165" t="s">
        <v>210</v>
      </c>
      <c r="E172" s="165" t="s">
        <v>220</v>
      </c>
      <c r="F172" s="165"/>
      <c r="G172" s="165"/>
      <c r="H172" s="165" t="s">
        <v>300</v>
      </c>
      <c r="I172" s="165" t="s">
        <v>209</v>
      </c>
      <c r="J172" s="165" t="s">
        <v>206</v>
      </c>
      <c r="K172" s="165" t="s">
        <v>210</v>
      </c>
      <c r="L172" s="165" t="s">
        <v>220</v>
      </c>
    </row>
    <row r="173" spans="1:12" x14ac:dyDescent="0.25">
      <c r="A173" s="165" t="s">
        <v>301</v>
      </c>
      <c r="B173" s="165" t="s">
        <v>810</v>
      </c>
      <c r="C173" s="165" t="s">
        <v>206</v>
      </c>
      <c r="D173" s="165" t="s">
        <v>210</v>
      </c>
      <c r="E173" s="165" t="s">
        <v>220</v>
      </c>
      <c r="F173" s="165"/>
      <c r="G173" s="165"/>
      <c r="H173" s="165" t="s">
        <v>301</v>
      </c>
      <c r="I173" s="165" t="s">
        <v>209</v>
      </c>
      <c r="J173" s="165" t="s">
        <v>206</v>
      </c>
      <c r="K173" s="165" t="s">
        <v>210</v>
      </c>
      <c r="L173" s="165" t="s">
        <v>220</v>
      </c>
    </row>
    <row r="174" spans="1:12" x14ac:dyDescent="0.25">
      <c r="A174" s="165" t="s">
        <v>302</v>
      </c>
      <c r="B174" s="165" t="s">
        <v>810</v>
      </c>
      <c r="C174" s="165" t="s">
        <v>206</v>
      </c>
      <c r="D174" s="165" t="s">
        <v>210</v>
      </c>
      <c r="E174" s="165" t="s">
        <v>220</v>
      </c>
      <c r="F174" s="165"/>
      <c r="G174" s="165"/>
      <c r="H174" s="165" t="s">
        <v>302</v>
      </c>
      <c r="I174" s="165" t="s">
        <v>209</v>
      </c>
      <c r="J174" s="165" t="s">
        <v>206</v>
      </c>
      <c r="K174" s="165" t="s">
        <v>210</v>
      </c>
      <c r="L174" s="165" t="s">
        <v>220</v>
      </c>
    </row>
    <row r="175" spans="1:12" x14ac:dyDescent="0.25">
      <c r="A175" s="165" t="s">
        <v>303</v>
      </c>
      <c r="B175" s="165" t="s">
        <v>810</v>
      </c>
      <c r="C175" s="165" t="s">
        <v>206</v>
      </c>
      <c r="D175" s="165" t="s">
        <v>210</v>
      </c>
      <c r="E175" s="165" t="s">
        <v>220</v>
      </c>
      <c r="F175" s="165"/>
      <c r="G175" s="165"/>
      <c r="H175" s="165" t="s">
        <v>303</v>
      </c>
      <c r="I175" s="165" t="s">
        <v>209</v>
      </c>
      <c r="J175" s="165" t="s">
        <v>206</v>
      </c>
      <c r="K175" s="165" t="s">
        <v>210</v>
      </c>
      <c r="L175" s="165" t="s">
        <v>220</v>
      </c>
    </row>
    <row r="176" spans="1:12" x14ac:dyDescent="0.25">
      <c r="A176" s="165" t="s">
        <v>304</v>
      </c>
      <c r="B176" s="165" t="s">
        <v>810</v>
      </c>
      <c r="C176" s="165" t="s">
        <v>206</v>
      </c>
      <c r="D176" s="165" t="s">
        <v>210</v>
      </c>
      <c r="E176" s="165" t="s">
        <v>220</v>
      </c>
      <c r="F176" s="165"/>
      <c r="G176" s="165"/>
      <c r="H176" s="165" t="s">
        <v>304</v>
      </c>
      <c r="I176" s="165" t="s">
        <v>209</v>
      </c>
      <c r="J176" s="165" t="s">
        <v>206</v>
      </c>
      <c r="K176" s="165" t="s">
        <v>210</v>
      </c>
      <c r="L176" s="165" t="s">
        <v>220</v>
      </c>
    </row>
    <row r="177" spans="1:12" x14ac:dyDescent="0.25">
      <c r="A177" s="165" t="s">
        <v>305</v>
      </c>
      <c r="B177" s="165" t="s">
        <v>810</v>
      </c>
      <c r="C177" s="165" t="s">
        <v>206</v>
      </c>
      <c r="D177" s="165" t="s">
        <v>210</v>
      </c>
      <c r="E177" s="165" t="s">
        <v>220</v>
      </c>
      <c r="F177" s="165"/>
      <c r="G177" s="165"/>
      <c r="H177" s="165" t="s">
        <v>305</v>
      </c>
      <c r="I177" s="165" t="s">
        <v>209</v>
      </c>
      <c r="J177" s="165" t="s">
        <v>206</v>
      </c>
      <c r="K177" s="165" t="s">
        <v>210</v>
      </c>
      <c r="L177" s="165" t="s">
        <v>220</v>
      </c>
    </row>
    <row r="178" spans="1:12" x14ac:dyDescent="0.25">
      <c r="A178" s="165" t="s">
        <v>306</v>
      </c>
      <c r="B178" s="165" t="s">
        <v>810</v>
      </c>
      <c r="C178" s="165" t="s">
        <v>206</v>
      </c>
      <c r="D178" s="165" t="s">
        <v>210</v>
      </c>
      <c r="E178" s="165" t="s">
        <v>220</v>
      </c>
      <c r="F178" s="165"/>
      <c r="G178" s="165"/>
      <c r="H178" s="165" t="s">
        <v>306</v>
      </c>
      <c r="I178" s="165" t="s">
        <v>209</v>
      </c>
      <c r="J178" s="165" t="s">
        <v>206</v>
      </c>
      <c r="K178" s="165" t="s">
        <v>210</v>
      </c>
      <c r="L178" s="165" t="s">
        <v>220</v>
      </c>
    </row>
    <row r="179" spans="1:12" x14ac:dyDescent="0.25">
      <c r="A179" s="165" t="s">
        <v>307</v>
      </c>
      <c r="B179" s="165" t="s">
        <v>810</v>
      </c>
      <c r="C179" s="165" t="s">
        <v>206</v>
      </c>
      <c r="D179" s="165" t="s">
        <v>210</v>
      </c>
      <c r="E179" s="165" t="s">
        <v>220</v>
      </c>
      <c r="F179" s="165"/>
      <c r="G179" s="165"/>
      <c r="H179" s="165" t="s">
        <v>307</v>
      </c>
      <c r="I179" s="165" t="s">
        <v>209</v>
      </c>
      <c r="J179" s="165" t="s">
        <v>206</v>
      </c>
      <c r="K179" s="165" t="s">
        <v>210</v>
      </c>
      <c r="L179" s="165" t="s">
        <v>220</v>
      </c>
    </row>
    <row r="180" spans="1:12" x14ac:dyDescent="0.25">
      <c r="A180" s="165" t="s">
        <v>308</v>
      </c>
      <c r="B180" s="165" t="s">
        <v>810</v>
      </c>
      <c r="C180" s="165" t="s">
        <v>206</v>
      </c>
      <c r="D180" s="165" t="s">
        <v>210</v>
      </c>
      <c r="E180" s="165" t="s">
        <v>220</v>
      </c>
      <c r="F180" s="165"/>
      <c r="G180" s="165"/>
      <c r="H180" s="165" t="s">
        <v>308</v>
      </c>
      <c r="I180" s="165" t="s">
        <v>209</v>
      </c>
      <c r="J180" s="165" t="s">
        <v>206</v>
      </c>
      <c r="K180" s="165" t="s">
        <v>210</v>
      </c>
      <c r="L180" s="165" t="s">
        <v>220</v>
      </c>
    </row>
    <row r="181" spans="1:12" x14ac:dyDescent="0.25">
      <c r="A181" s="165" t="s">
        <v>309</v>
      </c>
      <c r="B181" s="165" t="s">
        <v>810</v>
      </c>
      <c r="C181" s="165" t="s">
        <v>206</v>
      </c>
      <c r="D181" s="165" t="s">
        <v>210</v>
      </c>
      <c r="E181" s="165" t="s">
        <v>220</v>
      </c>
      <c r="F181" s="165"/>
      <c r="G181" s="165"/>
      <c r="H181" s="165" t="s">
        <v>309</v>
      </c>
      <c r="I181" s="165" t="s">
        <v>209</v>
      </c>
      <c r="J181" s="165" t="s">
        <v>206</v>
      </c>
      <c r="K181" s="165" t="s">
        <v>210</v>
      </c>
      <c r="L181" s="165" t="s">
        <v>220</v>
      </c>
    </row>
    <row r="182" spans="1:12" x14ac:dyDescent="0.25">
      <c r="A182" s="165" t="s">
        <v>310</v>
      </c>
      <c r="B182" s="165" t="s">
        <v>810</v>
      </c>
      <c r="C182" s="165" t="s">
        <v>206</v>
      </c>
      <c r="D182" s="165" t="s">
        <v>210</v>
      </c>
      <c r="E182" s="165" t="s">
        <v>220</v>
      </c>
      <c r="F182" s="165"/>
      <c r="G182" s="165"/>
      <c r="H182" s="165" t="s">
        <v>310</v>
      </c>
      <c r="I182" s="165" t="s">
        <v>209</v>
      </c>
      <c r="J182" s="165" t="s">
        <v>206</v>
      </c>
      <c r="K182" s="165" t="s">
        <v>210</v>
      </c>
      <c r="L182" s="165" t="s">
        <v>220</v>
      </c>
    </row>
    <row r="183" spans="1:12" x14ac:dyDescent="0.25">
      <c r="A183" s="165" t="s">
        <v>311</v>
      </c>
      <c r="B183" s="165" t="s">
        <v>810</v>
      </c>
      <c r="C183" s="165" t="s">
        <v>206</v>
      </c>
      <c r="D183" s="165" t="s">
        <v>210</v>
      </c>
      <c r="E183" s="165" t="s">
        <v>220</v>
      </c>
      <c r="F183" s="165"/>
      <c r="G183" s="165"/>
      <c r="H183" s="165" t="s">
        <v>311</v>
      </c>
      <c r="I183" s="165" t="s">
        <v>209</v>
      </c>
      <c r="J183" s="165" t="s">
        <v>206</v>
      </c>
      <c r="K183" s="165" t="s">
        <v>210</v>
      </c>
      <c r="L183" s="165" t="s">
        <v>220</v>
      </c>
    </row>
    <row r="184" spans="1:12" x14ac:dyDescent="0.25">
      <c r="A184" s="165" t="s">
        <v>312</v>
      </c>
      <c r="B184" s="165" t="s">
        <v>810</v>
      </c>
      <c r="C184" s="165" t="s">
        <v>206</v>
      </c>
      <c r="D184" s="165" t="s">
        <v>210</v>
      </c>
      <c r="E184" s="165" t="s">
        <v>220</v>
      </c>
      <c r="F184" s="165"/>
      <c r="G184" s="165"/>
      <c r="H184" s="165" t="s">
        <v>312</v>
      </c>
      <c r="I184" s="165" t="s">
        <v>209</v>
      </c>
      <c r="J184" s="165" t="s">
        <v>206</v>
      </c>
      <c r="K184" s="165" t="s">
        <v>210</v>
      </c>
      <c r="L184" s="165" t="s">
        <v>220</v>
      </c>
    </row>
    <row r="185" spans="1:12" x14ac:dyDescent="0.25">
      <c r="A185" s="165" t="s">
        <v>313</v>
      </c>
      <c r="B185" s="165" t="s">
        <v>810</v>
      </c>
      <c r="C185" s="165" t="s">
        <v>206</v>
      </c>
      <c r="D185" s="165" t="s">
        <v>210</v>
      </c>
      <c r="E185" s="165" t="s">
        <v>220</v>
      </c>
      <c r="F185" s="165"/>
      <c r="G185" s="165"/>
      <c r="H185" s="165" t="s">
        <v>313</v>
      </c>
      <c r="I185" s="165" t="s">
        <v>209</v>
      </c>
      <c r="J185" s="165" t="s">
        <v>206</v>
      </c>
      <c r="K185" s="165" t="s">
        <v>210</v>
      </c>
      <c r="L185" s="165" t="s">
        <v>220</v>
      </c>
    </row>
    <row r="186" spans="1:12" x14ac:dyDescent="0.25">
      <c r="A186" s="165" t="s">
        <v>314</v>
      </c>
      <c r="B186" s="165" t="s">
        <v>810</v>
      </c>
      <c r="C186" s="165" t="s">
        <v>206</v>
      </c>
      <c r="D186" s="165" t="s">
        <v>210</v>
      </c>
      <c r="E186" s="165" t="s">
        <v>220</v>
      </c>
      <c r="F186" s="165"/>
      <c r="G186" s="165"/>
      <c r="H186" s="165" t="s">
        <v>314</v>
      </c>
      <c r="I186" s="165" t="s">
        <v>209</v>
      </c>
      <c r="J186" s="165" t="s">
        <v>206</v>
      </c>
      <c r="K186" s="165" t="s">
        <v>210</v>
      </c>
      <c r="L186" s="165" t="s">
        <v>220</v>
      </c>
    </row>
    <row r="187" spans="1:12" x14ac:dyDescent="0.25">
      <c r="A187" s="165" t="s">
        <v>315</v>
      </c>
      <c r="B187" s="165" t="s">
        <v>810</v>
      </c>
      <c r="C187" s="165" t="s">
        <v>206</v>
      </c>
      <c r="D187" s="165" t="s">
        <v>210</v>
      </c>
      <c r="E187" s="165" t="s">
        <v>220</v>
      </c>
      <c r="F187" s="165"/>
      <c r="G187" s="165"/>
      <c r="H187" s="165" t="s">
        <v>315</v>
      </c>
      <c r="I187" s="165" t="s">
        <v>209</v>
      </c>
      <c r="J187" s="165" t="s">
        <v>206</v>
      </c>
      <c r="K187" s="165" t="s">
        <v>210</v>
      </c>
      <c r="L187" s="165" t="s">
        <v>220</v>
      </c>
    </row>
    <row r="188" spans="1:12" x14ac:dyDescent="0.25">
      <c r="A188" s="165" t="s">
        <v>316</v>
      </c>
      <c r="B188" s="165" t="s">
        <v>810</v>
      </c>
      <c r="C188" s="165" t="s">
        <v>206</v>
      </c>
      <c r="D188" s="165" t="s">
        <v>210</v>
      </c>
      <c r="E188" s="165" t="s">
        <v>220</v>
      </c>
      <c r="F188" s="165"/>
      <c r="G188" s="165"/>
      <c r="H188" s="165" t="s">
        <v>316</v>
      </c>
      <c r="I188" s="165" t="s">
        <v>209</v>
      </c>
      <c r="J188" s="165" t="s">
        <v>206</v>
      </c>
      <c r="K188" s="165" t="s">
        <v>210</v>
      </c>
      <c r="L188" s="165" t="s">
        <v>220</v>
      </c>
    </row>
    <row r="189" spans="1:12" x14ac:dyDescent="0.25">
      <c r="A189" s="165" t="s">
        <v>317</v>
      </c>
      <c r="B189" s="165" t="s">
        <v>810</v>
      </c>
      <c r="C189" s="165" t="s">
        <v>206</v>
      </c>
      <c r="D189" s="165" t="s">
        <v>210</v>
      </c>
      <c r="E189" s="165" t="s">
        <v>220</v>
      </c>
      <c r="F189" s="165"/>
      <c r="G189" s="165"/>
      <c r="H189" s="165" t="s">
        <v>317</v>
      </c>
      <c r="I189" s="165" t="s">
        <v>209</v>
      </c>
      <c r="J189" s="165" t="s">
        <v>206</v>
      </c>
      <c r="K189" s="165" t="s">
        <v>210</v>
      </c>
      <c r="L189" s="165" t="s">
        <v>220</v>
      </c>
    </row>
    <row r="190" spans="1:12" x14ac:dyDescent="0.25">
      <c r="A190" s="165" t="s">
        <v>318</v>
      </c>
      <c r="B190" s="165" t="s">
        <v>810</v>
      </c>
      <c r="C190" s="165" t="s">
        <v>206</v>
      </c>
      <c r="D190" s="165" t="s">
        <v>210</v>
      </c>
      <c r="E190" s="165" t="s">
        <v>220</v>
      </c>
      <c r="F190" s="165"/>
      <c r="G190" s="165"/>
      <c r="H190" s="165" t="s">
        <v>318</v>
      </c>
      <c r="I190" s="165" t="s">
        <v>209</v>
      </c>
      <c r="J190" s="165" t="s">
        <v>206</v>
      </c>
      <c r="K190" s="165" t="s">
        <v>210</v>
      </c>
      <c r="L190" s="165" t="s">
        <v>220</v>
      </c>
    </row>
    <row r="191" spans="1:12" x14ac:dyDescent="0.25">
      <c r="A191" s="165" t="s">
        <v>319</v>
      </c>
      <c r="B191" s="165" t="s">
        <v>810</v>
      </c>
      <c r="C191" s="165" t="s">
        <v>206</v>
      </c>
      <c r="D191" s="165" t="s">
        <v>210</v>
      </c>
      <c r="E191" s="165" t="s">
        <v>220</v>
      </c>
      <c r="F191" s="165"/>
      <c r="G191" s="165"/>
      <c r="H191" s="165" t="s">
        <v>319</v>
      </c>
      <c r="I191" s="165" t="s">
        <v>209</v>
      </c>
      <c r="J191" s="165" t="s">
        <v>206</v>
      </c>
      <c r="K191" s="165" t="s">
        <v>210</v>
      </c>
      <c r="L191" s="165" t="s">
        <v>220</v>
      </c>
    </row>
    <row r="192" spans="1:12" x14ac:dyDescent="0.25">
      <c r="A192" s="165" t="s">
        <v>321</v>
      </c>
      <c r="B192" s="165" t="s">
        <v>810</v>
      </c>
      <c r="C192" s="165" t="s">
        <v>206</v>
      </c>
      <c r="D192" s="165" t="s">
        <v>210</v>
      </c>
      <c r="E192" s="165" t="s">
        <v>220</v>
      </c>
      <c r="F192" s="165"/>
      <c r="G192" s="165"/>
      <c r="H192" s="165" t="s">
        <v>321</v>
      </c>
      <c r="I192" s="165" t="s">
        <v>209</v>
      </c>
      <c r="J192" s="165" t="s">
        <v>206</v>
      </c>
      <c r="K192" s="165" t="s">
        <v>210</v>
      </c>
      <c r="L192" s="165" t="s">
        <v>220</v>
      </c>
    </row>
    <row r="193" spans="1:12" x14ac:dyDescent="0.25">
      <c r="A193" s="165" t="s">
        <v>322</v>
      </c>
      <c r="B193" s="165" t="s">
        <v>810</v>
      </c>
      <c r="C193" s="165" t="s">
        <v>206</v>
      </c>
      <c r="D193" s="165" t="s">
        <v>210</v>
      </c>
      <c r="E193" s="165" t="s">
        <v>220</v>
      </c>
      <c r="F193" s="165"/>
      <c r="G193" s="165"/>
      <c r="H193" s="165" t="s">
        <v>322</v>
      </c>
      <c r="I193" s="165" t="s">
        <v>209</v>
      </c>
      <c r="J193" s="165" t="s">
        <v>206</v>
      </c>
      <c r="K193" s="165" t="s">
        <v>210</v>
      </c>
      <c r="L193" s="165" t="s">
        <v>220</v>
      </c>
    </row>
  </sheetData>
  <sortState xmlns:xlrd2="http://schemas.microsoft.com/office/spreadsheetml/2017/richdata2" ref="H2:L193">
    <sortCondition ref="I2:I193"/>
    <sortCondition ref="H2:H193"/>
  </sortState>
  <mergeCells count="1">
    <mergeCell ref="W24:X24"/>
  </mergeCell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8897-B346-4F62-80DF-57B9E9A05867}">
  <sheetPr codeName="Sheet16">
    <pageSetUpPr fitToPage="1"/>
  </sheetPr>
  <dimension ref="A1:T167"/>
  <sheetViews>
    <sheetView topLeftCell="A16" zoomScale="85" zoomScaleNormal="85" workbookViewId="0">
      <selection activeCell="I36" sqref="I36"/>
    </sheetView>
  </sheetViews>
  <sheetFormatPr defaultRowHeight="15" x14ac:dyDescent="0.25"/>
  <cols>
    <col min="1" max="1" width="18" customWidth="1"/>
    <col min="4" max="4" width="9.5703125" bestFit="1" customWidth="1"/>
    <col min="8" max="8" width="24" bestFit="1" customWidth="1"/>
    <col min="17" max="17" width="14.85546875" customWidth="1"/>
    <col min="18" max="18" width="38" customWidth="1"/>
    <col min="19" max="19" width="10.7109375" customWidth="1"/>
    <col min="20" max="20" width="13.5703125" customWidth="1"/>
  </cols>
  <sheetData>
    <row r="1" spans="1:8" ht="15.75" thickBot="1" x14ac:dyDescent="0.3">
      <c r="A1" s="165" t="s">
        <v>821</v>
      </c>
      <c r="B1" s="165"/>
      <c r="C1" s="165"/>
      <c r="D1" s="165"/>
      <c r="E1" s="165"/>
      <c r="F1" s="165"/>
      <c r="G1" s="165"/>
      <c r="H1" s="165"/>
    </row>
    <row r="2" spans="1:8" x14ac:dyDescent="0.25">
      <c r="A2" s="123" t="s">
        <v>822</v>
      </c>
      <c r="B2" s="77"/>
      <c r="C2" s="77"/>
      <c r="D2" s="78" t="s">
        <v>125</v>
      </c>
      <c r="E2" s="79"/>
      <c r="F2" s="79"/>
      <c r="G2" s="80">
        <v>800</v>
      </c>
      <c r="H2" s="81"/>
    </row>
    <row r="3" spans="1:8" ht="15.75" thickBot="1" x14ac:dyDescent="0.3">
      <c r="A3" s="124" t="s">
        <v>126</v>
      </c>
      <c r="B3" s="165"/>
      <c r="C3" s="165"/>
      <c r="D3" s="306" t="s">
        <v>127</v>
      </c>
      <c r="E3" s="307"/>
      <c r="F3" s="307"/>
      <c r="G3" s="82">
        <v>5</v>
      </c>
      <c r="H3" s="83" t="s">
        <v>128</v>
      </c>
    </row>
    <row r="4" spans="1:8" x14ac:dyDescent="0.25">
      <c r="A4" s="125" t="s">
        <v>136</v>
      </c>
      <c r="B4" s="77">
        <v>25</v>
      </c>
      <c r="C4" s="77" t="s">
        <v>137</v>
      </c>
      <c r="D4" s="165"/>
      <c r="E4" s="308"/>
      <c r="F4" s="300"/>
      <c r="G4" s="300"/>
      <c r="H4" s="88"/>
    </row>
    <row r="5" spans="1:8" x14ac:dyDescent="0.25">
      <c r="A5" s="125" t="s">
        <v>138</v>
      </c>
      <c r="B5" s="77">
        <v>1000</v>
      </c>
      <c r="C5" s="77" t="s">
        <v>137</v>
      </c>
      <c r="D5" s="85"/>
      <c r="E5" s="165"/>
      <c r="F5" s="86"/>
      <c r="G5" s="87"/>
      <c r="H5" s="86"/>
    </row>
    <row r="6" spans="1:8" x14ac:dyDescent="0.25">
      <c r="A6" s="125" t="s">
        <v>139</v>
      </c>
      <c r="B6" s="77">
        <v>50</v>
      </c>
      <c r="C6" s="77" t="s">
        <v>140</v>
      </c>
      <c r="D6" s="165"/>
      <c r="E6" s="165"/>
      <c r="F6" s="86"/>
      <c r="G6" s="87"/>
      <c r="H6" s="86"/>
    </row>
    <row r="7" spans="1:8" x14ac:dyDescent="0.25">
      <c r="A7" s="125" t="s">
        <v>142</v>
      </c>
      <c r="B7" s="77">
        <v>50</v>
      </c>
      <c r="C7" s="77" t="s">
        <v>143</v>
      </c>
      <c r="D7" s="165"/>
      <c r="E7" s="165"/>
      <c r="F7" s="86"/>
      <c r="G7" s="87"/>
      <c r="H7" s="86"/>
    </row>
    <row r="8" spans="1:8" x14ac:dyDescent="0.25">
      <c r="A8" s="125" t="s">
        <v>144</v>
      </c>
      <c r="B8" s="77">
        <v>50</v>
      </c>
      <c r="C8" s="77" t="s">
        <v>145</v>
      </c>
      <c r="D8" s="85"/>
      <c r="E8" s="165"/>
      <c r="F8" s="86"/>
      <c r="G8" s="87"/>
      <c r="H8" s="86"/>
    </row>
    <row r="9" spans="1:8" x14ac:dyDescent="0.25">
      <c r="A9" s="125" t="s">
        <v>146</v>
      </c>
      <c r="B9" s="77">
        <v>10</v>
      </c>
      <c r="C9" s="77" t="s">
        <v>147</v>
      </c>
      <c r="D9" s="85"/>
      <c r="E9" s="165"/>
      <c r="F9" s="86"/>
      <c r="G9" s="87"/>
      <c r="H9" s="86"/>
    </row>
    <row r="10" spans="1:8" ht="30" x14ac:dyDescent="0.25">
      <c r="A10" s="126" t="s">
        <v>148</v>
      </c>
      <c r="B10" s="77">
        <v>45</v>
      </c>
      <c r="C10" s="77" t="s">
        <v>143</v>
      </c>
      <c r="D10" s="165"/>
      <c r="E10" s="165"/>
      <c r="F10" s="86"/>
      <c r="G10" s="87"/>
      <c r="H10" s="86"/>
    </row>
    <row r="11" spans="1:8" x14ac:dyDescent="0.25">
      <c r="A11" s="125" t="s">
        <v>149</v>
      </c>
      <c r="B11" s="77">
        <v>25</v>
      </c>
      <c r="C11" s="77" t="s">
        <v>143</v>
      </c>
      <c r="D11" s="165"/>
      <c r="E11" s="165"/>
      <c r="F11" s="165"/>
      <c r="G11" s="84"/>
      <c r="H11" s="165"/>
    </row>
    <row r="12" spans="1:8" ht="15.75" thickBot="1" x14ac:dyDescent="0.3">
      <c r="A12" s="105"/>
      <c r="B12" s="165"/>
      <c r="C12" s="165"/>
      <c r="D12" s="165"/>
      <c r="E12" s="165"/>
      <c r="F12" s="165"/>
      <c r="G12" s="84"/>
      <c r="H12" s="165"/>
    </row>
    <row r="13" spans="1:8" x14ac:dyDescent="0.25">
      <c r="A13" s="127" t="s">
        <v>50</v>
      </c>
      <c r="B13" s="128" t="s">
        <v>74</v>
      </c>
      <c r="C13" s="128"/>
      <c r="D13" s="128" t="s">
        <v>150</v>
      </c>
      <c r="E13" s="129"/>
      <c r="F13" s="318" t="s">
        <v>151</v>
      </c>
      <c r="G13" s="319"/>
      <c r="H13" s="165"/>
    </row>
    <row r="14" spans="1:8" x14ac:dyDescent="0.25">
      <c r="A14" s="130" t="s">
        <v>136</v>
      </c>
      <c r="B14" s="131">
        <v>0.25</v>
      </c>
      <c r="C14" s="131" t="s">
        <v>137</v>
      </c>
      <c r="D14" s="132">
        <f>32*B14/B4</f>
        <v>0.32</v>
      </c>
      <c r="E14" s="133" t="s">
        <v>56</v>
      </c>
      <c r="F14" s="132">
        <f>D14*($G$2+1+$G$3)</f>
        <v>257.92</v>
      </c>
      <c r="G14" s="134" t="str">
        <f t="shared" ref="G14:G22" si="0">E14</f>
        <v>uL</v>
      </c>
      <c r="H14" s="165"/>
    </row>
    <row r="15" spans="1:8" x14ac:dyDescent="0.25">
      <c r="A15" s="130" t="s">
        <v>139</v>
      </c>
      <c r="B15" s="131">
        <v>2.5</v>
      </c>
      <c r="C15" s="131" t="s">
        <v>52</v>
      </c>
      <c r="D15" s="132">
        <f>B15/B6</f>
        <v>0.05</v>
      </c>
      <c r="E15" s="133" t="s">
        <v>56</v>
      </c>
      <c r="F15" s="132">
        <f t="shared" ref="F15:F22" si="1">D15*($G$2+1+$G$3)</f>
        <v>40.300000000000004</v>
      </c>
      <c r="G15" s="134" t="str">
        <f t="shared" si="0"/>
        <v>uL</v>
      </c>
      <c r="H15" s="165"/>
    </row>
    <row r="16" spans="1:8" x14ac:dyDescent="0.25">
      <c r="A16" s="130" t="s">
        <v>138</v>
      </c>
      <c r="B16" s="131">
        <v>3.5</v>
      </c>
      <c r="C16" s="131" t="s">
        <v>137</v>
      </c>
      <c r="D16" s="132">
        <f>(20*(B16/B5))</f>
        <v>7.0000000000000007E-2</v>
      </c>
      <c r="E16" s="133" t="s">
        <v>56</v>
      </c>
      <c r="F16" s="132">
        <f t="shared" si="1"/>
        <v>56.420000000000009</v>
      </c>
      <c r="G16" s="134" t="str">
        <f t="shared" si="0"/>
        <v>uL</v>
      </c>
      <c r="H16" s="165"/>
    </row>
    <row r="17" spans="1:16" x14ac:dyDescent="0.25">
      <c r="A17" s="130" t="s">
        <v>142</v>
      </c>
      <c r="B17" s="131">
        <v>10</v>
      </c>
      <c r="C17" s="131" t="s">
        <v>143</v>
      </c>
      <c r="D17" s="132">
        <f>20*B17/B7</f>
        <v>4</v>
      </c>
      <c r="E17" s="133" t="s">
        <v>56</v>
      </c>
      <c r="F17" s="132">
        <f t="shared" si="1"/>
        <v>3224</v>
      </c>
      <c r="G17" s="134" t="str">
        <f t="shared" si="0"/>
        <v>uL</v>
      </c>
      <c r="H17" s="165"/>
      <c r="I17" s="165"/>
      <c r="J17" s="165"/>
      <c r="K17" s="165"/>
      <c r="L17" s="165"/>
      <c r="M17" s="165"/>
      <c r="N17" s="165"/>
      <c r="O17" s="165"/>
      <c r="P17" s="165"/>
    </row>
    <row r="18" spans="1:16" x14ac:dyDescent="0.25">
      <c r="A18" s="130" t="s">
        <v>144</v>
      </c>
      <c r="B18" s="131">
        <v>0.5</v>
      </c>
      <c r="C18" s="131" t="s">
        <v>145</v>
      </c>
      <c r="D18" s="132">
        <f>20*B18/B8</f>
        <v>0.2</v>
      </c>
      <c r="E18" s="133" t="s">
        <v>56</v>
      </c>
      <c r="F18" s="132">
        <f t="shared" si="1"/>
        <v>161.20000000000002</v>
      </c>
      <c r="G18" s="134" t="str">
        <f t="shared" si="0"/>
        <v>uL</v>
      </c>
      <c r="H18" s="165"/>
      <c r="I18" s="165"/>
      <c r="J18" s="165"/>
      <c r="K18" s="165"/>
      <c r="L18" s="165"/>
      <c r="M18" s="165"/>
      <c r="N18" s="165"/>
      <c r="O18" s="165"/>
      <c r="P18" s="165"/>
    </row>
    <row r="19" spans="1:16" x14ac:dyDescent="0.25">
      <c r="A19" s="130" t="s">
        <v>159</v>
      </c>
      <c r="B19" s="131">
        <v>1</v>
      </c>
      <c r="C19" s="131" t="s">
        <v>147</v>
      </c>
      <c r="D19" s="132">
        <f>20*B19/B9</f>
        <v>2</v>
      </c>
      <c r="E19" s="133" t="s">
        <v>56</v>
      </c>
      <c r="F19" s="132">
        <f t="shared" si="1"/>
        <v>1612</v>
      </c>
      <c r="G19" s="134" t="str">
        <f t="shared" si="0"/>
        <v>uL</v>
      </c>
      <c r="H19" s="165"/>
      <c r="I19" s="165"/>
      <c r="J19" s="165"/>
      <c r="K19" s="165"/>
      <c r="L19" s="165"/>
      <c r="M19" s="165"/>
      <c r="N19" s="165"/>
      <c r="O19" s="165"/>
      <c r="P19" s="165"/>
    </row>
    <row r="20" spans="1:16" x14ac:dyDescent="0.25">
      <c r="A20" s="130" t="s">
        <v>148</v>
      </c>
      <c r="B20" s="131">
        <v>5</v>
      </c>
      <c r="C20" s="131" t="s">
        <v>143</v>
      </c>
      <c r="D20" s="132">
        <f>20*B20/B10</f>
        <v>2.2222222222222223</v>
      </c>
      <c r="E20" s="133" t="s">
        <v>56</v>
      </c>
      <c r="F20" s="132">
        <f t="shared" si="1"/>
        <v>1791.1111111111111</v>
      </c>
      <c r="G20" s="134" t="str">
        <f t="shared" si="0"/>
        <v>uL</v>
      </c>
      <c r="H20" s="165"/>
      <c r="I20" s="165"/>
      <c r="J20" s="165"/>
      <c r="K20" s="165"/>
      <c r="L20" s="165"/>
      <c r="M20" s="165"/>
      <c r="N20" s="165"/>
      <c r="O20" s="165"/>
      <c r="P20" s="165"/>
    </row>
    <row r="21" spans="1:16" x14ac:dyDescent="0.25">
      <c r="A21" s="130" t="s">
        <v>823</v>
      </c>
      <c r="B21" s="131">
        <v>3</v>
      </c>
      <c r="C21" s="131" t="s">
        <v>143</v>
      </c>
      <c r="D21" s="132">
        <f>B21*20/B11</f>
        <v>2.4</v>
      </c>
      <c r="E21" s="133" t="s">
        <v>520</v>
      </c>
      <c r="F21" s="132">
        <f t="shared" si="1"/>
        <v>1934.3999999999999</v>
      </c>
      <c r="G21" s="134" t="str">
        <f t="shared" si="0"/>
        <v>ul</v>
      </c>
      <c r="H21" s="165"/>
      <c r="I21" s="165"/>
      <c r="J21" s="165"/>
      <c r="K21" s="165"/>
      <c r="L21" s="165"/>
      <c r="M21" s="165"/>
      <c r="N21" s="165"/>
      <c r="O21" s="165"/>
      <c r="P21" s="165"/>
    </row>
    <row r="22" spans="1:16" ht="15.75" thickBot="1" x14ac:dyDescent="0.3">
      <c r="A22" s="121" t="s">
        <v>161</v>
      </c>
      <c r="B22" s="122"/>
      <c r="C22" s="122"/>
      <c r="D22" s="135">
        <v>0</v>
      </c>
      <c r="E22" s="136" t="s">
        <v>56</v>
      </c>
      <c r="F22" s="132">
        <f t="shared" si="1"/>
        <v>0</v>
      </c>
      <c r="G22" s="137" t="str">
        <f t="shared" si="0"/>
        <v>uL</v>
      </c>
      <c r="H22" s="165"/>
      <c r="I22" s="165"/>
      <c r="J22" s="165"/>
      <c r="K22" s="165"/>
      <c r="L22" s="165"/>
      <c r="M22" s="165"/>
      <c r="N22" s="165"/>
      <c r="O22" s="165"/>
      <c r="P22" s="165"/>
    </row>
    <row r="23" spans="1:16" x14ac:dyDescent="0.25">
      <c r="A23" s="165"/>
      <c r="B23" s="165"/>
      <c r="C23" s="85" t="s">
        <v>162</v>
      </c>
      <c r="D23" s="85">
        <f>SUM(D14:D22)</f>
        <v>11.262222222222222</v>
      </c>
      <c r="E23" s="85" t="s">
        <v>56</v>
      </c>
      <c r="F23" s="85">
        <f>SUM(F14:F22)</f>
        <v>9077.3511111111111</v>
      </c>
      <c r="G23" s="85" t="s">
        <v>56</v>
      </c>
      <c r="H23" s="165"/>
      <c r="I23" s="165"/>
      <c r="J23" s="165"/>
      <c r="K23" s="165"/>
      <c r="L23" s="165"/>
      <c r="M23" s="165"/>
      <c r="N23" s="165"/>
      <c r="O23" s="165"/>
      <c r="P23" s="165"/>
    </row>
    <row r="26" spans="1:16" ht="15.75" thickBot="1" x14ac:dyDescent="0.3">
      <c r="A26" s="165" t="s">
        <v>189</v>
      </c>
      <c r="B26" s="165"/>
      <c r="C26" s="165"/>
      <c r="D26" s="165"/>
      <c r="E26" s="165"/>
      <c r="F26" s="165"/>
      <c r="G26" s="165"/>
      <c r="H26" s="165"/>
      <c r="I26" s="165"/>
      <c r="J26" s="165"/>
      <c r="K26" s="165"/>
      <c r="L26" s="165"/>
      <c r="M26" s="165"/>
      <c r="N26" s="165"/>
      <c r="O26" s="165"/>
      <c r="P26" s="165"/>
    </row>
    <row r="27" spans="1:16" x14ac:dyDescent="0.25">
      <c r="A27" s="91" t="s">
        <v>50</v>
      </c>
      <c r="B27" s="92" t="s">
        <v>74</v>
      </c>
      <c r="C27" s="92" t="s">
        <v>52</v>
      </c>
      <c r="D27" s="92" t="s">
        <v>75</v>
      </c>
      <c r="E27" s="93">
        <f>96*1.2</f>
        <v>115.19999999999999</v>
      </c>
      <c r="F27" s="165"/>
      <c r="G27" s="165"/>
      <c r="H27" s="165"/>
      <c r="I27" s="165"/>
      <c r="J27" s="165"/>
      <c r="K27" s="165"/>
      <c r="L27" s="91" t="s">
        <v>50</v>
      </c>
      <c r="M27" s="92" t="s">
        <v>74</v>
      </c>
      <c r="N27" s="92" t="s">
        <v>52</v>
      </c>
      <c r="O27" s="92" t="s">
        <v>75</v>
      </c>
      <c r="P27" s="93">
        <f>8*1.2</f>
        <v>9.6</v>
      </c>
    </row>
    <row r="28" spans="1:16" s="54" customFormat="1" x14ac:dyDescent="0.25">
      <c r="A28" s="58" t="s">
        <v>189</v>
      </c>
      <c r="B28" s="59"/>
      <c r="C28" s="59"/>
      <c r="D28" s="60">
        <f>D23</f>
        <v>11.262222222222222</v>
      </c>
      <c r="E28" s="59">
        <f>D28*$E$27</f>
        <v>1297.4079999999999</v>
      </c>
      <c r="F28" s="165"/>
      <c r="G28" s="165"/>
      <c r="H28" s="165"/>
      <c r="I28" s="165"/>
      <c r="J28" s="165"/>
      <c r="K28" s="165"/>
      <c r="L28" s="58" t="s">
        <v>189</v>
      </c>
      <c r="M28" s="59"/>
      <c r="N28" s="59"/>
      <c r="O28" s="60">
        <f>D23</f>
        <v>11.262222222222222</v>
      </c>
      <c r="P28" s="59">
        <f>O28*$P$27</f>
        <v>108.11733333333333</v>
      </c>
    </row>
    <row r="29" spans="1:16" x14ac:dyDescent="0.25">
      <c r="A29" s="104" t="s">
        <v>824</v>
      </c>
      <c r="B29" s="95"/>
      <c r="C29" s="95">
        <v>0.25</v>
      </c>
      <c r="D29" s="96">
        <f>C29*20/10</f>
        <v>0.5</v>
      </c>
      <c r="E29" s="59">
        <f t="shared" ref="E29:E33" si="2">D29*$E$27</f>
        <v>57.599999999999994</v>
      </c>
      <c r="F29" s="165"/>
      <c r="G29" s="165"/>
      <c r="H29" s="165"/>
      <c r="I29" s="165"/>
      <c r="J29" s="165"/>
      <c r="K29" s="165"/>
      <c r="L29" s="104" t="s">
        <v>824</v>
      </c>
      <c r="M29" s="95"/>
      <c r="N29" s="95">
        <v>0.3</v>
      </c>
      <c r="O29" s="96">
        <f>N29*20/10</f>
        <v>0.6</v>
      </c>
      <c r="P29" s="59">
        <f t="shared" ref="P29:P34" si="3">O29*$P$27</f>
        <v>5.76</v>
      </c>
    </row>
    <row r="30" spans="1:16" x14ac:dyDescent="0.25">
      <c r="A30" s="104" t="s">
        <v>825</v>
      </c>
      <c r="B30" s="95"/>
      <c r="C30" s="95">
        <v>0.25</v>
      </c>
      <c r="D30" s="96">
        <f>C30*20/10</f>
        <v>0.5</v>
      </c>
      <c r="E30" s="59">
        <f t="shared" si="2"/>
        <v>57.599999999999994</v>
      </c>
      <c r="F30" s="165"/>
      <c r="G30" s="165"/>
      <c r="H30" s="165"/>
      <c r="I30" s="165"/>
      <c r="J30" s="165"/>
      <c r="K30" s="165"/>
      <c r="L30" s="104" t="s">
        <v>825</v>
      </c>
      <c r="M30" s="95"/>
      <c r="N30" s="95">
        <v>0.3</v>
      </c>
      <c r="O30" s="96">
        <f>N30*20/10</f>
        <v>0.6</v>
      </c>
      <c r="P30" s="59">
        <f t="shared" si="3"/>
        <v>5.76</v>
      </c>
    </row>
    <row r="31" spans="1:16" x14ac:dyDescent="0.25">
      <c r="A31" s="111" t="s">
        <v>826</v>
      </c>
      <c r="B31" s="95"/>
      <c r="C31" s="95">
        <v>0.5</v>
      </c>
      <c r="D31" s="96">
        <f>C31*20/10</f>
        <v>1</v>
      </c>
      <c r="E31" s="59">
        <f t="shared" si="2"/>
        <v>115.19999999999999</v>
      </c>
      <c r="F31" s="165"/>
      <c r="G31" s="165"/>
      <c r="H31" s="165"/>
      <c r="I31" s="165"/>
      <c r="J31" s="165"/>
      <c r="K31" s="165"/>
      <c r="L31" s="111" t="s">
        <v>826</v>
      </c>
      <c r="M31" s="95"/>
      <c r="N31" s="95">
        <v>0.3</v>
      </c>
      <c r="O31" s="96">
        <f>N31*20/10</f>
        <v>0.6</v>
      </c>
      <c r="P31" s="59">
        <f t="shared" si="3"/>
        <v>5.76</v>
      </c>
    </row>
    <row r="32" spans="1:16" s="54" customFormat="1" x14ac:dyDescent="0.25">
      <c r="A32" s="110" t="s">
        <v>827</v>
      </c>
      <c r="B32" s="95"/>
      <c r="C32" s="95"/>
      <c r="D32" s="96"/>
      <c r="E32" s="59">
        <f t="shared" si="2"/>
        <v>0</v>
      </c>
      <c r="F32" s="165"/>
      <c r="G32" s="165"/>
      <c r="H32" s="165"/>
      <c r="I32" s="165"/>
      <c r="J32" s="165"/>
      <c r="K32" s="165"/>
      <c r="L32" s="110" t="s">
        <v>828</v>
      </c>
      <c r="M32" s="95"/>
      <c r="N32" s="95"/>
      <c r="O32" s="96">
        <v>2</v>
      </c>
      <c r="P32" s="59">
        <f t="shared" si="3"/>
        <v>19.2</v>
      </c>
    </row>
    <row r="33" spans="1:16" x14ac:dyDescent="0.25">
      <c r="A33" s="104" t="s">
        <v>79</v>
      </c>
      <c r="B33" s="95"/>
      <c r="C33" s="95"/>
      <c r="D33" s="96">
        <f>18-SUM(D28:D31)</f>
        <v>4.7377777777777776</v>
      </c>
      <c r="E33" s="59">
        <f t="shared" si="2"/>
        <v>545.79199999999992</v>
      </c>
      <c r="F33" s="165"/>
      <c r="G33" s="165"/>
      <c r="H33" s="165"/>
      <c r="I33" s="165"/>
      <c r="J33" s="165"/>
      <c r="K33" s="165"/>
      <c r="L33" s="104" t="s">
        <v>79</v>
      </c>
      <c r="M33" s="95"/>
      <c r="N33" s="95"/>
      <c r="O33" s="96">
        <f>20-SUM(O28:O32)</f>
        <v>4.9377777777777787</v>
      </c>
      <c r="P33" s="59">
        <f t="shared" si="3"/>
        <v>47.402666666666676</v>
      </c>
    </row>
    <row r="34" spans="1:16" ht="15.75" thickBot="1" x14ac:dyDescent="0.3">
      <c r="A34" s="97" t="s">
        <v>80</v>
      </c>
      <c r="B34" s="98"/>
      <c r="C34" s="98"/>
      <c r="D34" s="99">
        <f>SUM(D29:D33)</f>
        <v>6.7377777777777776</v>
      </c>
      <c r="E34" s="59">
        <f>D34*$E$27</f>
        <v>776.19199999999989</v>
      </c>
      <c r="F34" s="165"/>
      <c r="G34" s="165"/>
      <c r="H34" s="165"/>
      <c r="I34" s="165"/>
      <c r="J34" s="165"/>
      <c r="K34" s="165"/>
      <c r="L34" s="97" t="s">
        <v>80</v>
      </c>
      <c r="M34" s="98"/>
      <c r="N34" s="98"/>
      <c r="O34" s="99">
        <f>SUM(O28:O33)</f>
        <v>20</v>
      </c>
      <c r="P34" s="59">
        <f t="shared" si="3"/>
        <v>192</v>
      </c>
    </row>
    <row r="36" spans="1:16" x14ac:dyDescent="0.25">
      <c r="A36" s="165" t="s">
        <v>829</v>
      </c>
      <c r="B36" s="165"/>
      <c r="C36" s="165"/>
      <c r="D36" s="165"/>
      <c r="E36" s="165"/>
      <c r="F36" s="165"/>
      <c r="G36" s="165"/>
      <c r="H36" s="165"/>
      <c r="I36" s="165"/>
      <c r="J36" s="165"/>
      <c r="K36" s="165"/>
      <c r="L36" s="165"/>
      <c r="M36" s="165"/>
      <c r="N36" s="165"/>
      <c r="O36" s="165"/>
      <c r="P36" s="165"/>
    </row>
    <row r="37" spans="1:16" x14ac:dyDescent="0.25">
      <c r="A37" s="165" t="s">
        <v>830</v>
      </c>
      <c r="B37" s="165"/>
      <c r="C37" s="165"/>
      <c r="D37" s="165"/>
      <c r="E37" s="165"/>
      <c r="F37" s="165"/>
      <c r="G37" s="165"/>
      <c r="H37" s="165"/>
      <c r="I37" s="165"/>
      <c r="J37" s="165"/>
      <c r="K37" s="165"/>
      <c r="L37" s="165"/>
      <c r="M37" s="165"/>
      <c r="N37" s="165"/>
      <c r="O37" s="165"/>
      <c r="P37" s="165"/>
    </row>
    <row r="38" spans="1:16" x14ac:dyDescent="0.25">
      <c r="A38" s="165" t="s">
        <v>831</v>
      </c>
      <c r="B38" s="165"/>
      <c r="C38" s="165"/>
      <c r="D38" s="165"/>
      <c r="E38" s="165"/>
      <c r="F38" s="165"/>
      <c r="G38" s="165"/>
      <c r="H38" s="165"/>
      <c r="I38" s="165"/>
      <c r="J38" s="165"/>
      <c r="K38" s="165"/>
      <c r="L38" s="165"/>
      <c r="M38" s="165"/>
      <c r="N38" s="165"/>
      <c r="O38" s="165"/>
      <c r="P38" s="165"/>
    </row>
    <row r="39" spans="1:16" x14ac:dyDescent="0.25">
      <c r="A39" s="165"/>
      <c r="B39" s="165" t="s">
        <v>832</v>
      </c>
      <c r="C39" s="165"/>
      <c r="D39" s="165"/>
      <c r="E39" s="165"/>
      <c r="F39" s="165"/>
      <c r="G39" s="165"/>
      <c r="H39" s="165"/>
      <c r="I39" s="165"/>
      <c r="J39" s="165"/>
      <c r="K39" s="165"/>
      <c r="L39" s="165"/>
      <c r="M39" s="165"/>
      <c r="N39" s="165"/>
      <c r="O39" s="165"/>
      <c r="P39" s="165"/>
    </row>
    <row r="40" spans="1:16" x14ac:dyDescent="0.25">
      <c r="A40" s="165" t="s">
        <v>833</v>
      </c>
      <c r="B40" s="165"/>
      <c r="C40" s="165"/>
      <c r="D40" s="165"/>
      <c r="E40" s="165"/>
      <c r="F40" s="165"/>
      <c r="G40" s="165"/>
      <c r="H40" s="165"/>
      <c r="I40" s="165"/>
      <c r="J40" s="165"/>
      <c r="K40" s="165"/>
      <c r="L40" s="165"/>
      <c r="M40" s="165"/>
      <c r="N40" s="165"/>
      <c r="O40" s="165"/>
      <c r="P40" s="165"/>
    </row>
    <row r="41" spans="1:16" x14ac:dyDescent="0.25">
      <c r="A41" s="165" t="s">
        <v>834</v>
      </c>
      <c r="B41" s="165"/>
      <c r="C41" s="165"/>
      <c r="D41" s="165"/>
      <c r="E41" s="165"/>
      <c r="F41" s="165"/>
      <c r="G41" s="165"/>
      <c r="H41" s="165"/>
      <c r="I41" s="165"/>
      <c r="J41" s="165"/>
      <c r="K41" s="165"/>
      <c r="L41" s="165"/>
      <c r="M41" s="165"/>
      <c r="N41" s="165"/>
      <c r="O41" s="165"/>
      <c r="P41" s="165"/>
    </row>
    <row r="42" spans="1:16" s="54" customFormat="1" x14ac:dyDescent="0.25">
      <c r="A42" s="165" t="s">
        <v>835</v>
      </c>
      <c r="B42" s="165"/>
      <c r="C42" s="165"/>
      <c r="D42" s="165"/>
      <c r="E42" s="165"/>
      <c r="F42" s="165"/>
      <c r="G42" s="165"/>
      <c r="H42" s="165"/>
      <c r="I42" s="165"/>
      <c r="J42" s="165"/>
      <c r="K42" s="165"/>
      <c r="L42" s="165"/>
      <c r="M42" s="165"/>
      <c r="N42" s="165"/>
      <c r="O42" s="165"/>
      <c r="P42" s="165"/>
    </row>
    <row r="43" spans="1:16" s="54" customFormat="1" x14ac:dyDescent="0.25">
      <c r="A43" s="165" t="s">
        <v>836</v>
      </c>
      <c r="B43" s="165"/>
      <c r="C43" s="165"/>
      <c r="D43" s="165"/>
      <c r="E43" s="165"/>
      <c r="F43" s="165"/>
      <c r="G43" s="165"/>
      <c r="H43" s="165"/>
      <c r="I43" s="165"/>
      <c r="J43" s="165"/>
      <c r="K43" s="165"/>
      <c r="L43" s="165"/>
      <c r="M43" s="165"/>
      <c r="N43" s="165"/>
      <c r="O43" s="165"/>
      <c r="P43" s="165"/>
    </row>
    <row r="44" spans="1:16" s="54" customFormat="1" ht="15.75" thickBot="1" x14ac:dyDescent="0.3">
      <c r="A44" s="165"/>
      <c r="B44" s="165"/>
      <c r="C44" s="165"/>
      <c r="D44" s="165"/>
      <c r="E44" s="165"/>
      <c r="F44" s="165"/>
      <c r="G44" s="165"/>
      <c r="H44" s="165"/>
      <c r="I44" s="300" t="s">
        <v>837</v>
      </c>
      <c r="J44" s="300"/>
      <c r="K44" s="165"/>
      <c r="L44" s="165"/>
      <c r="M44" s="165"/>
      <c r="N44" s="165"/>
      <c r="O44" s="165"/>
      <c r="P44" s="165"/>
    </row>
    <row r="45" spans="1:16" x14ac:dyDescent="0.25">
      <c r="A45" s="165"/>
      <c r="B45" s="91" t="s">
        <v>50</v>
      </c>
      <c r="C45" s="92" t="s">
        <v>74</v>
      </c>
      <c r="D45" s="92" t="s">
        <v>52</v>
      </c>
      <c r="E45" s="92" t="s">
        <v>75</v>
      </c>
      <c r="F45" s="92" t="s">
        <v>838</v>
      </c>
      <c r="G45" s="165"/>
      <c r="H45" s="18" t="s">
        <v>839</v>
      </c>
      <c r="I45" s="175" t="s">
        <v>775</v>
      </c>
      <c r="J45" s="175" t="s">
        <v>840</v>
      </c>
      <c r="K45" s="165"/>
      <c r="L45" s="165"/>
      <c r="M45" s="165"/>
      <c r="N45" s="165"/>
      <c r="O45" s="165"/>
      <c r="P45" s="165"/>
    </row>
    <row r="46" spans="1:16" x14ac:dyDescent="0.25">
      <c r="A46" s="165"/>
      <c r="B46" s="58" t="s">
        <v>189</v>
      </c>
      <c r="C46" s="59"/>
      <c r="D46" s="59"/>
      <c r="E46" s="60">
        <v>18</v>
      </c>
      <c r="F46" s="60"/>
      <c r="G46" s="165"/>
      <c r="H46" s="61" t="s">
        <v>841</v>
      </c>
      <c r="I46" s="175">
        <v>50</v>
      </c>
      <c r="J46" s="175"/>
      <c r="K46" s="165"/>
      <c r="L46" s="165"/>
      <c r="M46" s="165"/>
      <c r="N46" s="165"/>
      <c r="O46" s="165"/>
      <c r="P46" s="165"/>
    </row>
    <row r="47" spans="1:16" x14ac:dyDescent="0.25">
      <c r="A47" s="165"/>
      <c r="B47" s="64" t="s">
        <v>842</v>
      </c>
      <c r="C47" s="65">
        <v>0.05</v>
      </c>
      <c r="D47" s="95"/>
      <c r="E47" s="67">
        <f>0.05*20/10</f>
        <v>0.1</v>
      </c>
      <c r="F47" s="67">
        <f>20*E47</f>
        <v>2</v>
      </c>
      <c r="G47" s="165"/>
      <c r="H47" s="165" t="s">
        <v>843</v>
      </c>
      <c r="I47" s="175">
        <v>250</v>
      </c>
      <c r="J47" s="175"/>
      <c r="K47" s="165"/>
      <c r="L47" s="165"/>
      <c r="M47" s="165"/>
      <c r="N47" s="165"/>
      <c r="O47" s="165"/>
      <c r="P47" s="165"/>
    </row>
    <row r="48" spans="1:16" x14ac:dyDescent="0.25">
      <c r="A48" s="165"/>
      <c r="B48" s="64" t="s">
        <v>842</v>
      </c>
      <c r="C48" s="66">
        <v>0.25</v>
      </c>
      <c r="D48" s="62"/>
      <c r="E48" s="63"/>
      <c r="F48" s="63"/>
      <c r="G48" s="165"/>
      <c r="H48" s="165" t="s">
        <v>844</v>
      </c>
      <c r="I48" s="175">
        <v>800</v>
      </c>
      <c r="J48" s="175"/>
      <c r="K48" s="165"/>
      <c r="L48" s="165"/>
      <c r="M48" s="165"/>
      <c r="N48" s="165"/>
      <c r="O48" s="165"/>
      <c r="P48" s="165"/>
    </row>
    <row r="49" spans="2:20" s="54" customFormat="1" x14ac:dyDescent="0.25">
      <c r="B49" s="64" t="s">
        <v>842</v>
      </c>
      <c r="C49" s="66">
        <v>0.8</v>
      </c>
      <c r="D49" s="62"/>
      <c r="E49" s="63"/>
      <c r="F49" s="63"/>
      <c r="G49" s="165"/>
      <c r="H49" s="165" t="s">
        <v>845</v>
      </c>
      <c r="I49" s="175"/>
      <c r="J49" s="175">
        <v>50</v>
      </c>
      <c r="K49" s="165"/>
      <c r="L49" s="165"/>
      <c r="M49" s="165"/>
      <c r="N49" s="165"/>
      <c r="O49" s="165"/>
      <c r="P49" s="165"/>
      <c r="Q49" s="165"/>
      <c r="R49" s="165"/>
      <c r="S49" s="165"/>
      <c r="T49" s="165"/>
    </row>
    <row r="50" spans="2:20" s="54" customFormat="1" x14ac:dyDescent="0.25">
      <c r="B50" s="104" t="s">
        <v>79</v>
      </c>
      <c r="C50" s="62"/>
      <c r="D50" s="62"/>
      <c r="E50" s="63">
        <f>20-SUM(E46:E49)</f>
        <v>1.8999999999999986</v>
      </c>
      <c r="F50" s="63">
        <f>20*E50</f>
        <v>37.999999999999972</v>
      </c>
      <c r="G50" s="165"/>
      <c r="H50" s="165" t="s">
        <v>846</v>
      </c>
      <c r="I50" s="175"/>
      <c r="J50" s="175">
        <v>250</v>
      </c>
      <c r="K50" s="165"/>
      <c r="L50" s="165"/>
      <c r="M50" s="165"/>
      <c r="N50" s="165"/>
      <c r="O50" s="165"/>
      <c r="P50" s="165"/>
      <c r="Q50" s="165"/>
      <c r="R50" s="165"/>
      <c r="S50" s="165"/>
      <c r="T50" s="165"/>
    </row>
    <row r="51" spans="2:20" ht="15.75" thickBot="1" x14ac:dyDescent="0.3">
      <c r="B51" s="97" t="s">
        <v>80</v>
      </c>
      <c r="C51" s="98"/>
      <c r="D51" s="98"/>
      <c r="E51" s="99">
        <f>SUM(E46:E50)</f>
        <v>20</v>
      </c>
      <c r="F51" s="99">
        <f>SUM(F46:F50)</f>
        <v>39.999999999999972</v>
      </c>
      <c r="G51" s="165"/>
      <c r="H51" s="165" t="s">
        <v>847</v>
      </c>
      <c r="I51" s="175"/>
      <c r="J51" s="175">
        <v>800</v>
      </c>
      <c r="K51" s="165"/>
      <c r="L51" s="165"/>
      <c r="M51" s="165"/>
      <c r="N51" s="165"/>
      <c r="O51" s="165"/>
      <c r="P51" s="165"/>
      <c r="Q51" s="165"/>
      <c r="R51" s="165"/>
      <c r="S51" s="165"/>
      <c r="T51" s="165"/>
    </row>
    <row r="52" spans="2:20" ht="15.75" thickBot="1" x14ac:dyDescent="0.3">
      <c r="B52" s="165"/>
      <c r="C52" s="165"/>
      <c r="D52" s="165"/>
      <c r="E52" s="165"/>
      <c r="F52" s="165"/>
      <c r="G52" s="165"/>
      <c r="H52" s="165"/>
      <c r="I52" s="165"/>
      <c r="J52" s="165"/>
      <c r="K52" s="165"/>
      <c r="L52" s="165"/>
      <c r="M52" s="165"/>
      <c r="N52" s="165"/>
      <c r="O52" s="165"/>
      <c r="P52" s="165"/>
      <c r="Q52" s="165"/>
      <c r="R52" s="165"/>
      <c r="S52" s="165"/>
      <c r="T52" s="165"/>
    </row>
    <row r="53" spans="2:20" x14ac:dyDescent="0.25">
      <c r="B53" s="91" t="s">
        <v>50</v>
      </c>
      <c r="C53" s="92" t="s">
        <v>74</v>
      </c>
      <c r="D53" s="92" t="s">
        <v>52</v>
      </c>
      <c r="E53" s="92" t="s">
        <v>75</v>
      </c>
      <c r="F53" s="92" t="s">
        <v>838</v>
      </c>
      <c r="G53" s="165"/>
      <c r="H53" s="165"/>
      <c r="I53" s="165"/>
      <c r="J53" s="165"/>
      <c r="K53" s="165"/>
      <c r="L53" s="165"/>
      <c r="M53" s="165"/>
      <c r="N53" s="165"/>
      <c r="O53" s="165"/>
      <c r="P53" s="165"/>
      <c r="Q53" s="165"/>
      <c r="R53" s="165"/>
      <c r="S53" s="165"/>
      <c r="T53" s="165"/>
    </row>
    <row r="54" spans="2:20" x14ac:dyDescent="0.25">
      <c r="B54" s="58" t="s">
        <v>189</v>
      </c>
      <c r="C54" s="59"/>
      <c r="D54" s="59"/>
      <c r="E54" s="60">
        <v>18</v>
      </c>
      <c r="F54" s="60"/>
      <c r="G54" s="165"/>
      <c r="H54" s="165"/>
      <c r="I54" s="165"/>
      <c r="J54" s="165"/>
      <c r="K54" s="165"/>
      <c r="L54" s="165"/>
      <c r="M54" s="165"/>
      <c r="N54" s="165"/>
      <c r="O54" s="165"/>
      <c r="P54" s="165"/>
      <c r="Q54" s="165"/>
      <c r="R54" s="165"/>
      <c r="S54" s="165"/>
      <c r="T54" s="165"/>
    </row>
    <row r="55" spans="2:20" x14ac:dyDescent="0.25">
      <c r="B55" s="64" t="s">
        <v>842</v>
      </c>
      <c r="C55" s="65">
        <v>0.05</v>
      </c>
      <c r="D55" s="95"/>
      <c r="E55" s="67"/>
      <c r="F55" s="67"/>
      <c r="G55" s="165"/>
      <c r="H55" s="165"/>
      <c r="I55" s="165"/>
      <c r="J55" s="165"/>
      <c r="K55" s="165"/>
      <c r="L55" s="165"/>
      <c r="M55" s="165"/>
      <c r="N55" s="165"/>
      <c r="O55" s="165"/>
      <c r="P55" s="165"/>
      <c r="Q55" s="165"/>
      <c r="R55" s="165"/>
      <c r="S55" s="165"/>
      <c r="T55" s="165"/>
    </row>
    <row r="56" spans="2:20" x14ac:dyDescent="0.25">
      <c r="B56" s="64" t="s">
        <v>842</v>
      </c>
      <c r="C56" s="66">
        <v>0.25</v>
      </c>
      <c r="D56" s="62"/>
      <c r="E56" s="68">
        <f>C56*20/10</f>
        <v>0.5</v>
      </c>
      <c r="F56" s="67">
        <f>20*E56</f>
        <v>10</v>
      </c>
      <c r="G56" s="165"/>
      <c r="H56" s="165"/>
      <c r="I56" s="165"/>
      <c r="J56" s="165"/>
      <c r="K56" s="165"/>
      <c r="L56" s="165"/>
      <c r="M56" s="165"/>
      <c r="N56" s="165"/>
      <c r="O56" s="165"/>
      <c r="P56" s="165"/>
      <c r="Q56" s="165"/>
      <c r="R56" s="165"/>
      <c r="S56" s="165"/>
      <c r="T56" s="165"/>
    </row>
    <row r="57" spans="2:20" x14ac:dyDescent="0.25">
      <c r="B57" s="64" t="s">
        <v>842</v>
      </c>
      <c r="C57" s="66">
        <v>0.8</v>
      </c>
      <c r="D57" s="62"/>
      <c r="E57" s="63"/>
      <c r="F57" s="63"/>
      <c r="G57" s="165"/>
      <c r="H57" s="165"/>
      <c r="I57" s="165"/>
      <c r="J57" s="165"/>
      <c r="K57" s="165"/>
      <c r="L57" s="165"/>
      <c r="M57" s="165"/>
      <c r="N57" s="165"/>
      <c r="O57" s="165"/>
      <c r="P57" s="165"/>
      <c r="Q57" s="165"/>
      <c r="R57" s="165"/>
      <c r="S57" s="165"/>
      <c r="T57" s="165"/>
    </row>
    <row r="58" spans="2:20" x14ac:dyDescent="0.25">
      <c r="B58" s="104" t="s">
        <v>79</v>
      </c>
      <c r="C58" s="62"/>
      <c r="D58" s="62"/>
      <c r="E58" s="63">
        <f>20-SUM(E54:E57)</f>
        <v>1.5</v>
      </c>
      <c r="F58" s="63">
        <f>20*E58</f>
        <v>30</v>
      </c>
      <c r="G58" s="165"/>
      <c r="H58" s="165"/>
      <c r="I58" s="165"/>
      <c r="J58" s="165"/>
      <c r="K58" s="165"/>
      <c r="L58" s="165"/>
      <c r="M58" s="165"/>
      <c r="N58" s="165"/>
      <c r="O58" s="165"/>
      <c r="P58" s="165"/>
      <c r="Q58" s="165"/>
      <c r="R58" s="165"/>
      <c r="S58" s="165"/>
      <c r="T58" s="165"/>
    </row>
    <row r="59" spans="2:20" ht="15.75" thickBot="1" x14ac:dyDescent="0.3">
      <c r="B59" s="97" t="s">
        <v>80</v>
      </c>
      <c r="C59" s="98"/>
      <c r="D59" s="98"/>
      <c r="E59" s="99">
        <f>SUM(E54:E58)</f>
        <v>20</v>
      </c>
      <c r="F59" s="99">
        <f>SUM(F54:F58)</f>
        <v>40</v>
      </c>
      <c r="G59" s="165"/>
      <c r="H59" s="165"/>
      <c r="I59" s="165"/>
      <c r="J59" s="165"/>
      <c r="K59" s="165"/>
      <c r="L59" s="165"/>
      <c r="M59" s="165"/>
      <c r="N59" s="165"/>
      <c r="O59" s="165"/>
      <c r="P59" s="165"/>
      <c r="Q59" s="165"/>
      <c r="R59" s="165"/>
      <c r="S59" s="165"/>
      <c r="T59" s="165"/>
    </row>
    <row r="60" spans="2:20" ht="15.75" thickBot="1" x14ac:dyDescent="0.3">
      <c r="B60" s="165"/>
      <c r="C60" s="165"/>
      <c r="D60" s="165"/>
      <c r="E60" s="165"/>
      <c r="F60" s="165"/>
      <c r="G60" s="165"/>
      <c r="H60" s="165"/>
      <c r="I60" s="165"/>
      <c r="J60" s="165"/>
      <c r="K60" s="165"/>
      <c r="L60" s="165"/>
      <c r="M60" s="165"/>
      <c r="N60" s="165"/>
      <c r="O60" s="165"/>
      <c r="P60" s="165"/>
      <c r="Q60" s="165"/>
      <c r="R60" s="165"/>
      <c r="S60" s="165"/>
      <c r="T60" s="165"/>
    </row>
    <row r="61" spans="2:20" x14ac:dyDescent="0.25">
      <c r="B61" s="91" t="s">
        <v>50</v>
      </c>
      <c r="C61" s="92" t="s">
        <v>74</v>
      </c>
      <c r="D61" s="92" t="s">
        <v>52</v>
      </c>
      <c r="E61" s="92" t="s">
        <v>75</v>
      </c>
      <c r="F61" s="92" t="s">
        <v>838</v>
      </c>
      <c r="G61" s="165"/>
      <c r="H61" s="165"/>
      <c r="I61" s="165"/>
      <c r="J61" s="165"/>
      <c r="K61" s="165"/>
      <c r="L61" s="165"/>
      <c r="M61" s="165"/>
      <c r="N61" s="165"/>
      <c r="O61" s="165"/>
      <c r="P61" s="165"/>
      <c r="Q61" s="165"/>
      <c r="R61" s="165"/>
      <c r="S61" s="165"/>
      <c r="T61" s="165"/>
    </row>
    <row r="62" spans="2:20" x14ac:dyDescent="0.25">
      <c r="B62" s="58" t="s">
        <v>189</v>
      </c>
      <c r="C62" s="59"/>
      <c r="D62" s="59"/>
      <c r="E62" s="60">
        <v>18</v>
      </c>
      <c r="F62" s="60"/>
      <c r="G62" s="165"/>
      <c r="H62" s="165"/>
      <c r="I62" s="165"/>
      <c r="J62" s="165"/>
      <c r="K62" s="165"/>
      <c r="L62" s="165"/>
      <c r="M62" s="165"/>
      <c r="N62" s="165"/>
      <c r="O62" s="165"/>
      <c r="P62" s="165"/>
      <c r="Q62" s="165"/>
      <c r="R62" s="165"/>
      <c r="S62" s="165"/>
      <c r="T62" s="165"/>
    </row>
    <row r="63" spans="2:20" x14ac:dyDescent="0.25">
      <c r="B63" s="64" t="s">
        <v>842</v>
      </c>
      <c r="C63" s="65">
        <v>0.05</v>
      </c>
      <c r="D63" s="95"/>
      <c r="E63" s="67"/>
      <c r="F63" s="67"/>
      <c r="G63" s="165"/>
      <c r="H63" s="165"/>
      <c r="I63" s="165"/>
      <c r="J63" s="165"/>
      <c r="K63" s="165"/>
      <c r="L63" s="165"/>
      <c r="M63" s="165"/>
      <c r="N63" s="165"/>
      <c r="O63" s="165"/>
      <c r="P63" s="165"/>
      <c r="Q63" s="165"/>
      <c r="R63" s="165"/>
      <c r="S63" s="165"/>
      <c r="T63" s="165"/>
    </row>
    <row r="64" spans="2:20" x14ac:dyDescent="0.25">
      <c r="B64" s="64" t="s">
        <v>842</v>
      </c>
      <c r="C64" s="66">
        <v>0.25</v>
      </c>
      <c r="D64" s="62"/>
      <c r="E64" s="63"/>
      <c r="F64" s="67"/>
      <c r="G64" s="165"/>
      <c r="H64" s="165"/>
      <c r="I64" s="165"/>
      <c r="J64" s="165"/>
      <c r="K64" s="165"/>
      <c r="L64" s="165"/>
      <c r="M64" s="165"/>
      <c r="N64" s="165"/>
      <c r="O64" s="165"/>
      <c r="P64" s="165"/>
      <c r="Q64" s="165"/>
      <c r="R64" s="165"/>
      <c r="S64" s="165"/>
      <c r="T64" s="165"/>
    </row>
    <row r="65" spans="1:6" x14ac:dyDescent="0.25">
      <c r="A65" s="165"/>
      <c r="B65" s="64" t="s">
        <v>842</v>
      </c>
      <c r="C65" s="66">
        <v>0.8</v>
      </c>
      <c r="D65" s="62"/>
      <c r="E65" s="68">
        <f>C65*20/10</f>
        <v>1.6</v>
      </c>
      <c r="F65" s="67">
        <f t="shared" ref="F65" si="4">20*E65</f>
        <v>32</v>
      </c>
    </row>
    <row r="66" spans="1:6" x14ac:dyDescent="0.25">
      <c r="A66" s="165"/>
      <c r="B66" s="104" t="s">
        <v>79</v>
      </c>
      <c r="C66" s="62"/>
      <c r="D66" s="62"/>
      <c r="E66" s="63">
        <f>20-SUM(E62:E65)</f>
        <v>0.39999999999999858</v>
      </c>
      <c r="F66" s="63">
        <f>20*E66</f>
        <v>7.9999999999999716</v>
      </c>
    </row>
    <row r="67" spans="1:6" ht="15.75" thickBot="1" x14ac:dyDescent="0.3">
      <c r="A67" s="165"/>
      <c r="B67" s="97" t="s">
        <v>80</v>
      </c>
      <c r="C67" s="98"/>
      <c r="D67" s="98"/>
      <c r="E67" s="99">
        <f>SUM(E62:E66)</f>
        <v>20</v>
      </c>
      <c r="F67" s="99">
        <f>SUM(F62:F66)</f>
        <v>39.999999999999972</v>
      </c>
    </row>
    <row r="69" spans="1:6" x14ac:dyDescent="0.25">
      <c r="A69" s="165">
        <v>20210511</v>
      </c>
      <c r="B69" s="165"/>
      <c r="C69" s="165"/>
      <c r="D69" s="165"/>
      <c r="E69" s="165"/>
      <c r="F69" s="165"/>
    </row>
    <row r="70" spans="1:6" x14ac:dyDescent="0.25">
      <c r="A70" s="165" t="s">
        <v>848</v>
      </c>
      <c r="B70" s="165"/>
      <c r="C70" s="165"/>
      <c r="D70" s="165"/>
      <c r="E70" s="165"/>
      <c r="F70" s="165"/>
    </row>
    <row r="72" spans="1:6" ht="15.75" thickBot="1" x14ac:dyDescent="0.3">
      <c r="A72" s="165" t="s">
        <v>189</v>
      </c>
      <c r="B72" s="165"/>
      <c r="C72" s="165"/>
      <c r="D72" s="165"/>
      <c r="E72" s="165"/>
      <c r="F72" s="165"/>
    </row>
    <row r="73" spans="1:6" x14ac:dyDescent="0.25">
      <c r="A73" s="91" t="s">
        <v>50</v>
      </c>
      <c r="B73" s="92" t="s">
        <v>74</v>
      </c>
      <c r="C73" s="92" t="s">
        <v>52</v>
      </c>
      <c r="D73" s="92" t="s">
        <v>75</v>
      </c>
      <c r="E73" s="93">
        <f>96*1.2</f>
        <v>115.19999999999999</v>
      </c>
      <c r="F73" s="165"/>
    </row>
    <row r="74" spans="1:6" x14ac:dyDescent="0.25">
      <c r="A74" s="58" t="s">
        <v>189</v>
      </c>
      <c r="B74" s="59"/>
      <c r="C74" s="59"/>
      <c r="D74" s="60">
        <f>D23</f>
        <v>11.262222222222222</v>
      </c>
      <c r="E74" s="59">
        <f>D74*$E$73</f>
        <v>1297.4079999999999</v>
      </c>
      <c r="F74" s="165"/>
    </row>
    <row r="75" spans="1:6" x14ac:dyDescent="0.25">
      <c r="A75" s="104" t="s">
        <v>824</v>
      </c>
      <c r="B75" s="95"/>
      <c r="C75" s="95">
        <v>0.05</v>
      </c>
      <c r="D75" s="96">
        <f>C75*20/10</f>
        <v>0.1</v>
      </c>
      <c r="E75" s="59">
        <f t="shared" ref="E75:E80" si="5">D75*$E$73</f>
        <v>11.52</v>
      </c>
      <c r="F75" s="165"/>
    </row>
    <row r="76" spans="1:6" x14ac:dyDescent="0.25">
      <c r="A76" s="104" t="s">
        <v>825</v>
      </c>
      <c r="B76" s="95"/>
      <c r="C76" s="95">
        <v>0.05</v>
      </c>
      <c r="D76" s="96">
        <f>C76*20/10</f>
        <v>0.1</v>
      </c>
      <c r="E76" s="59">
        <f t="shared" si="5"/>
        <v>11.52</v>
      </c>
      <c r="F76" s="165"/>
    </row>
    <row r="77" spans="1:6" x14ac:dyDescent="0.25">
      <c r="A77" s="111" t="s">
        <v>826</v>
      </c>
      <c r="B77" s="95"/>
      <c r="C77" s="95">
        <v>0.4</v>
      </c>
      <c r="D77" s="96">
        <f>C77*20/10</f>
        <v>0.8</v>
      </c>
      <c r="E77" s="59">
        <f t="shared" si="5"/>
        <v>92.16</v>
      </c>
      <c r="F77" s="165"/>
    </row>
    <row r="78" spans="1:6" x14ac:dyDescent="0.25">
      <c r="A78" s="110" t="s">
        <v>849</v>
      </c>
      <c r="B78" s="95"/>
      <c r="C78" s="95"/>
      <c r="D78" s="96"/>
      <c r="E78" s="59">
        <f t="shared" si="5"/>
        <v>0</v>
      </c>
      <c r="F78" s="165"/>
    </row>
    <row r="79" spans="1:6" x14ac:dyDescent="0.25">
      <c r="A79" s="104" t="s">
        <v>79</v>
      </c>
      <c r="B79" s="95"/>
      <c r="C79" s="95"/>
      <c r="D79" s="96">
        <f>18-SUM(D74:D77)</f>
        <v>5.7377777777777776</v>
      </c>
      <c r="E79" s="59">
        <f t="shared" si="5"/>
        <v>660.99199999999996</v>
      </c>
      <c r="F79" s="165"/>
    </row>
    <row r="80" spans="1:6" ht="15.75" thickBot="1" x14ac:dyDescent="0.3">
      <c r="A80" s="97" t="s">
        <v>80</v>
      </c>
      <c r="B80" s="98"/>
      <c r="C80" s="98"/>
      <c r="D80" s="99">
        <f>SUM(D74:D79)</f>
        <v>18</v>
      </c>
      <c r="E80" s="59">
        <f t="shared" si="5"/>
        <v>2073.6</v>
      </c>
      <c r="F80" s="165"/>
    </row>
    <row r="83" spans="1:1" x14ac:dyDescent="0.25">
      <c r="A83" s="165" t="s">
        <v>850</v>
      </c>
    </row>
    <row r="116" spans="1:20" x14ac:dyDescent="0.25">
      <c r="A116" s="165">
        <v>20210512</v>
      </c>
      <c r="B116" s="165"/>
      <c r="C116" s="165"/>
      <c r="D116" s="165"/>
      <c r="E116" s="165"/>
      <c r="F116" s="165"/>
      <c r="G116" s="165"/>
      <c r="H116" s="165"/>
      <c r="I116" s="165"/>
      <c r="J116" s="165"/>
      <c r="K116" s="165"/>
      <c r="L116" s="165"/>
      <c r="M116" s="165"/>
      <c r="N116" s="165"/>
      <c r="O116" s="165"/>
      <c r="P116" s="165"/>
      <c r="Q116" s="165"/>
      <c r="R116" s="165"/>
      <c r="S116" s="165"/>
      <c r="T116" s="165"/>
    </row>
    <row r="117" spans="1:20" x14ac:dyDescent="0.25">
      <c r="A117" s="165" t="s">
        <v>851</v>
      </c>
      <c r="B117" s="165"/>
      <c r="C117" s="165"/>
      <c r="D117" s="165"/>
      <c r="E117" s="165"/>
      <c r="F117" s="165"/>
      <c r="G117" s="165"/>
      <c r="H117" s="165"/>
      <c r="I117" s="165"/>
      <c r="J117" s="165"/>
      <c r="K117" s="165"/>
      <c r="L117" s="165"/>
      <c r="M117" s="165"/>
      <c r="N117" s="165"/>
      <c r="O117" s="165"/>
      <c r="P117" s="165"/>
      <c r="Q117" s="165"/>
      <c r="R117" s="165"/>
      <c r="S117" s="165"/>
      <c r="T117" s="165"/>
    </row>
    <row r="118" spans="1:20" ht="15.75" thickBot="1" x14ac:dyDescent="0.3">
      <c r="A118" s="165" t="s">
        <v>852</v>
      </c>
      <c r="B118" s="165"/>
      <c r="C118" s="165"/>
      <c r="D118" s="165"/>
      <c r="E118" s="165"/>
      <c r="F118" s="165"/>
      <c r="G118" s="165"/>
      <c r="H118" s="165"/>
      <c r="I118" s="165"/>
      <c r="J118" s="165"/>
      <c r="K118" s="165"/>
      <c r="L118" s="165"/>
      <c r="M118" s="165"/>
      <c r="N118" s="165"/>
      <c r="O118" s="165"/>
      <c r="P118" s="165"/>
      <c r="Q118" s="165"/>
      <c r="R118" s="165"/>
      <c r="S118" s="165"/>
      <c r="T118" s="165"/>
    </row>
    <row r="119" spans="1:20" x14ac:dyDescent="0.25">
      <c r="A119" s="123" t="s">
        <v>822</v>
      </c>
      <c r="B119" s="77"/>
      <c r="C119" s="77"/>
      <c r="D119" s="78" t="s">
        <v>125</v>
      </c>
      <c r="E119" s="79"/>
      <c r="F119" s="79"/>
      <c r="G119" s="80">
        <v>800</v>
      </c>
      <c r="H119" s="81"/>
      <c r="I119" s="165"/>
      <c r="J119" s="165"/>
      <c r="K119" s="165"/>
      <c r="L119" s="165"/>
      <c r="M119" s="165"/>
      <c r="N119" s="165"/>
      <c r="O119" s="165"/>
      <c r="P119" s="165"/>
      <c r="Q119" s="165"/>
      <c r="R119" s="165"/>
      <c r="S119" s="165"/>
      <c r="T119" s="165"/>
    </row>
    <row r="120" spans="1:20" ht="15.75" thickBot="1" x14ac:dyDescent="0.3">
      <c r="A120" s="124" t="s">
        <v>126</v>
      </c>
      <c r="B120" s="165"/>
      <c r="C120" s="165"/>
      <c r="D120" s="306" t="s">
        <v>127</v>
      </c>
      <c r="E120" s="307"/>
      <c r="F120" s="307"/>
      <c r="G120" s="82">
        <v>5</v>
      </c>
      <c r="H120" s="83" t="s">
        <v>128</v>
      </c>
      <c r="I120" s="165"/>
      <c r="J120" s="165"/>
      <c r="K120" s="165"/>
      <c r="L120" s="165"/>
      <c r="M120" s="165"/>
      <c r="N120" s="165"/>
      <c r="O120" s="165"/>
      <c r="P120" s="165"/>
      <c r="Q120" s="165"/>
      <c r="R120" s="165"/>
      <c r="S120" s="165"/>
      <c r="T120" s="165"/>
    </row>
    <row r="121" spans="1:20" x14ac:dyDescent="0.25">
      <c r="A121" s="125" t="s">
        <v>136</v>
      </c>
      <c r="B121" s="77">
        <v>25</v>
      </c>
      <c r="C121" s="77" t="s">
        <v>137</v>
      </c>
      <c r="D121" s="165"/>
      <c r="E121" s="308"/>
      <c r="F121" s="300"/>
      <c r="G121" s="300"/>
      <c r="H121" s="88"/>
      <c r="I121" s="165"/>
      <c r="J121" s="165"/>
      <c r="K121" s="165"/>
      <c r="L121" s="165"/>
      <c r="M121" s="165"/>
      <c r="N121" s="165"/>
      <c r="O121" s="165"/>
      <c r="P121" s="165"/>
      <c r="Q121" s="165"/>
      <c r="R121" s="165"/>
      <c r="S121" s="165"/>
      <c r="T121" s="165"/>
    </row>
    <row r="122" spans="1:20" x14ac:dyDescent="0.25">
      <c r="A122" s="125" t="s">
        <v>138</v>
      </c>
      <c r="B122" s="77">
        <v>1000</v>
      </c>
      <c r="C122" s="77" t="s">
        <v>137</v>
      </c>
      <c r="D122" s="85"/>
      <c r="E122" s="165"/>
      <c r="F122" s="86"/>
      <c r="G122" s="87"/>
      <c r="H122" s="86"/>
      <c r="I122" s="165"/>
      <c r="J122" s="165"/>
      <c r="K122" s="165"/>
      <c r="L122" s="165"/>
      <c r="M122" s="165"/>
      <c r="N122" s="165"/>
      <c r="O122" s="165"/>
      <c r="P122" s="165"/>
      <c r="Q122" s="165"/>
      <c r="R122" s="165"/>
      <c r="S122" s="165"/>
      <c r="T122" s="165"/>
    </row>
    <row r="123" spans="1:20" x14ac:dyDescent="0.25">
      <c r="A123" s="125" t="s">
        <v>139</v>
      </c>
      <c r="B123" s="77">
        <v>50</v>
      </c>
      <c r="C123" s="77" t="s">
        <v>140</v>
      </c>
      <c r="D123" s="165"/>
      <c r="E123" s="165"/>
      <c r="F123" s="86"/>
      <c r="G123" s="87"/>
      <c r="H123" s="86"/>
      <c r="I123" s="165"/>
      <c r="J123" s="165"/>
      <c r="K123" s="165"/>
      <c r="L123" s="165"/>
      <c r="M123" s="165"/>
      <c r="N123" s="165"/>
      <c r="O123" s="165"/>
      <c r="P123" s="165"/>
      <c r="Q123" s="165"/>
      <c r="R123" s="165"/>
      <c r="S123" s="165"/>
      <c r="T123" s="165"/>
    </row>
    <row r="124" spans="1:20" x14ac:dyDescent="0.25">
      <c r="A124" s="125" t="s">
        <v>142</v>
      </c>
      <c r="B124" s="77">
        <v>50</v>
      </c>
      <c r="C124" s="77" t="s">
        <v>143</v>
      </c>
      <c r="D124" s="165"/>
      <c r="E124" s="165"/>
      <c r="F124" s="86"/>
      <c r="G124" s="87"/>
      <c r="H124" s="86"/>
      <c r="I124" s="165"/>
      <c r="J124" s="165"/>
      <c r="K124" s="165"/>
      <c r="L124" s="165"/>
      <c r="M124" s="165"/>
      <c r="N124" s="165"/>
      <c r="O124" s="165"/>
      <c r="P124" s="165"/>
      <c r="Q124" s="165"/>
      <c r="R124" s="165"/>
      <c r="S124" s="165"/>
      <c r="T124" s="165"/>
    </row>
    <row r="125" spans="1:20" x14ac:dyDescent="0.25">
      <c r="A125" s="125" t="s">
        <v>144</v>
      </c>
      <c r="B125" s="77">
        <v>50</v>
      </c>
      <c r="C125" s="77" t="s">
        <v>145</v>
      </c>
      <c r="D125" s="85"/>
      <c r="E125" s="165"/>
      <c r="F125" s="86"/>
      <c r="G125" s="87"/>
      <c r="H125" s="86"/>
      <c r="I125" s="165"/>
      <c r="J125" s="165"/>
      <c r="K125" s="165"/>
      <c r="L125" s="165"/>
      <c r="M125" s="165"/>
      <c r="N125" s="165"/>
      <c r="O125" s="165"/>
      <c r="P125" s="165"/>
      <c r="Q125" s="165" t="s">
        <v>853</v>
      </c>
      <c r="R125" s="165"/>
      <c r="S125" s="165"/>
      <c r="T125" s="165"/>
    </row>
    <row r="126" spans="1:20" ht="15.75" thickBot="1" x14ac:dyDescent="0.3">
      <c r="A126" s="125" t="s">
        <v>146</v>
      </c>
      <c r="B126" s="77">
        <v>10</v>
      </c>
      <c r="C126" s="77" t="s">
        <v>147</v>
      </c>
      <c r="D126" s="85"/>
      <c r="E126" s="165"/>
      <c r="F126" s="86"/>
      <c r="G126" s="87"/>
      <c r="H126" s="86"/>
      <c r="I126" s="165"/>
      <c r="J126" s="165"/>
      <c r="K126" s="165"/>
      <c r="L126" s="165"/>
      <c r="M126" s="165"/>
      <c r="N126" s="165"/>
      <c r="O126" s="165"/>
      <c r="P126" s="165"/>
      <c r="Q126" s="165" t="s">
        <v>854</v>
      </c>
      <c r="R126" s="165"/>
      <c r="S126" s="165"/>
      <c r="T126" s="165"/>
    </row>
    <row r="127" spans="1:20" ht="30" x14ac:dyDescent="0.25">
      <c r="A127" s="126" t="s">
        <v>148</v>
      </c>
      <c r="B127" s="77">
        <v>45</v>
      </c>
      <c r="C127" s="77" t="s">
        <v>143</v>
      </c>
      <c r="D127" s="165"/>
      <c r="E127" s="165"/>
      <c r="F127" s="86"/>
      <c r="G127" s="87"/>
      <c r="H127" s="86"/>
      <c r="I127" s="91" t="s">
        <v>50</v>
      </c>
      <c r="J127" s="92" t="s">
        <v>74</v>
      </c>
      <c r="K127" s="92" t="s">
        <v>52</v>
      </c>
      <c r="L127" s="92" t="s">
        <v>75</v>
      </c>
      <c r="M127" s="92" t="s">
        <v>838</v>
      </c>
      <c r="N127" s="165"/>
      <c r="O127" s="165"/>
      <c r="P127" s="165"/>
      <c r="Q127" s="165" t="s">
        <v>855</v>
      </c>
      <c r="R127" s="165" t="s">
        <v>726</v>
      </c>
      <c r="S127" s="165" t="s">
        <v>856</v>
      </c>
      <c r="T127" s="165" t="s">
        <v>857</v>
      </c>
    </row>
    <row r="128" spans="1:20" x14ac:dyDescent="0.25">
      <c r="A128" s="125"/>
      <c r="B128" s="77"/>
      <c r="C128" s="77"/>
      <c r="D128" s="165"/>
      <c r="E128" s="165"/>
      <c r="F128" s="165"/>
      <c r="G128" s="84"/>
      <c r="H128" s="165"/>
      <c r="I128" s="58" t="s">
        <v>189</v>
      </c>
      <c r="J128" s="59"/>
      <c r="K128" s="59"/>
      <c r="L128" s="60">
        <v>18</v>
      </c>
      <c r="M128" s="60"/>
      <c r="N128" s="165"/>
      <c r="O128" s="165"/>
      <c r="P128" s="165"/>
      <c r="Q128" s="165">
        <v>217544881</v>
      </c>
      <c r="R128" s="165" t="s">
        <v>858</v>
      </c>
      <c r="S128" s="69">
        <v>43677</v>
      </c>
      <c r="T128" s="165" t="s">
        <v>859</v>
      </c>
    </row>
    <row r="129" spans="1:20" ht="15.75" thickBot="1" x14ac:dyDescent="0.3">
      <c r="A129" s="105"/>
      <c r="B129" s="165"/>
      <c r="C129" s="165"/>
      <c r="D129" s="165"/>
      <c r="E129" s="165"/>
      <c r="F129" s="165"/>
      <c r="G129" s="84"/>
      <c r="H129" s="165"/>
      <c r="I129" s="64" t="s">
        <v>842</v>
      </c>
      <c r="J129" s="65">
        <v>0.05</v>
      </c>
      <c r="K129" s="95"/>
      <c r="L129" s="67">
        <f>0.05*20/10</f>
        <v>0.1</v>
      </c>
      <c r="M129" s="67">
        <f>20*L129</f>
        <v>2</v>
      </c>
      <c r="N129" s="165"/>
      <c r="O129" s="165"/>
      <c r="P129" s="165"/>
      <c r="Q129" s="165">
        <v>217544882</v>
      </c>
      <c r="R129" s="165" t="s">
        <v>860</v>
      </c>
      <c r="S129" s="69">
        <v>43677</v>
      </c>
      <c r="T129" s="165" t="s">
        <v>859</v>
      </c>
    </row>
    <row r="130" spans="1:20" x14ac:dyDescent="0.25">
      <c r="A130" s="127" t="s">
        <v>50</v>
      </c>
      <c r="B130" s="128" t="s">
        <v>74</v>
      </c>
      <c r="C130" s="128"/>
      <c r="D130" s="128" t="s">
        <v>150</v>
      </c>
      <c r="E130" s="129"/>
      <c r="F130" s="318" t="s">
        <v>151</v>
      </c>
      <c r="G130" s="319"/>
      <c r="H130" s="165"/>
      <c r="I130" s="64" t="s">
        <v>842</v>
      </c>
      <c r="J130" s="66">
        <v>0.25</v>
      </c>
      <c r="K130" s="62"/>
      <c r="L130" s="63"/>
      <c r="M130" s="63"/>
      <c r="N130" s="165"/>
      <c r="O130" s="165"/>
      <c r="P130" s="165"/>
      <c r="Q130" s="165">
        <v>263398090</v>
      </c>
      <c r="R130" s="165" t="s">
        <v>861</v>
      </c>
      <c r="S130" s="69">
        <v>43833</v>
      </c>
      <c r="T130" s="165" t="s">
        <v>859</v>
      </c>
    </row>
    <row r="131" spans="1:20" x14ac:dyDescent="0.25">
      <c r="A131" s="130" t="s">
        <v>136</v>
      </c>
      <c r="B131" s="131">
        <v>0.25</v>
      </c>
      <c r="C131" s="131" t="s">
        <v>137</v>
      </c>
      <c r="D131" s="132">
        <f>32*B131/B121</f>
        <v>0.32</v>
      </c>
      <c r="E131" s="133" t="s">
        <v>56</v>
      </c>
      <c r="F131" s="132">
        <f>D131*($G$2+1+$G$3)</f>
        <v>257.92</v>
      </c>
      <c r="G131" s="134" t="str">
        <f t="shared" ref="G131:G138" si="6">E131</f>
        <v>uL</v>
      </c>
      <c r="H131" s="165"/>
      <c r="I131" s="64" t="s">
        <v>842</v>
      </c>
      <c r="J131" s="66">
        <v>0.8</v>
      </c>
      <c r="K131" s="62"/>
      <c r="L131" s="63"/>
      <c r="M131" s="63"/>
      <c r="N131" s="165"/>
      <c r="O131" s="165"/>
      <c r="P131" s="165"/>
      <c r="Q131" s="165">
        <v>263398091</v>
      </c>
      <c r="R131" s="165" t="s">
        <v>862</v>
      </c>
      <c r="S131" s="69">
        <v>43833</v>
      </c>
      <c r="T131" s="165" t="s">
        <v>859</v>
      </c>
    </row>
    <row r="132" spans="1:20" x14ac:dyDescent="0.25">
      <c r="A132" s="130" t="s">
        <v>139</v>
      </c>
      <c r="B132" s="131">
        <v>2.5</v>
      </c>
      <c r="C132" s="131" t="s">
        <v>52</v>
      </c>
      <c r="D132" s="132">
        <f>B132/B123</f>
        <v>0.05</v>
      </c>
      <c r="E132" s="133" t="s">
        <v>56</v>
      </c>
      <c r="F132" s="132">
        <f t="shared" ref="F132:F138" si="7">D132*($G$2+1+$G$3)</f>
        <v>40.300000000000004</v>
      </c>
      <c r="G132" s="134" t="str">
        <f t="shared" si="6"/>
        <v>uL</v>
      </c>
      <c r="H132" s="165"/>
      <c r="I132" s="104" t="s">
        <v>79</v>
      </c>
      <c r="J132" s="62"/>
      <c r="K132" s="62"/>
      <c r="L132" s="63">
        <f>20-SUM(L128:L131)</f>
        <v>1.8999999999999986</v>
      </c>
      <c r="M132" s="63">
        <f>20*L132</f>
        <v>37.999999999999972</v>
      </c>
      <c r="N132" s="165"/>
      <c r="O132" s="165"/>
      <c r="P132" s="165"/>
      <c r="Q132" s="165">
        <v>263398092</v>
      </c>
      <c r="R132" s="165" t="s">
        <v>863</v>
      </c>
      <c r="S132" s="69">
        <v>43833</v>
      </c>
      <c r="T132" s="165" t="s">
        <v>859</v>
      </c>
    </row>
    <row r="133" spans="1:20" ht="15.75" thickBot="1" x14ac:dyDescent="0.3">
      <c r="A133" s="130" t="s">
        <v>138</v>
      </c>
      <c r="B133" s="131">
        <v>3.5</v>
      </c>
      <c r="C133" s="131" t="s">
        <v>137</v>
      </c>
      <c r="D133" s="132">
        <f>(20*(B133/B122))</f>
        <v>7.0000000000000007E-2</v>
      </c>
      <c r="E133" s="133" t="s">
        <v>56</v>
      </c>
      <c r="F133" s="132">
        <f t="shared" si="7"/>
        <v>56.420000000000009</v>
      </c>
      <c r="G133" s="134" t="str">
        <f t="shared" si="6"/>
        <v>uL</v>
      </c>
      <c r="H133" s="165"/>
      <c r="I133" s="97" t="s">
        <v>80</v>
      </c>
      <c r="J133" s="98"/>
      <c r="K133" s="98"/>
      <c r="L133" s="99">
        <f>SUM(L128:L132)</f>
        <v>20</v>
      </c>
      <c r="M133" s="99">
        <f>SUM(M128:M132)</f>
        <v>39.999999999999972</v>
      </c>
      <c r="N133" s="165"/>
      <c r="O133" s="165"/>
      <c r="P133" s="165"/>
      <c r="Q133" s="165"/>
      <c r="R133" s="165"/>
      <c r="S133" s="165"/>
      <c r="T133" s="165"/>
    </row>
    <row r="134" spans="1:20" ht="15.75" thickBot="1" x14ac:dyDescent="0.3">
      <c r="A134" s="130" t="s">
        <v>142</v>
      </c>
      <c r="B134" s="131">
        <v>10</v>
      </c>
      <c r="C134" s="131" t="s">
        <v>143</v>
      </c>
      <c r="D134" s="132">
        <f>20*B134/B124</f>
        <v>4</v>
      </c>
      <c r="E134" s="133" t="s">
        <v>56</v>
      </c>
      <c r="F134" s="132">
        <f t="shared" si="7"/>
        <v>3224</v>
      </c>
      <c r="G134" s="134" t="str">
        <f t="shared" si="6"/>
        <v>uL</v>
      </c>
      <c r="H134" s="165"/>
      <c r="I134" s="165"/>
      <c r="J134" s="165"/>
      <c r="K134" s="165"/>
      <c r="L134" s="165"/>
      <c r="M134" s="165"/>
      <c r="N134" s="165"/>
      <c r="O134" s="165"/>
      <c r="P134" s="165"/>
      <c r="Q134" s="165">
        <v>20210513</v>
      </c>
      <c r="R134" s="165"/>
      <c r="S134" s="165"/>
      <c r="T134" s="165"/>
    </row>
    <row r="135" spans="1:20" x14ac:dyDescent="0.25">
      <c r="A135" s="130" t="s">
        <v>144</v>
      </c>
      <c r="B135" s="131">
        <v>0.5</v>
      </c>
      <c r="C135" s="131" t="s">
        <v>145</v>
      </c>
      <c r="D135" s="132">
        <f>20*B135/B125</f>
        <v>0.2</v>
      </c>
      <c r="E135" s="133" t="s">
        <v>56</v>
      </c>
      <c r="F135" s="132">
        <f t="shared" si="7"/>
        <v>161.20000000000002</v>
      </c>
      <c r="G135" s="134" t="str">
        <f t="shared" si="6"/>
        <v>uL</v>
      </c>
      <c r="H135" s="165"/>
      <c r="I135" s="91" t="s">
        <v>50</v>
      </c>
      <c r="J135" s="92" t="s">
        <v>74</v>
      </c>
      <c r="K135" s="92" t="s">
        <v>52</v>
      </c>
      <c r="L135" s="92" t="s">
        <v>75</v>
      </c>
      <c r="M135" s="92" t="s">
        <v>838</v>
      </c>
      <c r="N135" s="165"/>
      <c r="O135" s="165"/>
      <c r="P135" s="165"/>
      <c r="Q135" s="317" t="s">
        <v>864</v>
      </c>
      <c r="R135" s="317"/>
      <c r="S135" s="317"/>
      <c r="T135" s="317"/>
    </row>
    <row r="136" spans="1:20" x14ac:dyDescent="0.25">
      <c r="A136" s="130" t="s">
        <v>159</v>
      </c>
      <c r="B136" s="131">
        <v>1</v>
      </c>
      <c r="C136" s="131" t="s">
        <v>147</v>
      </c>
      <c r="D136" s="132">
        <f>20*B136/B126</f>
        <v>2</v>
      </c>
      <c r="E136" s="133" t="s">
        <v>56</v>
      </c>
      <c r="F136" s="132">
        <f t="shared" si="7"/>
        <v>1612</v>
      </c>
      <c r="G136" s="134" t="str">
        <f t="shared" si="6"/>
        <v>uL</v>
      </c>
      <c r="H136" s="165"/>
      <c r="I136" s="58" t="s">
        <v>189</v>
      </c>
      <c r="J136" s="59"/>
      <c r="K136" s="59"/>
      <c r="L136" s="60">
        <v>18</v>
      </c>
      <c r="M136" s="60"/>
      <c r="N136" s="165"/>
      <c r="O136" s="165"/>
      <c r="P136" s="165"/>
      <c r="Q136" s="317"/>
      <c r="R136" s="317"/>
      <c r="S136" s="317"/>
      <c r="T136" s="317"/>
    </row>
    <row r="137" spans="1:20" x14ac:dyDescent="0.25">
      <c r="A137" s="130" t="s">
        <v>148</v>
      </c>
      <c r="B137" s="131">
        <v>5</v>
      </c>
      <c r="C137" s="131" t="s">
        <v>143</v>
      </c>
      <c r="D137" s="132">
        <f>20*B137/B127</f>
        <v>2.2222222222222223</v>
      </c>
      <c r="E137" s="133" t="s">
        <v>56</v>
      </c>
      <c r="F137" s="132">
        <f t="shared" si="7"/>
        <v>1791.1111111111111</v>
      </c>
      <c r="G137" s="134" t="str">
        <f t="shared" si="6"/>
        <v>uL</v>
      </c>
      <c r="H137" s="165"/>
      <c r="I137" s="64" t="s">
        <v>842</v>
      </c>
      <c r="J137" s="65">
        <v>0.05</v>
      </c>
      <c r="K137" s="95"/>
      <c r="L137" s="67"/>
      <c r="M137" s="67"/>
      <c r="N137" s="165"/>
      <c r="O137" s="165"/>
      <c r="P137" s="165"/>
      <c r="Q137" s="317"/>
      <c r="R137" s="317"/>
      <c r="S137" s="317"/>
      <c r="T137" s="317"/>
    </row>
    <row r="138" spans="1:20" ht="15.75" thickBot="1" x14ac:dyDescent="0.3">
      <c r="A138" s="121" t="s">
        <v>161</v>
      </c>
      <c r="B138" s="122"/>
      <c r="C138" s="122"/>
      <c r="D138" s="135">
        <v>0</v>
      </c>
      <c r="E138" s="136" t="s">
        <v>56</v>
      </c>
      <c r="F138" s="138">
        <f t="shared" si="7"/>
        <v>0</v>
      </c>
      <c r="G138" s="137" t="str">
        <f t="shared" si="6"/>
        <v>uL</v>
      </c>
      <c r="H138" s="165"/>
      <c r="I138" s="64" t="s">
        <v>842</v>
      </c>
      <c r="J138" s="66">
        <v>0.25</v>
      </c>
      <c r="K138" s="62"/>
      <c r="L138" s="68">
        <f>J138*20/10</f>
        <v>0.5</v>
      </c>
      <c r="M138" s="67">
        <f>20*L138</f>
        <v>10</v>
      </c>
      <c r="N138" s="165"/>
      <c r="O138" s="165"/>
      <c r="P138" s="165"/>
      <c r="Q138" s="317"/>
      <c r="R138" s="317"/>
      <c r="S138" s="317"/>
      <c r="T138" s="317"/>
    </row>
    <row r="139" spans="1:20" x14ac:dyDescent="0.25">
      <c r="A139" s="165"/>
      <c r="B139" s="165"/>
      <c r="C139" s="85" t="s">
        <v>162</v>
      </c>
      <c r="D139" s="85">
        <f>SUM(D131:D138)</f>
        <v>8.862222222222222</v>
      </c>
      <c r="E139" s="85" t="s">
        <v>56</v>
      </c>
      <c r="F139" s="85">
        <f>SUM(F131:F138)</f>
        <v>7142.9511111111115</v>
      </c>
      <c r="G139" s="85" t="s">
        <v>56</v>
      </c>
      <c r="H139" s="165"/>
      <c r="I139" s="64" t="s">
        <v>842</v>
      </c>
      <c r="J139" s="66">
        <v>0.8</v>
      </c>
      <c r="K139" s="62"/>
      <c r="L139" s="63"/>
      <c r="M139" s="63"/>
      <c r="N139" s="165"/>
      <c r="O139" s="165"/>
      <c r="P139" s="165"/>
      <c r="Q139" s="317"/>
      <c r="R139" s="317"/>
      <c r="S139" s="317"/>
      <c r="T139" s="317"/>
    </row>
    <row r="140" spans="1:20" x14ac:dyDescent="0.25">
      <c r="A140" s="165"/>
      <c r="B140" s="165"/>
      <c r="C140" s="165"/>
      <c r="D140" s="165"/>
      <c r="E140" s="165"/>
      <c r="F140" s="165"/>
      <c r="G140" s="165"/>
      <c r="H140" s="165"/>
      <c r="I140" s="104" t="s">
        <v>79</v>
      </c>
      <c r="J140" s="62"/>
      <c r="K140" s="62"/>
      <c r="L140" s="63">
        <f>20-SUM(L136:L139)</f>
        <v>1.5</v>
      </c>
      <c r="M140" s="63">
        <f>20*L140</f>
        <v>30</v>
      </c>
      <c r="N140" s="165"/>
      <c r="O140" s="165"/>
      <c r="P140" s="165"/>
      <c r="Q140" s="317"/>
      <c r="R140" s="317"/>
      <c r="S140" s="317"/>
      <c r="T140" s="317"/>
    </row>
    <row r="141" spans="1:20" ht="15.75" thickBot="1" x14ac:dyDescent="0.3">
      <c r="A141" s="165" t="s">
        <v>189</v>
      </c>
      <c r="B141" s="165"/>
      <c r="C141" s="165"/>
      <c r="D141" s="165"/>
      <c r="E141" s="165"/>
      <c r="F141" s="165"/>
      <c r="G141" s="165"/>
      <c r="H141" s="165"/>
      <c r="I141" s="97" t="s">
        <v>80</v>
      </c>
      <c r="J141" s="98"/>
      <c r="K141" s="98"/>
      <c r="L141" s="99">
        <f>SUM(L136:L140)</f>
        <v>20</v>
      </c>
      <c r="M141" s="99">
        <f>SUM(M136:M140)</f>
        <v>40</v>
      </c>
      <c r="N141" s="165"/>
      <c r="O141" s="165"/>
      <c r="P141" s="165"/>
      <c r="Q141" s="317"/>
      <c r="R141" s="317"/>
      <c r="S141" s="317"/>
      <c r="T141" s="317"/>
    </row>
    <row r="142" spans="1:20" ht="15.75" thickBot="1" x14ac:dyDescent="0.3">
      <c r="A142" s="91" t="s">
        <v>50</v>
      </c>
      <c r="B142" s="92" t="s">
        <v>74</v>
      </c>
      <c r="C142" s="92" t="s">
        <v>52</v>
      </c>
      <c r="D142" s="92" t="s">
        <v>75</v>
      </c>
      <c r="E142" s="93">
        <f>96*1.2</f>
        <v>115.19999999999999</v>
      </c>
      <c r="F142" s="165"/>
      <c r="G142" s="165"/>
      <c r="H142" s="165"/>
      <c r="I142" s="165"/>
      <c r="J142" s="165"/>
      <c r="K142" s="165"/>
      <c r="L142" s="165"/>
      <c r="M142" s="165"/>
      <c r="N142" s="165"/>
      <c r="O142" s="165"/>
      <c r="P142" s="165"/>
      <c r="Q142" s="165"/>
      <c r="R142" s="165"/>
      <c r="S142" s="165"/>
      <c r="T142" s="165"/>
    </row>
    <row r="143" spans="1:20" x14ac:dyDescent="0.25">
      <c r="A143" s="58" t="s">
        <v>189</v>
      </c>
      <c r="B143" s="59"/>
      <c r="C143" s="59"/>
      <c r="D143" s="60">
        <f>D139</f>
        <v>8.862222222222222</v>
      </c>
      <c r="E143" s="59">
        <f>D143*$E$142</f>
        <v>1020.9279999999999</v>
      </c>
      <c r="F143" s="165"/>
      <c r="G143" s="165"/>
      <c r="H143" s="165"/>
      <c r="I143" s="91" t="s">
        <v>50</v>
      </c>
      <c r="J143" s="92" t="s">
        <v>74</v>
      </c>
      <c r="K143" s="92" t="s">
        <v>52</v>
      </c>
      <c r="L143" s="92" t="s">
        <v>75</v>
      </c>
      <c r="M143" s="92" t="s">
        <v>838</v>
      </c>
      <c r="N143" s="165"/>
      <c r="O143" s="165"/>
      <c r="P143" s="165"/>
      <c r="Q143" s="165"/>
      <c r="R143" s="165"/>
      <c r="S143" s="165"/>
      <c r="T143" s="165"/>
    </row>
    <row r="144" spans="1:20" x14ac:dyDescent="0.25">
      <c r="A144" s="104" t="s">
        <v>824</v>
      </c>
      <c r="B144" s="95"/>
      <c r="C144" s="95">
        <v>0.05</v>
      </c>
      <c r="D144" s="96">
        <f>C144*20/10</f>
        <v>0.1</v>
      </c>
      <c r="E144" s="59">
        <f t="shared" ref="E144:E149" si="8">D144*$E$142</f>
        <v>11.52</v>
      </c>
      <c r="F144" s="165"/>
      <c r="G144" s="165"/>
      <c r="H144" s="165"/>
      <c r="I144" s="58" t="s">
        <v>189</v>
      </c>
      <c r="J144" s="59"/>
      <c r="K144" s="59"/>
      <c r="L144" s="60">
        <v>18</v>
      </c>
      <c r="M144" s="60"/>
      <c r="N144" s="165"/>
      <c r="O144" s="165"/>
      <c r="P144" s="165"/>
      <c r="Q144" s="165"/>
      <c r="R144" s="165"/>
      <c r="S144" s="165"/>
      <c r="T144" s="165"/>
    </row>
    <row r="145" spans="1:17" x14ac:dyDescent="0.25">
      <c r="A145" s="104" t="s">
        <v>825</v>
      </c>
      <c r="B145" s="95"/>
      <c r="C145" s="95">
        <v>0.05</v>
      </c>
      <c r="D145" s="96">
        <f>C145*20/10</f>
        <v>0.1</v>
      </c>
      <c r="E145" s="59">
        <f t="shared" si="8"/>
        <v>11.52</v>
      </c>
      <c r="F145" s="165"/>
      <c r="G145" s="165"/>
      <c r="H145" s="165"/>
      <c r="I145" s="64" t="s">
        <v>842</v>
      </c>
      <c r="J145" s="65">
        <v>0.05</v>
      </c>
      <c r="K145" s="95"/>
      <c r="L145" s="67"/>
      <c r="M145" s="67"/>
      <c r="N145" s="165"/>
      <c r="O145" s="165"/>
      <c r="P145" s="165"/>
      <c r="Q145" s="165"/>
    </row>
    <row r="146" spans="1:17" x14ac:dyDescent="0.25">
      <c r="A146" s="111" t="s">
        <v>826</v>
      </c>
      <c r="B146" s="95"/>
      <c r="C146" s="95">
        <v>0.4</v>
      </c>
      <c r="D146" s="96">
        <f>C146*20/10</f>
        <v>0.8</v>
      </c>
      <c r="E146" s="59">
        <f t="shared" si="8"/>
        <v>92.16</v>
      </c>
      <c r="F146" s="165"/>
      <c r="G146" s="165"/>
      <c r="H146" s="165"/>
      <c r="I146" s="64" t="s">
        <v>842</v>
      </c>
      <c r="J146" s="66">
        <v>0.25</v>
      </c>
      <c r="K146" s="62"/>
      <c r="L146" s="63"/>
      <c r="M146" s="67"/>
      <c r="N146" s="165"/>
      <c r="O146" s="165"/>
      <c r="P146" s="165"/>
      <c r="Q146" s="165"/>
    </row>
    <row r="147" spans="1:17" x14ac:dyDescent="0.25">
      <c r="A147" s="110" t="s">
        <v>849</v>
      </c>
      <c r="B147" s="95"/>
      <c r="C147" s="95"/>
      <c r="D147" s="96"/>
      <c r="E147" s="59">
        <f t="shared" si="8"/>
        <v>0</v>
      </c>
      <c r="F147" s="165"/>
      <c r="G147" s="165"/>
      <c r="H147" s="165"/>
      <c r="I147" s="64" t="s">
        <v>842</v>
      </c>
      <c r="J147" s="66">
        <v>0.8</v>
      </c>
      <c r="K147" s="62"/>
      <c r="L147" s="68">
        <f>J147*20/10</f>
        <v>1.6</v>
      </c>
      <c r="M147" s="67">
        <f t="shared" ref="M147" si="9">20*L147</f>
        <v>32</v>
      </c>
      <c r="N147" s="165"/>
      <c r="O147" s="165"/>
      <c r="P147" s="165"/>
      <c r="Q147" s="165"/>
    </row>
    <row r="148" spans="1:17" x14ac:dyDescent="0.25">
      <c r="A148" s="104" t="s">
        <v>79</v>
      </c>
      <c r="B148" s="95"/>
      <c r="C148" s="95"/>
      <c r="D148" s="96">
        <f>18-SUM(D143:D146)</f>
        <v>8.137777777777778</v>
      </c>
      <c r="E148" s="59">
        <f t="shared" si="8"/>
        <v>937.47199999999998</v>
      </c>
      <c r="F148" s="165"/>
      <c r="G148" s="165"/>
      <c r="H148" s="165"/>
      <c r="I148" s="104" t="s">
        <v>79</v>
      </c>
      <c r="J148" s="62"/>
      <c r="K148" s="62"/>
      <c r="L148" s="63">
        <f>20-SUM(L144:L147)</f>
        <v>0.39999999999999858</v>
      </c>
      <c r="M148" s="63">
        <f>20*L148</f>
        <v>7.9999999999999716</v>
      </c>
      <c r="N148" s="165"/>
      <c r="O148" s="165"/>
      <c r="P148" s="165"/>
      <c r="Q148" s="165"/>
    </row>
    <row r="149" spans="1:17" ht="15.75" thickBot="1" x14ac:dyDescent="0.3">
      <c r="A149" s="97" t="s">
        <v>80</v>
      </c>
      <c r="B149" s="98"/>
      <c r="C149" s="98"/>
      <c r="D149" s="99">
        <f>SUM(D143:D148)</f>
        <v>18</v>
      </c>
      <c r="E149" s="59">
        <f t="shared" si="8"/>
        <v>2073.6</v>
      </c>
      <c r="F149" s="165"/>
      <c r="G149" s="165"/>
      <c r="H149" s="165"/>
      <c r="I149" s="97" t="s">
        <v>80</v>
      </c>
      <c r="J149" s="98"/>
      <c r="K149" s="98"/>
      <c r="L149" s="99">
        <f>SUM(L144:L148)</f>
        <v>20</v>
      </c>
      <c r="M149" s="99">
        <f>SUM(M144:M148)</f>
        <v>39.999999999999972</v>
      </c>
      <c r="N149" s="165"/>
      <c r="O149" s="165"/>
      <c r="P149" s="165"/>
      <c r="Q149" s="165"/>
    </row>
    <row r="156" spans="1:17" x14ac:dyDescent="0.25">
      <c r="A156" s="165"/>
      <c r="B156" s="165"/>
      <c r="C156" s="165"/>
      <c r="D156" s="165"/>
      <c r="E156" s="165"/>
      <c r="F156" s="165"/>
      <c r="G156" s="165"/>
      <c r="H156" s="165"/>
      <c r="I156" s="165"/>
      <c r="J156" s="165"/>
      <c r="K156" s="165"/>
      <c r="L156" s="165"/>
      <c r="M156" s="165"/>
      <c r="N156" s="165"/>
      <c r="O156" s="165"/>
      <c r="P156" s="165"/>
      <c r="Q156" s="165" t="s">
        <v>865</v>
      </c>
    </row>
    <row r="157" spans="1:17" x14ac:dyDescent="0.25">
      <c r="A157" s="165"/>
      <c r="B157" s="165"/>
      <c r="C157" s="165"/>
      <c r="D157" s="165"/>
      <c r="E157" s="165"/>
      <c r="F157" s="165"/>
      <c r="G157" s="165"/>
      <c r="H157" s="165"/>
      <c r="I157" s="165"/>
      <c r="J157" s="165"/>
      <c r="K157" s="165"/>
      <c r="L157" s="165"/>
      <c r="M157" s="165"/>
      <c r="N157" s="165"/>
      <c r="O157" s="165"/>
      <c r="P157" s="165"/>
      <c r="Q157" s="165" t="s">
        <v>866</v>
      </c>
    </row>
    <row r="159" spans="1:17" x14ac:dyDescent="0.25">
      <c r="A159" s="165"/>
      <c r="B159" s="165"/>
      <c r="C159" s="165"/>
      <c r="D159" s="165"/>
      <c r="E159" s="165"/>
      <c r="F159" s="165"/>
      <c r="G159" s="165"/>
      <c r="H159" s="165"/>
      <c r="I159" s="165"/>
      <c r="J159" s="165"/>
      <c r="K159" s="165"/>
      <c r="L159" s="165"/>
      <c r="M159" s="165"/>
      <c r="N159" s="165"/>
      <c r="O159" s="165"/>
      <c r="P159" s="165"/>
      <c r="Q159" s="165" t="s">
        <v>867</v>
      </c>
    </row>
    <row r="161" spans="17:20" x14ac:dyDescent="0.25">
      <c r="Q161" s="165" t="s">
        <v>868</v>
      </c>
      <c r="R161" s="165" t="s">
        <v>869</v>
      </c>
      <c r="S161" s="165" t="s">
        <v>870</v>
      </c>
      <c r="T161" s="165" t="s">
        <v>871</v>
      </c>
    </row>
    <row r="162" spans="17:20" x14ac:dyDescent="0.25">
      <c r="Q162" s="71" t="s">
        <v>872</v>
      </c>
      <c r="R162" s="71" t="s">
        <v>873</v>
      </c>
      <c r="S162" s="165">
        <f>LEN(R162)</f>
        <v>21</v>
      </c>
      <c r="T162" s="165">
        <v>59.5</v>
      </c>
    </row>
    <row r="163" spans="17:20" x14ac:dyDescent="0.25">
      <c r="Q163" s="71" t="s">
        <v>874</v>
      </c>
      <c r="R163" s="71" t="s">
        <v>875</v>
      </c>
      <c r="S163" s="165">
        <f t="shared" ref="S163:S167" si="10">LEN(R163)</f>
        <v>19</v>
      </c>
      <c r="T163" s="165">
        <v>55.1</v>
      </c>
    </row>
    <row r="164" spans="17:20" x14ac:dyDescent="0.25">
      <c r="Q164" s="71" t="s">
        <v>876</v>
      </c>
      <c r="R164" s="71" t="s">
        <v>877</v>
      </c>
      <c r="S164" s="165">
        <f t="shared" si="10"/>
        <v>21</v>
      </c>
      <c r="T164" s="165">
        <v>56.2</v>
      </c>
    </row>
    <row r="165" spans="17:20" x14ac:dyDescent="0.25">
      <c r="Q165" s="71" t="s">
        <v>878</v>
      </c>
      <c r="R165" s="71" t="s">
        <v>879</v>
      </c>
      <c r="S165" s="165">
        <f t="shared" si="10"/>
        <v>20</v>
      </c>
      <c r="T165" s="165">
        <v>54.5</v>
      </c>
    </row>
    <row r="166" spans="17:20" x14ac:dyDescent="0.25">
      <c r="Q166" s="71" t="s">
        <v>880</v>
      </c>
      <c r="R166" s="71" t="s">
        <v>881</v>
      </c>
      <c r="S166" s="165">
        <f t="shared" si="10"/>
        <v>20</v>
      </c>
      <c r="T166" s="165">
        <v>54.1</v>
      </c>
    </row>
    <row r="167" spans="17:20" x14ac:dyDescent="0.25">
      <c r="Q167" s="71" t="s">
        <v>882</v>
      </c>
      <c r="R167" s="71" t="s">
        <v>883</v>
      </c>
      <c r="S167" s="165">
        <f t="shared" si="10"/>
        <v>20</v>
      </c>
      <c r="T167" s="165">
        <v>55.7</v>
      </c>
    </row>
  </sheetData>
  <mergeCells count="8">
    <mergeCell ref="Q135:T141"/>
    <mergeCell ref="F130:G130"/>
    <mergeCell ref="D3:F3"/>
    <mergeCell ref="E4:G4"/>
    <mergeCell ref="F13:G13"/>
    <mergeCell ref="I44:J44"/>
    <mergeCell ref="D120:F120"/>
    <mergeCell ref="E121:G121"/>
  </mergeCells>
  <pageMargins left="0.7" right="0.7" top="0.75" bottom="0.75" header="0.3" footer="0.3"/>
  <pageSetup scale="20" orientation="landscape" horizontalDpi="300" verticalDpi="300" r:id="rId1"/>
  <drawing r:id="rId2"/>
  <tableParts count="2">
    <tablePart r:id="rId3"/>
    <tablePart r:id="rId4"/>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E0A0C-7937-499F-AB60-61B54792B850}">
  <sheetPr codeName="Sheet17">
    <pageSetUpPr fitToPage="1"/>
  </sheetPr>
  <dimension ref="A1:AN358"/>
  <sheetViews>
    <sheetView topLeftCell="A181" zoomScaleNormal="100" workbookViewId="0">
      <selection activeCell="V287" sqref="V287"/>
    </sheetView>
  </sheetViews>
  <sheetFormatPr defaultRowHeight="15" x14ac:dyDescent="0.25"/>
  <cols>
    <col min="35" max="35" width="12.85546875" customWidth="1"/>
    <col min="36" max="36" width="12.28515625" customWidth="1"/>
    <col min="38" max="38" width="15.28515625" customWidth="1"/>
    <col min="39" max="39" width="19" customWidth="1"/>
    <col min="40" max="40" width="16.42578125" customWidth="1"/>
  </cols>
  <sheetData>
    <row r="1" spans="1:8" x14ac:dyDescent="0.25">
      <c r="A1" s="165" t="s">
        <v>884</v>
      </c>
      <c r="B1" s="165"/>
      <c r="C1" s="165"/>
      <c r="D1" s="165"/>
      <c r="E1" s="165"/>
      <c r="F1" s="165"/>
      <c r="G1" s="165"/>
      <c r="H1" s="165"/>
    </row>
    <row r="2" spans="1:8" ht="15.75" thickBot="1" x14ac:dyDescent="0.3">
      <c r="A2" s="165"/>
      <c r="B2" s="165"/>
      <c r="C2" s="165"/>
      <c r="D2" s="165"/>
      <c r="E2" s="165"/>
      <c r="F2" s="165"/>
      <c r="G2" s="165"/>
      <c r="H2" s="165"/>
    </row>
    <row r="3" spans="1:8" x14ac:dyDescent="0.25">
      <c r="A3" s="123" t="s">
        <v>822</v>
      </c>
      <c r="B3" s="77"/>
      <c r="C3" s="77"/>
      <c r="D3" s="78" t="s">
        <v>125</v>
      </c>
      <c r="E3" s="79"/>
      <c r="F3" s="79"/>
      <c r="G3" s="80">
        <v>800</v>
      </c>
      <c r="H3" s="81"/>
    </row>
    <row r="4" spans="1:8" ht="15.75" thickBot="1" x14ac:dyDescent="0.3">
      <c r="A4" s="124" t="s">
        <v>126</v>
      </c>
      <c r="B4" s="165"/>
      <c r="C4" s="165"/>
      <c r="D4" s="306" t="s">
        <v>127</v>
      </c>
      <c r="E4" s="307"/>
      <c r="F4" s="307"/>
      <c r="G4" s="82">
        <v>5</v>
      </c>
      <c r="H4" s="83" t="s">
        <v>128</v>
      </c>
    </row>
    <row r="5" spans="1:8" x14ac:dyDescent="0.25">
      <c r="A5" s="125" t="s">
        <v>136</v>
      </c>
      <c r="B5" s="77">
        <v>25</v>
      </c>
      <c r="C5" s="77" t="s">
        <v>137</v>
      </c>
      <c r="D5" s="165"/>
      <c r="E5" s="308"/>
      <c r="F5" s="300"/>
      <c r="G5" s="300"/>
      <c r="H5" s="88"/>
    </row>
    <row r="6" spans="1:8" x14ac:dyDescent="0.25">
      <c r="A6" s="125" t="s">
        <v>138</v>
      </c>
      <c r="B6" s="77">
        <v>1000</v>
      </c>
      <c r="C6" s="77" t="s">
        <v>137</v>
      </c>
      <c r="D6" s="85"/>
      <c r="E6" s="165"/>
      <c r="F6" s="86"/>
      <c r="G6" s="87"/>
      <c r="H6" s="86"/>
    </row>
    <row r="7" spans="1:8" x14ac:dyDescent="0.25">
      <c r="A7" s="125" t="s">
        <v>139</v>
      </c>
      <c r="B7" s="77">
        <v>50</v>
      </c>
      <c r="C7" s="77" t="s">
        <v>140</v>
      </c>
      <c r="D7" s="165"/>
      <c r="E7" s="165"/>
      <c r="F7" s="86"/>
      <c r="G7" s="87"/>
      <c r="H7" s="86"/>
    </row>
    <row r="8" spans="1:8" x14ac:dyDescent="0.25">
      <c r="A8" s="125" t="s">
        <v>142</v>
      </c>
      <c r="B8" s="77">
        <v>50</v>
      </c>
      <c r="C8" s="77" t="s">
        <v>143</v>
      </c>
      <c r="D8" s="165"/>
      <c r="E8" s="165"/>
      <c r="F8" s="86"/>
      <c r="G8" s="87"/>
      <c r="H8" s="86"/>
    </row>
    <row r="9" spans="1:8" x14ac:dyDescent="0.25">
      <c r="A9" s="125" t="s">
        <v>144</v>
      </c>
      <c r="B9" s="77">
        <v>50</v>
      </c>
      <c r="C9" s="77" t="s">
        <v>145</v>
      </c>
      <c r="D9" s="85"/>
      <c r="E9" s="165"/>
      <c r="F9" s="86"/>
      <c r="G9" s="87"/>
      <c r="H9" s="86"/>
    </row>
    <row r="10" spans="1:8" x14ac:dyDescent="0.25">
      <c r="A10" s="125" t="s">
        <v>146</v>
      </c>
      <c r="B10" s="77">
        <v>10</v>
      </c>
      <c r="C10" s="77" t="s">
        <v>147</v>
      </c>
      <c r="D10" s="85"/>
      <c r="E10" s="165"/>
      <c r="F10" s="86"/>
      <c r="G10" s="87"/>
      <c r="H10" s="86"/>
    </row>
    <row r="11" spans="1:8" ht="75" x14ac:dyDescent="0.25">
      <c r="A11" s="126" t="s">
        <v>148</v>
      </c>
      <c r="B11" s="77">
        <v>45</v>
      </c>
      <c r="C11" s="77" t="s">
        <v>143</v>
      </c>
      <c r="D11" s="165"/>
      <c r="E11" s="165"/>
      <c r="F11" s="86"/>
      <c r="G11" s="87"/>
      <c r="H11" s="86"/>
    </row>
    <row r="12" spans="1:8" x14ac:dyDescent="0.25">
      <c r="A12" s="125"/>
      <c r="B12" s="77"/>
      <c r="C12" s="77"/>
      <c r="D12" s="165"/>
      <c r="E12" s="165"/>
      <c r="F12" s="165"/>
      <c r="G12" s="84"/>
      <c r="H12" s="165"/>
    </row>
    <row r="13" spans="1:8" ht="15.75" thickBot="1" x14ac:dyDescent="0.3">
      <c r="A13" s="105"/>
      <c r="B13" s="165"/>
      <c r="C13" s="165"/>
      <c r="D13" s="165"/>
      <c r="E13" s="165"/>
      <c r="F13" s="165"/>
      <c r="G13" s="84"/>
      <c r="H13" s="165"/>
    </row>
    <row r="14" spans="1:8" x14ac:dyDescent="0.25">
      <c r="A14" s="127" t="s">
        <v>50</v>
      </c>
      <c r="B14" s="128" t="s">
        <v>74</v>
      </c>
      <c r="C14" s="128"/>
      <c r="D14" s="128" t="s">
        <v>150</v>
      </c>
      <c r="E14" s="129"/>
      <c r="F14" s="318" t="s">
        <v>151</v>
      </c>
      <c r="G14" s="319"/>
      <c r="H14" s="165"/>
    </row>
    <row r="15" spans="1:8" x14ac:dyDescent="0.25">
      <c r="A15" s="130" t="s">
        <v>136</v>
      </c>
      <c r="B15" s="131">
        <v>0.25</v>
      </c>
      <c r="C15" s="131" t="s">
        <v>137</v>
      </c>
      <c r="D15" s="132">
        <f>32*B15/B5</f>
        <v>0.32</v>
      </c>
      <c r="E15" s="133" t="s">
        <v>56</v>
      </c>
      <c r="F15" s="132">
        <f>D15*($G$2+1+$G$3)</f>
        <v>256.32</v>
      </c>
      <c r="G15" s="134" t="str">
        <f t="shared" ref="G15:G22" si="0">E15</f>
        <v>uL</v>
      </c>
      <c r="H15" s="165"/>
    </row>
    <row r="16" spans="1:8" x14ac:dyDescent="0.25">
      <c r="A16" s="130" t="s">
        <v>139</v>
      </c>
      <c r="B16" s="131">
        <v>2.5</v>
      </c>
      <c r="C16" s="131" t="s">
        <v>52</v>
      </c>
      <c r="D16" s="132">
        <f>B16/B7</f>
        <v>0.05</v>
      </c>
      <c r="E16" s="133" t="s">
        <v>56</v>
      </c>
      <c r="F16" s="132">
        <f t="shared" ref="F16:F22" si="1">D16*($G$2+1+$G$3)</f>
        <v>40.050000000000004</v>
      </c>
      <c r="G16" s="134" t="str">
        <f t="shared" si="0"/>
        <v>uL</v>
      </c>
      <c r="H16" s="165"/>
    </row>
    <row r="17" spans="1:8" x14ac:dyDescent="0.25">
      <c r="A17" s="130" t="s">
        <v>138</v>
      </c>
      <c r="B17" s="131">
        <v>3.5</v>
      </c>
      <c r="C17" s="131" t="s">
        <v>137</v>
      </c>
      <c r="D17" s="132">
        <f>(20*(B17/B6))</f>
        <v>7.0000000000000007E-2</v>
      </c>
      <c r="E17" s="133" t="s">
        <v>56</v>
      </c>
      <c r="F17" s="132">
        <f t="shared" si="1"/>
        <v>56.070000000000007</v>
      </c>
      <c r="G17" s="134" t="str">
        <f t="shared" si="0"/>
        <v>uL</v>
      </c>
      <c r="H17" s="165"/>
    </row>
    <row r="18" spans="1:8" x14ac:dyDescent="0.25">
      <c r="A18" s="130" t="s">
        <v>142</v>
      </c>
      <c r="B18" s="131">
        <v>10</v>
      </c>
      <c r="C18" s="131" t="s">
        <v>143</v>
      </c>
      <c r="D18" s="132">
        <f>20*B18/B8</f>
        <v>4</v>
      </c>
      <c r="E18" s="133" t="s">
        <v>56</v>
      </c>
      <c r="F18" s="132">
        <f t="shared" si="1"/>
        <v>3204</v>
      </c>
      <c r="G18" s="134" t="str">
        <f t="shared" si="0"/>
        <v>uL</v>
      </c>
      <c r="H18" s="165"/>
    </row>
    <row r="19" spans="1:8" x14ac:dyDescent="0.25">
      <c r="A19" s="130" t="s">
        <v>144</v>
      </c>
      <c r="B19" s="131">
        <v>0.5</v>
      </c>
      <c r="C19" s="131" t="s">
        <v>145</v>
      </c>
      <c r="D19" s="132">
        <f>20*B19/B9</f>
        <v>0.2</v>
      </c>
      <c r="E19" s="133" t="s">
        <v>56</v>
      </c>
      <c r="F19" s="132">
        <f t="shared" si="1"/>
        <v>160.20000000000002</v>
      </c>
      <c r="G19" s="134" t="str">
        <f t="shared" si="0"/>
        <v>uL</v>
      </c>
      <c r="H19" s="165"/>
    </row>
    <row r="20" spans="1:8" x14ac:dyDescent="0.25">
      <c r="A20" s="130" t="s">
        <v>159</v>
      </c>
      <c r="B20" s="131">
        <v>1</v>
      </c>
      <c r="C20" s="131" t="s">
        <v>147</v>
      </c>
      <c r="D20" s="132">
        <f>20*B20/B10</f>
        <v>2</v>
      </c>
      <c r="E20" s="133" t="s">
        <v>56</v>
      </c>
      <c r="F20" s="132">
        <f t="shared" si="1"/>
        <v>1602</v>
      </c>
      <c r="G20" s="134" t="str">
        <f t="shared" si="0"/>
        <v>uL</v>
      </c>
      <c r="H20" s="165"/>
    </row>
    <row r="21" spans="1:8" x14ac:dyDescent="0.25">
      <c r="A21" s="130" t="s">
        <v>148</v>
      </c>
      <c r="B21" s="131">
        <v>5</v>
      </c>
      <c r="C21" s="131" t="s">
        <v>143</v>
      </c>
      <c r="D21" s="132">
        <f>20*B21/B11</f>
        <v>2.2222222222222223</v>
      </c>
      <c r="E21" s="133" t="s">
        <v>56</v>
      </c>
      <c r="F21" s="132">
        <f t="shared" si="1"/>
        <v>1780</v>
      </c>
      <c r="G21" s="134" t="str">
        <f t="shared" si="0"/>
        <v>uL</v>
      </c>
      <c r="H21" s="165"/>
    </row>
    <row r="22" spans="1:8" ht="15.75" thickBot="1" x14ac:dyDescent="0.3">
      <c r="A22" s="121" t="s">
        <v>161</v>
      </c>
      <c r="B22" s="122"/>
      <c r="C22" s="122"/>
      <c r="D22" s="135">
        <v>0</v>
      </c>
      <c r="E22" s="136" t="s">
        <v>56</v>
      </c>
      <c r="F22" s="138">
        <f t="shared" si="1"/>
        <v>0</v>
      </c>
      <c r="G22" s="137" t="str">
        <f t="shared" si="0"/>
        <v>uL</v>
      </c>
      <c r="H22" s="165"/>
    </row>
    <row r="23" spans="1:8" x14ac:dyDescent="0.25">
      <c r="A23" s="165"/>
      <c r="B23" s="165"/>
      <c r="C23" s="85" t="s">
        <v>162</v>
      </c>
      <c r="D23" s="85">
        <f>SUM(D15:D22)</f>
        <v>8.862222222222222</v>
      </c>
      <c r="E23" s="85" t="s">
        <v>56</v>
      </c>
      <c r="F23" s="85">
        <f>SUM(F15:F22)</f>
        <v>7098.6399999999994</v>
      </c>
      <c r="G23" s="85" t="s">
        <v>56</v>
      </c>
      <c r="H23" s="165"/>
    </row>
    <row r="25" spans="1:8" ht="15.75" thickBot="1" x14ac:dyDescent="0.3">
      <c r="A25" s="165"/>
      <c r="B25" s="165"/>
      <c r="C25" s="165"/>
      <c r="D25" s="165"/>
      <c r="E25" s="165"/>
      <c r="F25" s="165"/>
      <c r="G25" s="165"/>
      <c r="H25" s="165"/>
    </row>
    <row r="26" spans="1:8" x14ac:dyDescent="0.25">
      <c r="A26" s="91" t="s">
        <v>50</v>
      </c>
      <c r="B26" s="92" t="s">
        <v>74</v>
      </c>
      <c r="C26" s="92" t="s">
        <v>52</v>
      </c>
      <c r="D26" s="92" t="s">
        <v>75</v>
      </c>
      <c r="E26" s="93">
        <v>74</v>
      </c>
      <c r="F26" s="165"/>
      <c r="G26" s="165"/>
      <c r="H26" s="165"/>
    </row>
    <row r="27" spans="1:8" x14ac:dyDescent="0.25">
      <c r="A27" s="94" t="s">
        <v>76</v>
      </c>
      <c r="B27" s="95"/>
      <c r="C27" s="95"/>
      <c r="D27" s="96">
        <f>D23</f>
        <v>8.862222222222222</v>
      </c>
      <c r="E27" s="96">
        <f>D27*$E$26</f>
        <v>655.80444444444447</v>
      </c>
      <c r="F27" s="165"/>
      <c r="G27" s="165"/>
      <c r="H27" s="165"/>
    </row>
    <row r="28" spans="1:8" x14ac:dyDescent="0.25">
      <c r="A28" s="165" t="s">
        <v>113</v>
      </c>
      <c r="B28" s="165" t="s">
        <v>114</v>
      </c>
      <c r="C28" s="95"/>
      <c r="D28" s="96">
        <f>0.25*20/10</f>
        <v>0.5</v>
      </c>
      <c r="E28" s="96">
        <f t="shared" ref="E28:E32" si="2">D28*$E$26</f>
        <v>37</v>
      </c>
      <c r="F28" s="165"/>
      <c r="G28" s="165"/>
      <c r="H28" s="165"/>
    </row>
    <row r="29" spans="1:8" x14ac:dyDescent="0.25">
      <c r="A29" s="55" t="s">
        <v>115</v>
      </c>
      <c r="B29" s="110" t="s">
        <v>114</v>
      </c>
      <c r="C29" s="115"/>
      <c r="D29" s="96">
        <f>0.25*20/10</f>
        <v>0.5</v>
      </c>
      <c r="E29" s="96">
        <f t="shared" si="2"/>
        <v>37</v>
      </c>
      <c r="F29" s="165"/>
      <c r="G29" s="165"/>
      <c r="H29" s="165"/>
    </row>
    <row r="30" spans="1:8" x14ac:dyDescent="0.25">
      <c r="A30" s="55" t="s">
        <v>116</v>
      </c>
      <c r="B30" s="110" t="s">
        <v>117</v>
      </c>
      <c r="C30" s="115"/>
      <c r="D30" s="96">
        <f>0.5*20/10</f>
        <v>1</v>
      </c>
      <c r="E30" s="96">
        <f t="shared" si="2"/>
        <v>74</v>
      </c>
      <c r="F30" s="165"/>
      <c r="G30" s="165"/>
      <c r="H30" s="165"/>
    </row>
    <row r="31" spans="1:8" x14ac:dyDescent="0.25">
      <c r="A31" s="111" t="s">
        <v>79</v>
      </c>
      <c r="B31" s="110"/>
      <c r="C31" s="165"/>
      <c r="D31" s="96">
        <f>18-SUM(D27:D30)</f>
        <v>7.137777777777778</v>
      </c>
      <c r="E31" s="96">
        <f t="shared" si="2"/>
        <v>528.19555555555553</v>
      </c>
      <c r="F31" s="165"/>
      <c r="G31" s="165"/>
      <c r="H31" s="165"/>
    </row>
    <row r="32" spans="1:8" ht="15.75" thickBot="1" x14ac:dyDescent="0.3">
      <c r="A32" s="97" t="s">
        <v>80</v>
      </c>
      <c r="B32" s="98"/>
      <c r="C32" s="98"/>
      <c r="D32" s="99">
        <f>SUM(D27:D31)</f>
        <v>18</v>
      </c>
      <c r="E32" s="96">
        <f t="shared" si="2"/>
        <v>1332</v>
      </c>
      <c r="F32" s="165"/>
      <c r="G32" s="165"/>
      <c r="H32" s="165"/>
    </row>
    <row r="34" spans="1:40" x14ac:dyDescent="0.25">
      <c r="A34" s="165" t="s">
        <v>885</v>
      </c>
      <c r="B34" s="165"/>
      <c r="C34" s="165"/>
      <c r="D34" s="165"/>
      <c r="E34" s="165"/>
      <c r="F34" s="165"/>
      <c r="G34" s="165"/>
      <c r="H34" s="165"/>
      <c r="I34" s="165"/>
      <c r="J34" s="165"/>
      <c r="K34" s="165"/>
      <c r="L34" s="165"/>
      <c r="M34" s="165"/>
      <c r="N34" s="165"/>
      <c r="O34" s="165"/>
      <c r="P34" s="300" t="s">
        <v>886</v>
      </c>
      <c r="Q34" s="300"/>
      <c r="R34" s="300"/>
      <c r="S34" s="300"/>
      <c r="T34" s="300"/>
      <c r="U34" s="175"/>
      <c r="V34" s="165"/>
      <c r="W34" s="165"/>
      <c r="X34" s="165"/>
      <c r="Y34" s="165"/>
      <c r="Z34" s="165"/>
      <c r="AA34" s="165"/>
    </row>
    <row r="35" spans="1:40" ht="45" x14ac:dyDescent="0.25">
      <c r="A35" s="165" t="s">
        <v>198</v>
      </c>
      <c r="B35" s="165" t="s">
        <v>199</v>
      </c>
      <c r="C35" s="165" t="s">
        <v>200</v>
      </c>
      <c r="D35" s="165" t="s">
        <v>201</v>
      </c>
      <c r="E35" s="165" t="s">
        <v>202</v>
      </c>
      <c r="F35" s="165" t="s">
        <v>203</v>
      </c>
      <c r="G35" s="165" t="s">
        <v>887</v>
      </c>
      <c r="H35" s="165" t="s">
        <v>198</v>
      </c>
      <c r="I35" s="165" t="s">
        <v>199</v>
      </c>
      <c r="J35" s="165" t="s">
        <v>200</v>
      </c>
      <c r="K35" s="165" t="s">
        <v>201</v>
      </c>
      <c r="L35" s="165" t="s">
        <v>202</v>
      </c>
      <c r="M35" s="165" t="s">
        <v>203</v>
      </c>
      <c r="N35" s="165" t="s">
        <v>887</v>
      </c>
      <c r="O35" s="165"/>
      <c r="P35" s="90" t="s">
        <v>20</v>
      </c>
      <c r="Q35" s="90" t="s">
        <v>21</v>
      </c>
      <c r="R35" s="90" t="s">
        <v>22</v>
      </c>
      <c r="S35" s="90" t="s">
        <v>23</v>
      </c>
      <c r="T35" s="90" t="s">
        <v>24</v>
      </c>
      <c r="U35" s="90" t="s">
        <v>888</v>
      </c>
      <c r="V35" s="165" t="s">
        <v>889</v>
      </c>
      <c r="W35" s="165" t="s">
        <v>887</v>
      </c>
      <c r="X35" s="90" t="s">
        <v>227</v>
      </c>
      <c r="Y35" s="165" t="s">
        <v>890</v>
      </c>
      <c r="Z35" s="165" t="s">
        <v>887</v>
      </c>
      <c r="AA35" s="90" t="s">
        <v>227</v>
      </c>
      <c r="AI35" s="90" t="s">
        <v>20</v>
      </c>
      <c r="AJ35" s="90" t="s">
        <v>21</v>
      </c>
      <c r="AK35" s="90" t="s">
        <v>22</v>
      </c>
      <c r="AL35" s="90" t="s">
        <v>23</v>
      </c>
      <c r="AM35" s="90" t="s">
        <v>24</v>
      </c>
      <c r="AN35" s="90" t="s">
        <v>888</v>
      </c>
    </row>
    <row r="36" spans="1:40" x14ac:dyDescent="0.25">
      <c r="A36" s="165" t="s">
        <v>204</v>
      </c>
      <c r="B36" s="165" t="s">
        <v>205</v>
      </c>
      <c r="C36" s="165" t="s">
        <v>206</v>
      </c>
      <c r="D36" s="165" t="s">
        <v>809</v>
      </c>
      <c r="E36" s="165" t="s">
        <v>220</v>
      </c>
      <c r="F36" s="165">
        <f>AVERAGE(E37:E40)</f>
        <v>7.1566666666666663</v>
      </c>
      <c r="G36" s="165">
        <f>STDEV(E37:E40)</f>
        <v>0.11590225767142497</v>
      </c>
      <c r="H36" s="165" t="s">
        <v>204</v>
      </c>
      <c r="I36" s="165" t="s">
        <v>205</v>
      </c>
      <c r="J36" s="165" t="s">
        <v>206</v>
      </c>
      <c r="K36" s="165" t="s">
        <v>809</v>
      </c>
      <c r="L36" s="165" t="s">
        <v>220</v>
      </c>
      <c r="M36" s="165">
        <f>AVERAGE(L37:L40)</f>
        <v>8.1166666666666671</v>
      </c>
      <c r="N36" s="165">
        <f>STDEV(L37:L40)</f>
        <v>0.42063444144926326</v>
      </c>
      <c r="O36" s="165"/>
      <c r="P36" s="89" t="s">
        <v>29</v>
      </c>
      <c r="Q36" s="84">
        <v>100</v>
      </c>
      <c r="R36" s="165">
        <f>Q36*1000000</f>
        <v>100000000</v>
      </c>
      <c r="S36" s="89"/>
      <c r="T36" s="89"/>
      <c r="U36" s="89"/>
      <c r="V36" s="165"/>
      <c r="W36" s="165"/>
      <c r="X36" s="165"/>
      <c r="Y36" s="165"/>
      <c r="Z36" s="165"/>
      <c r="AA36" s="165"/>
      <c r="AI36" s="89" t="s">
        <v>29</v>
      </c>
      <c r="AJ36" s="84">
        <v>100</v>
      </c>
      <c r="AK36" s="165">
        <f>AJ36*1000000</f>
        <v>100000000</v>
      </c>
      <c r="AL36" s="89"/>
      <c r="AM36" s="89"/>
      <c r="AN36" s="89"/>
    </row>
    <row r="37" spans="1:40" x14ac:dyDescent="0.25">
      <c r="A37" s="165" t="s">
        <v>211</v>
      </c>
      <c r="B37" s="165" t="s">
        <v>205</v>
      </c>
      <c r="C37" s="165" t="s">
        <v>206</v>
      </c>
      <c r="D37" s="165" t="s">
        <v>809</v>
      </c>
      <c r="E37" s="165">
        <v>7.28</v>
      </c>
      <c r="F37" s="165"/>
      <c r="G37" s="165"/>
      <c r="H37" s="165" t="s">
        <v>211</v>
      </c>
      <c r="I37" s="165" t="s">
        <v>205</v>
      </c>
      <c r="J37" s="165" t="s">
        <v>206</v>
      </c>
      <c r="K37" s="165" t="s">
        <v>809</v>
      </c>
      <c r="L37" s="165">
        <v>8.5500000000000007</v>
      </c>
      <c r="M37" s="165"/>
      <c r="N37" s="165"/>
      <c r="O37" s="165"/>
      <c r="P37" s="165" t="s">
        <v>744</v>
      </c>
      <c r="Q37" s="165">
        <f>Q36/100</f>
        <v>1</v>
      </c>
      <c r="R37" s="165">
        <f t="shared" ref="R37:R52" si="3">Q37*1000000</f>
        <v>1000000</v>
      </c>
      <c r="S37" s="89">
        <f>Q36*0.00001/1000000*6.022E+23</f>
        <v>602200000000000.13</v>
      </c>
      <c r="T37" s="89">
        <f>S37/1000*2</f>
        <v>1204400000000.0002</v>
      </c>
      <c r="U37" s="89"/>
      <c r="V37" s="165"/>
      <c r="W37" s="165"/>
      <c r="X37" s="165"/>
      <c r="Y37" s="165"/>
      <c r="Z37" s="165"/>
      <c r="AA37" s="165"/>
      <c r="AI37" s="165" t="s">
        <v>744</v>
      </c>
      <c r="AJ37" s="165">
        <f>AJ36/100</f>
        <v>1</v>
      </c>
      <c r="AK37" s="165">
        <f t="shared" ref="AK37:AK52" si="4">AJ37*1000000</f>
        <v>1000000</v>
      </c>
      <c r="AL37" s="89">
        <f>AJ36*0.00001/1000000*6.022E+23</f>
        <v>602200000000000.13</v>
      </c>
      <c r="AM37" s="89">
        <f>AL37/1000*2</f>
        <v>1204400000000.0002</v>
      </c>
      <c r="AN37" s="89"/>
    </row>
    <row r="38" spans="1:40" x14ac:dyDescent="0.25">
      <c r="A38" s="165" t="s">
        <v>212</v>
      </c>
      <c r="B38" s="165" t="s">
        <v>205</v>
      </c>
      <c r="C38" s="165" t="s">
        <v>206</v>
      </c>
      <c r="D38" s="165" t="s">
        <v>809</v>
      </c>
      <c r="E38" s="165">
        <v>7.14</v>
      </c>
      <c r="F38" s="165"/>
      <c r="G38" s="165"/>
      <c r="H38" s="165" t="s">
        <v>212</v>
      </c>
      <c r="I38" s="165" t="s">
        <v>205</v>
      </c>
      <c r="J38" s="165" t="s">
        <v>206</v>
      </c>
      <c r="K38" s="165" t="s">
        <v>809</v>
      </c>
      <c r="L38" s="165">
        <v>8.09</v>
      </c>
      <c r="M38" s="165"/>
      <c r="N38" s="165"/>
      <c r="O38" s="165"/>
      <c r="P38" s="165" t="s">
        <v>30</v>
      </c>
      <c r="Q38" s="165">
        <f t="shared" ref="Q38:Q52" si="5">Q37/10</f>
        <v>0.1</v>
      </c>
      <c r="R38" s="165">
        <f t="shared" si="3"/>
        <v>100000</v>
      </c>
      <c r="S38" s="165">
        <f t="shared" ref="S38:S52" si="6">S37/10</f>
        <v>60220000000000.016</v>
      </c>
      <c r="T38" s="165">
        <f t="shared" ref="T38:T52" si="7">S38/1000*2</f>
        <v>120440000000.00003</v>
      </c>
      <c r="U38" s="165">
        <f>LOG(T38)</f>
        <v>11.080770746840722</v>
      </c>
      <c r="V38" s="165">
        <f>F36</f>
        <v>7.1566666666666663</v>
      </c>
      <c r="W38" s="165">
        <f>G36</f>
        <v>0.11590225767142497</v>
      </c>
      <c r="X38" s="165">
        <f>2*W38</f>
        <v>0.23180451534284993</v>
      </c>
      <c r="Y38" s="165">
        <f>M36</f>
        <v>8.1166666666666671</v>
      </c>
      <c r="Z38" s="165">
        <f>N36</f>
        <v>0.42063444144926326</v>
      </c>
      <c r="AA38" s="165">
        <f>2*Z38</f>
        <v>0.84126888289852653</v>
      </c>
      <c r="AI38" s="165" t="s">
        <v>30</v>
      </c>
      <c r="AJ38" s="165">
        <f t="shared" ref="AJ38:AJ52" si="8">AJ37/10</f>
        <v>0.1</v>
      </c>
      <c r="AK38" s="165">
        <f t="shared" si="4"/>
        <v>100000</v>
      </c>
      <c r="AL38" s="165">
        <f t="shared" ref="AL38:AL52" si="9">AL37/10</f>
        <v>60220000000000.016</v>
      </c>
      <c r="AM38" s="165">
        <f t="shared" ref="AM38:AM52" si="10">AL38/1000*2</f>
        <v>120440000000.00003</v>
      </c>
      <c r="AN38" s="165">
        <f>LOG(AM38)</f>
        <v>11.080770746840722</v>
      </c>
    </row>
    <row r="39" spans="1:40" x14ac:dyDescent="0.25">
      <c r="A39" s="165" t="s">
        <v>213</v>
      </c>
      <c r="B39" s="165" t="s">
        <v>205</v>
      </c>
      <c r="C39" s="165" t="s">
        <v>206</v>
      </c>
      <c r="D39" s="165" t="s">
        <v>809</v>
      </c>
      <c r="E39" s="165">
        <v>7.05</v>
      </c>
      <c r="F39" s="165"/>
      <c r="G39" s="165"/>
      <c r="H39" s="165" t="s">
        <v>213</v>
      </c>
      <c r="I39" s="165" t="s">
        <v>205</v>
      </c>
      <c r="J39" s="165" t="s">
        <v>206</v>
      </c>
      <c r="K39" s="165" t="s">
        <v>809</v>
      </c>
      <c r="L39" s="165">
        <v>7.71</v>
      </c>
      <c r="M39" s="165"/>
      <c r="N39" s="165"/>
      <c r="O39" s="165"/>
      <c r="P39" s="165" t="s">
        <v>31</v>
      </c>
      <c r="Q39" s="165">
        <f t="shared" si="5"/>
        <v>0.01</v>
      </c>
      <c r="R39" s="165">
        <f t="shared" si="3"/>
        <v>10000</v>
      </c>
      <c r="S39" s="165">
        <f t="shared" si="6"/>
        <v>6022000000000.002</v>
      </c>
      <c r="T39" s="165">
        <f t="shared" si="7"/>
        <v>12044000000.000004</v>
      </c>
      <c r="U39" s="165">
        <f t="shared" ref="U39:U52" si="11">LOG(T39)</f>
        <v>10.080770746840722</v>
      </c>
      <c r="V39" s="165">
        <f>F48</f>
        <v>10.3725</v>
      </c>
      <c r="W39" s="165">
        <f>G48</f>
        <v>0.44984256505285686</v>
      </c>
      <c r="X39" s="165">
        <f t="shared" ref="X39:X52" si="12">2*W39</f>
        <v>0.89968513010571372</v>
      </c>
      <c r="Y39" s="165">
        <f>M48</f>
        <v>11.295</v>
      </c>
      <c r="Z39" s="165">
        <f>N48</f>
        <v>0.46943228123624692</v>
      </c>
      <c r="AA39" s="165">
        <f t="shared" ref="AA39:AA52" si="13">2*Z39</f>
        <v>0.93886456247249384</v>
      </c>
      <c r="AI39" s="165" t="s">
        <v>31</v>
      </c>
      <c r="AJ39" s="165">
        <f t="shared" si="8"/>
        <v>0.01</v>
      </c>
      <c r="AK39" s="165">
        <f t="shared" si="4"/>
        <v>10000</v>
      </c>
      <c r="AL39" s="165">
        <f t="shared" si="9"/>
        <v>6022000000000.002</v>
      </c>
      <c r="AM39" s="165">
        <f t="shared" si="10"/>
        <v>12044000000.000004</v>
      </c>
      <c r="AN39" s="165">
        <f t="shared" ref="AN39:AN52" si="14">LOG(AM39)</f>
        <v>10.080770746840722</v>
      </c>
    </row>
    <row r="40" spans="1:40" x14ac:dyDescent="0.25">
      <c r="A40" s="165" t="s">
        <v>214</v>
      </c>
      <c r="B40" s="165" t="s">
        <v>205</v>
      </c>
      <c r="C40" s="165" t="s">
        <v>206</v>
      </c>
      <c r="D40" s="165" t="s">
        <v>809</v>
      </c>
      <c r="E40" s="165" t="s">
        <v>220</v>
      </c>
      <c r="F40" s="165"/>
      <c r="G40" s="165"/>
      <c r="H40" s="165" t="s">
        <v>214</v>
      </c>
      <c r="I40" s="165" t="s">
        <v>205</v>
      </c>
      <c r="J40" s="165" t="s">
        <v>206</v>
      </c>
      <c r="K40" s="165" t="s">
        <v>809</v>
      </c>
      <c r="L40" s="165" t="s">
        <v>220</v>
      </c>
      <c r="M40" s="165"/>
      <c r="N40" s="165"/>
      <c r="O40" s="165"/>
      <c r="P40" s="165" t="s">
        <v>32</v>
      </c>
      <c r="Q40" s="165">
        <f t="shared" si="5"/>
        <v>1E-3</v>
      </c>
      <c r="R40" s="165">
        <f t="shared" si="3"/>
        <v>1000</v>
      </c>
      <c r="S40" s="165">
        <f t="shared" si="6"/>
        <v>602200000000.00024</v>
      </c>
      <c r="T40" s="165">
        <f t="shared" si="7"/>
        <v>1204400000.0000005</v>
      </c>
      <c r="U40" s="165">
        <f t="shared" si="11"/>
        <v>9.0807707468407219</v>
      </c>
      <c r="V40" s="165">
        <f>F60</f>
        <v>14.1075</v>
      </c>
      <c r="W40" s="165">
        <f>G60</f>
        <v>0.92478375850790151</v>
      </c>
      <c r="X40" s="165">
        <f t="shared" si="12"/>
        <v>1.849567517015803</v>
      </c>
      <c r="Y40" s="165">
        <f>M60</f>
        <v>15.2775</v>
      </c>
      <c r="Z40" s="165">
        <f>N60</f>
        <v>0.94008421608563009</v>
      </c>
      <c r="AA40" s="165">
        <f t="shared" si="13"/>
        <v>1.8801684321712602</v>
      </c>
      <c r="AI40" s="165" t="s">
        <v>32</v>
      </c>
      <c r="AJ40" s="165">
        <f t="shared" si="8"/>
        <v>1E-3</v>
      </c>
      <c r="AK40" s="165">
        <f t="shared" si="4"/>
        <v>1000</v>
      </c>
      <c r="AL40" s="165">
        <f t="shared" si="9"/>
        <v>602200000000.00024</v>
      </c>
      <c r="AM40" s="165">
        <f t="shared" si="10"/>
        <v>1204400000.0000005</v>
      </c>
      <c r="AN40" s="165">
        <f t="shared" si="14"/>
        <v>9.0807707468407219</v>
      </c>
    </row>
    <row r="41" spans="1:40" x14ac:dyDescent="0.25">
      <c r="A41" s="165" t="s">
        <v>215</v>
      </c>
      <c r="B41" s="165" t="s">
        <v>205</v>
      </c>
      <c r="C41" s="165" t="s">
        <v>206</v>
      </c>
      <c r="D41" s="165" t="s">
        <v>809</v>
      </c>
      <c r="E41" s="165">
        <v>31.88</v>
      </c>
      <c r="F41" s="165">
        <f>AVERAGE(E42:E45)</f>
        <v>30.375</v>
      </c>
      <c r="G41" s="165">
        <f>STDEV(E42:E45)</f>
        <v>0.22397916569776519</v>
      </c>
      <c r="H41" s="165" t="s">
        <v>215</v>
      </c>
      <c r="I41" s="165" t="s">
        <v>205</v>
      </c>
      <c r="J41" s="165" t="s">
        <v>206</v>
      </c>
      <c r="K41" s="165" t="s">
        <v>809</v>
      </c>
      <c r="L41" s="165">
        <v>36.06</v>
      </c>
      <c r="M41" s="165">
        <f>AVERAGE(L42:L45)</f>
        <v>35.402500000000003</v>
      </c>
      <c r="N41" s="165">
        <f>STDEV(L42:L45)</f>
        <v>0.33480093588080923</v>
      </c>
      <c r="O41" s="165"/>
      <c r="P41" s="165" t="s">
        <v>33</v>
      </c>
      <c r="Q41" s="165">
        <f t="shared" si="5"/>
        <v>1E-4</v>
      </c>
      <c r="R41" s="165">
        <f t="shared" si="3"/>
        <v>100</v>
      </c>
      <c r="S41" s="165">
        <f t="shared" si="6"/>
        <v>60220000000.000023</v>
      </c>
      <c r="T41" s="165">
        <f t="shared" si="7"/>
        <v>120440000.00000004</v>
      </c>
      <c r="U41" s="165">
        <f t="shared" si="11"/>
        <v>8.0807707468407219</v>
      </c>
      <c r="V41" s="165">
        <f>F72</f>
        <v>17.272500000000001</v>
      </c>
      <c r="W41" s="165">
        <f>G72</f>
        <v>0.75975324941720412</v>
      </c>
      <c r="X41" s="165">
        <f t="shared" si="12"/>
        <v>1.5195064988344082</v>
      </c>
      <c r="Y41" s="165">
        <f>M72</f>
        <v>18.119999999999997</v>
      </c>
      <c r="Z41" s="165">
        <f>N72</f>
        <v>0.56077327563523027</v>
      </c>
      <c r="AA41" s="165">
        <f t="shared" si="13"/>
        <v>1.1215465512704605</v>
      </c>
      <c r="AI41" s="165" t="s">
        <v>33</v>
      </c>
      <c r="AJ41" s="165">
        <f t="shared" si="8"/>
        <v>1E-4</v>
      </c>
      <c r="AK41" s="165">
        <f t="shared" si="4"/>
        <v>100</v>
      </c>
      <c r="AL41" s="165">
        <f t="shared" si="9"/>
        <v>60220000000.000023</v>
      </c>
      <c r="AM41" s="165">
        <f t="shared" si="10"/>
        <v>120440000.00000004</v>
      </c>
      <c r="AN41" s="165">
        <f t="shared" si="14"/>
        <v>8.0807707468407219</v>
      </c>
    </row>
    <row r="42" spans="1:40" x14ac:dyDescent="0.25">
      <c r="A42" s="165" t="s">
        <v>216</v>
      </c>
      <c r="B42" s="165" t="s">
        <v>205</v>
      </c>
      <c r="C42" s="165" t="s">
        <v>206</v>
      </c>
      <c r="D42" s="165" t="s">
        <v>809</v>
      </c>
      <c r="E42" s="165">
        <v>30.59</v>
      </c>
      <c r="F42" s="165"/>
      <c r="G42" s="165"/>
      <c r="H42" s="165" t="s">
        <v>216</v>
      </c>
      <c r="I42" s="165" t="s">
        <v>205</v>
      </c>
      <c r="J42" s="165" t="s">
        <v>206</v>
      </c>
      <c r="K42" s="165" t="s">
        <v>809</v>
      </c>
      <c r="L42" s="165">
        <v>35.47</v>
      </c>
      <c r="M42" s="165"/>
      <c r="N42" s="165"/>
      <c r="O42" s="165"/>
      <c r="P42" s="165" t="s">
        <v>34</v>
      </c>
      <c r="Q42" s="165">
        <f t="shared" si="5"/>
        <v>1.0000000000000001E-5</v>
      </c>
      <c r="R42" s="165">
        <f t="shared" si="3"/>
        <v>10</v>
      </c>
      <c r="S42" s="165">
        <f t="shared" si="6"/>
        <v>6022000000.0000019</v>
      </c>
      <c r="T42" s="165">
        <f t="shared" si="7"/>
        <v>12044000.000000004</v>
      </c>
      <c r="U42" s="165">
        <f t="shared" si="11"/>
        <v>7.0807707468407219</v>
      </c>
      <c r="V42" s="165">
        <f>F84</f>
        <v>20.392499999999998</v>
      </c>
      <c r="W42" s="165">
        <f>G84</f>
        <v>0.54125625477525252</v>
      </c>
      <c r="X42" s="165">
        <f t="shared" si="12"/>
        <v>1.082512509550505</v>
      </c>
      <c r="Y42" s="165">
        <f>M84</f>
        <v>22.032500000000002</v>
      </c>
      <c r="Z42" s="165">
        <f>N84</f>
        <v>0.75066081998907186</v>
      </c>
      <c r="AA42" s="165">
        <f t="shared" si="13"/>
        <v>1.5013216399781437</v>
      </c>
      <c r="AI42" s="165" t="s">
        <v>34</v>
      </c>
      <c r="AJ42" s="165">
        <f t="shared" si="8"/>
        <v>1.0000000000000001E-5</v>
      </c>
      <c r="AK42" s="165">
        <f t="shared" si="4"/>
        <v>10</v>
      </c>
      <c r="AL42" s="165">
        <f t="shared" si="9"/>
        <v>6022000000.0000019</v>
      </c>
      <c r="AM42" s="165">
        <f t="shared" si="10"/>
        <v>12044000.000000004</v>
      </c>
      <c r="AN42" s="165">
        <f t="shared" si="14"/>
        <v>7.0807707468407219</v>
      </c>
    </row>
    <row r="43" spans="1:40" x14ac:dyDescent="0.25">
      <c r="A43" s="165" t="s">
        <v>217</v>
      </c>
      <c r="B43" s="165" t="s">
        <v>205</v>
      </c>
      <c r="C43" s="165" t="s">
        <v>206</v>
      </c>
      <c r="D43" s="165" t="s">
        <v>809</v>
      </c>
      <c r="E43" s="165">
        <v>30.43</v>
      </c>
      <c r="F43" s="165"/>
      <c r="G43" s="165"/>
      <c r="H43" s="165" t="s">
        <v>217</v>
      </c>
      <c r="I43" s="165" t="s">
        <v>205</v>
      </c>
      <c r="J43" s="165" t="s">
        <v>206</v>
      </c>
      <c r="K43" s="165" t="s">
        <v>809</v>
      </c>
      <c r="L43" s="165">
        <v>34.92</v>
      </c>
      <c r="M43" s="165"/>
      <c r="N43" s="165"/>
      <c r="O43" s="165"/>
      <c r="P43" s="165" t="s">
        <v>35</v>
      </c>
      <c r="Q43" s="165">
        <f t="shared" si="5"/>
        <v>1.0000000000000002E-6</v>
      </c>
      <c r="R43" s="165">
        <f t="shared" si="3"/>
        <v>1.0000000000000002</v>
      </c>
      <c r="S43" s="165">
        <f t="shared" si="6"/>
        <v>602200000.00000024</v>
      </c>
      <c r="T43" s="165">
        <f t="shared" si="7"/>
        <v>1204400.0000000005</v>
      </c>
      <c r="U43" s="165">
        <f t="shared" si="11"/>
        <v>6.0807707468407219</v>
      </c>
      <c r="V43" s="165">
        <f>F96</f>
        <v>24.05</v>
      </c>
      <c r="W43" s="165">
        <f>G96</f>
        <v>0.86305658369927651</v>
      </c>
      <c r="X43" s="165">
        <f t="shared" si="12"/>
        <v>1.726113167398553</v>
      </c>
      <c r="Y43" s="165">
        <f>M96</f>
        <v>24.842500000000001</v>
      </c>
      <c r="Z43" s="165">
        <f>N96</f>
        <v>0.52531736439350118</v>
      </c>
      <c r="AA43" s="165">
        <f t="shared" si="13"/>
        <v>1.0506347287870024</v>
      </c>
      <c r="AI43" s="165" t="s">
        <v>35</v>
      </c>
      <c r="AJ43" s="165">
        <f t="shared" si="8"/>
        <v>1.0000000000000002E-6</v>
      </c>
      <c r="AK43" s="165">
        <f t="shared" si="4"/>
        <v>1.0000000000000002</v>
      </c>
      <c r="AL43" s="165">
        <f t="shared" si="9"/>
        <v>602200000.00000024</v>
      </c>
      <c r="AM43" s="165">
        <f t="shared" si="10"/>
        <v>1204400.0000000005</v>
      </c>
      <c r="AN43" s="165">
        <f t="shared" si="14"/>
        <v>6.0807707468407219</v>
      </c>
    </row>
    <row r="44" spans="1:40" x14ac:dyDescent="0.25">
      <c r="A44" s="165" t="s">
        <v>218</v>
      </c>
      <c r="B44" s="165" t="s">
        <v>205</v>
      </c>
      <c r="C44" s="165" t="s">
        <v>206</v>
      </c>
      <c r="D44" s="165" t="s">
        <v>809</v>
      </c>
      <c r="E44" s="165">
        <v>30.42</v>
      </c>
      <c r="F44" s="165"/>
      <c r="G44" s="165"/>
      <c r="H44" s="165" t="s">
        <v>218</v>
      </c>
      <c r="I44" s="165" t="s">
        <v>205</v>
      </c>
      <c r="J44" s="165" t="s">
        <v>206</v>
      </c>
      <c r="K44" s="165" t="s">
        <v>809</v>
      </c>
      <c r="L44" s="165">
        <v>35.53</v>
      </c>
      <c r="M44" s="165"/>
      <c r="N44" s="165"/>
      <c r="O44" s="165"/>
      <c r="P44" s="165" t="s">
        <v>36</v>
      </c>
      <c r="Q44" s="165">
        <f t="shared" si="5"/>
        <v>1.0000000000000002E-7</v>
      </c>
      <c r="R44" s="165">
        <f t="shared" si="3"/>
        <v>0.10000000000000002</v>
      </c>
      <c r="S44" s="165">
        <f t="shared" si="6"/>
        <v>60220000.000000022</v>
      </c>
      <c r="T44" s="165">
        <f t="shared" si="7"/>
        <v>120440.00000000004</v>
      </c>
      <c r="U44" s="165">
        <f t="shared" si="11"/>
        <v>5.0807707468407219</v>
      </c>
      <c r="V44" s="165">
        <f>F108</f>
        <v>26.837500000000002</v>
      </c>
      <c r="W44" s="165">
        <f>G108</f>
        <v>0.4055757224818401</v>
      </c>
      <c r="X44" s="165">
        <f t="shared" si="12"/>
        <v>0.81115144496368019</v>
      </c>
      <c r="Y44" s="165">
        <f>M108</f>
        <v>28.375</v>
      </c>
      <c r="Z44" s="165">
        <f>N108</f>
        <v>0.46508063816933848</v>
      </c>
      <c r="AA44" s="165">
        <f t="shared" si="13"/>
        <v>0.93016127633867696</v>
      </c>
      <c r="AI44" s="165" t="s">
        <v>36</v>
      </c>
      <c r="AJ44" s="165">
        <f t="shared" si="8"/>
        <v>1.0000000000000002E-7</v>
      </c>
      <c r="AK44" s="165">
        <f t="shared" si="4"/>
        <v>0.10000000000000002</v>
      </c>
      <c r="AL44" s="165">
        <f t="shared" si="9"/>
        <v>60220000.000000022</v>
      </c>
      <c r="AM44" s="165">
        <f t="shared" si="10"/>
        <v>120440.00000000004</v>
      </c>
      <c r="AN44" s="165">
        <f t="shared" si="14"/>
        <v>5.0807707468407219</v>
      </c>
    </row>
    <row r="45" spans="1:40" x14ac:dyDescent="0.25">
      <c r="A45" s="165" t="s">
        <v>219</v>
      </c>
      <c r="B45" s="165" t="s">
        <v>205</v>
      </c>
      <c r="C45" s="165" t="s">
        <v>206</v>
      </c>
      <c r="D45" s="165" t="s">
        <v>809</v>
      </c>
      <c r="E45" s="165">
        <v>30.06</v>
      </c>
      <c r="F45" s="165"/>
      <c r="G45" s="165"/>
      <c r="H45" s="165" t="s">
        <v>219</v>
      </c>
      <c r="I45" s="165" t="s">
        <v>205</v>
      </c>
      <c r="J45" s="165" t="s">
        <v>206</v>
      </c>
      <c r="K45" s="165" t="s">
        <v>809</v>
      </c>
      <c r="L45" s="165">
        <v>35.69</v>
      </c>
      <c r="M45" s="165"/>
      <c r="N45" s="165"/>
      <c r="O45" s="165"/>
      <c r="P45" s="165" t="s">
        <v>37</v>
      </c>
      <c r="Q45" s="165">
        <f t="shared" si="5"/>
        <v>1.0000000000000002E-8</v>
      </c>
      <c r="R45" s="165">
        <f t="shared" si="3"/>
        <v>1.0000000000000002E-2</v>
      </c>
      <c r="S45" s="165">
        <f t="shared" si="6"/>
        <v>6022000.0000000019</v>
      </c>
      <c r="T45" s="165">
        <f t="shared" si="7"/>
        <v>12044.000000000004</v>
      </c>
      <c r="U45" s="165">
        <f t="shared" si="11"/>
        <v>4.0807707468407219</v>
      </c>
      <c r="V45" s="165">
        <f>F120</f>
        <v>29.525000000000002</v>
      </c>
      <c r="W45" s="165">
        <f>G120</f>
        <v>0.36519401236420435</v>
      </c>
      <c r="X45" s="165">
        <f t="shared" si="12"/>
        <v>0.73038802472840869</v>
      </c>
      <c r="Y45" s="165">
        <f>M120</f>
        <v>31.745000000000001</v>
      </c>
      <c r="Z45" s="165">
        <f>N120</f>
        <v>0.66184086707707335</v>
      </c>
      <c r="AA45" s="165">
        <f t="shared" si="13"/>
        <v>1.3236817341541467</v>
      </c>
      <c r="AI45" s="165" t="s">
        <v>37</v>
      </c>
      <c r="AJ45" s="165">
        <f t="shared" si="8"/>
        <v>1.0000000000000002E-8</v>
      </c>
      <c r="AK45" s="165">
        <f t="shared" si="4"/>
        <v>1.0000000000000002E-2</v>
      </c>
      <c r="AL45" s="165">
        <f t="shared" si="9"/>
        <v>6022000.0000000019</v>
      </c>
      <c r="AM45" s="165">
        <f t="shared" si="10"/>
        <v>12044.000000000004</v>
      </c>
      <c r="AN45" s="165">
        <f t="shared" si="14"/>
        <v>4.0807707468407219</v>
      </c>
    </row>
    <row r="46" spans="1:40" x14ac:dyDescent="0.25">
      <c r="A46" s="165" t="s">
        <v>221</v>
      </c>
      <c r="B46" s="165" t="s">
        <v>205</v>
      </c>
      <c r="C46" s="165" t="s">
        <v>206</v>
      </c>
      <c r="D46" s="165" t="s">
        <v>809</v>
      </c>
      <c r="E46" s="165" t="s">
        <v>220</v>
      </c>
      <c r="F46" s="165"/>
      <c r="G46" s="165"/>
      <c r="H46" s="165" t="s">
        <v>221</v>
      </c>
      <c r="I46" s="165" t="s">
        <v>205</v>
      </c>
      <c r="J46" s="165" t="s">
        <v>206</v>
      </c>
      <c r="K46" s="165" t="s">
        <v>809</v>
      </c>
      <c r="L46" s="165" t="s">
        <v>220</v>
      </c>
      <c r="M46" s="165"/>
      <c r="N46" s="165"/>
      <c r="O46" s="165"/>
      <c r="P46" s="165" t="s">
        <v>38</v>
      </c>
      <c r="Q46" s="165">
        <f t="shared" si="5"/>
        <v>1.0000000000000003E-9</v>
      </c>
      <c r="R46" s="165">
        <f t="shared" si="3"/>
        <v>1.0000000000000002E-3</v>
      </c>
      <c r="S46" s="165">
        <f t="shared" si="6"/>
        <v>602200.00000000023</v>
      </c>
      <c r="T46" s="165">
        <f t="shared" si="7"/>
        <v>1204.4000000000005</v>
      </c>
      <c r="U46" s="165">
        <f t="shared" si="11"/>
        <v>3.0807707468407219</v>
      </c>
      <c r="V46" s="165">
        <f>F41</f>
        <v>30.375</v>
      </c>
      <c r="W46" s="165">
        <f>G41</f>
        <v>0.22397916569776519</v>
      </c>
      <c r="X46" s="165">
        <f t="shared" si="12"/>
        <v>0.44795833139553037</v>
      </c>
      <c r="Y46" s="165">
        <f>M41</f>
        <v>35.402500000000003</v>
      </c>
      <c r="Z46" s="165">
        <f>N41</f>
        <v>0.33480093588080923</v>
      </c>
      <c r="AA46" s="165">
        <f t="shared" si="13"/>
        <v>0.66960187176161845</v>
      </c>
      <c r="AI46" s="165" t="s">
        <v>38</v>
      </c>
      <c r="AJ46" s="165">
        <f t="shared" si="8"/>
        <v>1.0000000000000003E-9</v>
      </c>
      <c r="AK46" s="165">
        <f t="shared" si="4"/>
        <v>1.0000000000000002E-3</v>
      </c>
      <c r="AL46" s="165">
        <f t="shared" si="9"/>
        <v>602200.00000000023</v>
      </c>
      <c r="AM46" s="165">
        <f t="shared" si="10"/>
        <v>1204.4000000000005</v>
      </c>
      <c r="AN46" s="165">
        <f t="shared" si="14"/>
        <v>3.0807707468407219</v>
      </c>
    </row>
    <row r="47" spans="1:40" x14ac:dyDescent="0.25">
      <c r="A47" s="165" t="s">
        <v>222</v>
      </c>
      <c r="B47" s="165" t="s">
        <v>205</v>
      </c>
      <c r="C47" s="165" t="s">
        <v>206</v>
      </c>
      <c r="D47" s="165" t="s">
        <v>809</v>
      </c>
      <c r="E47" s="165" t="s">
        <v>220</v>
      </c>
      <c r="F47" s="165"/>
      <c r="G47" s="165"/>
      <c r="H47" s="165" t="s">
        <v>222</v>
      </c>
      <c r="I47" s="165" t="s">
        <v>205</v>
      </c>
      <c r="J47" s="165" t="s">
        <v>206</v>
      </c>
      <c r="K47" s="165" t="s">
        <v>809</v>
      </c>
      <c r="L47" s="165" t="s">
        <v>220</v>
      </c>
      <c r="M47" s="165"/>
      <c r="N47" s="165"/>
      <c r="O47" s="165"/>
      <c r="P47" s="165" t="s">
        <v>39</v>
      </c>
      <c r="Q47" s="165">
        <f t="shared" si="5"/>
        <v>1.0000000000000003E-10</v>
      </c>
      <c r="R47" s="165">
        <f t="shared" si="3"/>
        <v>1.0000000000000003E-4</v>
      </c>
      <c r="S47" s="165">
        <f t="shared" si="6"/>
        <v>60220.000000000022</v>
      </c>
      <c r="T47" s="89">
        <f t="shared" si="7"/>
        <v>120.44000000000004</v>
      </c>
      <c r="U47" s="165">
        <f t="shared" si="11"/>
        <v>2.0807707468407219</v>
      </c>
      <c r="V47" s="165">
        <f>F53</f>
        <v>33.020000000000003</v>
      </c>
      <c r="W47" s="165">
        <f>G53</f>
        <v>0.26356529867694317</v>
      </c>
      <c r="X47" s="165">
        <f t="shared" si="12"/>
        <v>0.52713059735388634</v>
      </c>
      <c r="Y47" s="165">
        <f>M53</f>
        <v>39.814999999999998</v>
      </c>
      <c r="Z47" s="165">
        <f>N53</f>
        <v>0.99702056147303464</v>
      </c>
      <c r="AA47" s="165">
        <f t="shared" si="13"/>
        <v>1.9940411229460693</v>
      </c>
      <c r="AI47" s="165" t="s">
        <v>39</v>
      </c>
      <c r="AJ47" s="165">
        <f t="shared" si="8"/>
        <v>1.0000000000000003E-10</v>
      </c>
      <c r="AK47" s="165">
        <f t="shared" si="4"/>
        <v>1.0000000000000003E-4</v>
      </c>
      <c r="AL47" s="165">
        <f t="shared" si="9"/>
        <v>60220.000000000022</v>
      </c>
      <c r="AM47" s="89">
        <f t="shared" si="10"/>
        <v>120.44000000000004</v>
      </c>
      <c r="AN47" s="165">
        <f t="shared" si="14"/>
        <v>2.0807707468407219</v>
      </c>
    </row>
    <row r="48" spans="1:40" x14ac:dyDescent="0.25">
      <c r="A48" s="165" t="s">
        <v>223</v>
      </c>
      <c r="B48" s="165" t="s">
        <v>205</v>
      </c>
      <c r="C48" s="165" t="s">
        <v>206</v>
      </c>
      <c r="D48" s="165" t="s">
        <v>809</v>
      </c>
      <c r="E48" s="165">
        <v>10.16</v>
      </c>
      <c r="F48" s="165">
        <f>AVERAGE(E49:E52)</f>
        <v>10.3725</v>
      </c>
      <c r="G48" s="165">
        <f>STDEV(E49:E52)</f>
        <v>0.44984256505285686</v>
      </c>
      <c r="H48" s="165" t="s">
        <v>223</v>
      </c>
      <c r="I48" s="165" t="s">
        <v>205</v>
      </c>
      <c r="J48" s="165" t="s">
        <v>206</v>
      </c>
      <c r="K48" s="165" t="s">
        <v>809</v>
      </c>
      <c r="L48" s="165">
        <v>12.11</v>
      </c>
      <c r="M48" s="165">
        <f>AVERAGE(L49:L52)</f>
        <v>11.295</v>
      </c>
      <c r="N48" s="165">
        <f>STDEV(L49:L52)</f>
        <v>0.46943228123624692</v>
      </c>
      <c r="O48" s="165"/>
      <c r="P48" s="165" t="s">
        <v>40</v>
      </c>
      <c r="Q48" s="165">
        <f t="shared" si="5"/>
        <v>1.0000000000000003E-11</v>
      </c>
      <c r="R48" s="165">
        <f t="shared" si="3"/>
        <v>1.0000000000000003E-5</v>
      </c>
      <c r="S48" s="165">
        <f t="shared" si="6"/>
        <v>6022.0000000000018</v>
      </c>
      <c r="T48" s="89">
        <f t="shared" si="7"/>
        <v>12.044000000000004</v>
      </c>
      <c r="U48" s="165">
        <f t="shared" si="11"/>
        <v>1.0807707468407219</v>
      </c>
      <c r="V48" s="165">
        <f>F65</f>
        <v>33.307500000000005</v>
      </c>
      <c r="W48" s="165">
        <f>G65</f>
        <v>0.33180064295698125</v>
      </c>
      <c r="X48" s="165">
        <f t="shared" si="12"/>
        <v>0.6636012859139625</v>
      </c>
      <c r="Y48" s="165">
        <f>M65</f>
        <v>33.28</v>
      </c>
      <c r="Z48" s="165">
        <f>N65</f>
        <v>0.31654383582688972</v>
      </c>
      <c r="AA48" s="165">
        <f t="shared" si="13"/>
        <v>0.63308767165377944</v>
      </c>
      <c r="AI48" s="165" t="s">
        <v>40</v>
      </c>
      <c r="AJ48" s="165">
        <f t="shared" si="8"/>
        <v>1.0000000000000003E-11</v>
      </c>
      <c r="AK48" s="165">
        <f t="shared" si="4"/>
        <v>1.0000000000000003E-5</v>
      </c>
      <c r="AL48" s="165">
        <f t="shared" si="9"/>
        <v>6022.0000000000018</v>
      </c>
      <c r="AM48" s="89">
        <f t="shared" si="10"/>
        <v>12.044000000000004</v>
      </c>
      <c r="AN48" s="165">
        <f t="shared" si="14"/>
        <v>1.0807707468407219</v>
      </c>
    </row>
    <row r="49" spans="1:40" x14ac:dyDescent="0.25">
      <c r="A49" s="165" t="s">
        <v>234</v>
      </c>
      <c r="B49" s="165" t="s">
        <v>205</v>
      </c>
      <c r="C49" s="165" t="s">
        <v>206</v>
      </c>
      <c r="D49" s="165" t="s">
        <v>809</v>
      </c>
      <c r="E49" s="165">
        <v>10.64</v>
      </c>
      <c r="F49" s="165"/>
      <c r="G49" s="165"/>
      <c r="H49" s="165" t="s">
        <v>234</v>
      </c>
      <c r="I49" s="165" t="s">
        <v>205</v>
      </c>
      <c r="J49" s="165" t="s">
        <v>206</v>
      </c>
      <c r="K49" s="165" t="s">
        <v>809</v>
      </c>
      <c r="L49" s="165">
        <v>11.58</v>
      </c>
      <c r="M49" s="165"/>
      <c r="N49" s="165"/>
      <c r="O49" s="165"/>
      <c r="P49" s="165" t="s">
        <v>41</v>
      </c>
      <c r="Q49" s="165">
        <f t="shared" si="5"/>
        <v>1.0000000000000002E-12</v>
      </c>
      <c r="R49" s="165">
        <f t="shared" si="3"/>
        <v>1.0000000000000002E-6</v>
      </c>
      <c r="S49" s="165">
        <f t="shared" si="6"/>
        <v>602.20000000000016</v>
      </c>
      <c r="T49" s="89">
        <f t="shared" si="7"/>
        <v>1.2044000000000004</v>
      </c>
      <c r="U49" s="165">
        <f t="shared" si="11"/>
        <v>8.077074684072183E-2</v>
      </c>
      <c r="V49" s="165">
        <f>F77</f>
        <v>31.297499999999999</v>
      </c>
      <c r="W49" s="165">
        <f>G77</f>
        <v>1.3123611037617131</v>
      </c>
      <c r="X49" s="165">
        <f t="shared" si="12"/>
        <v>2.6247222075234262</v>
      </c>
      <c r="Y49" s="165">
        <f>M77</f>
        <v>36.767499999999998</v>
      </c>
      <c r="Z49" s="165">
        <f>N77</f>
        <v>0.8498382198983524</v>
      </c>
      <c r="AA49" s="165">
        <f t="shared" si="13"/>
        <v>1.6996764397967048</v>
      </c>
      <c r="AB49" s="165"/>
      <c r="AC49" s="165"/>
      <c r="AD49" s="165"/>
      <c r="AE49" s="165"/>
      <c r="AF49" s="165"/>
      <c r="AI49" s="165" t="s">
        <v>41</v>
      </c>
      <c r="AJ49" s="165">
        <f t="shared" si="8"/>
        <v>1.0000000000000002E-12</v>
      </c>
      <c r="AK49" s="165">
        <f t="shared" si="4"/>
        <v>1.0000000000000002E-6</v>
      </c>
      <c r="AL49" s="165">
        <f t="shared" si="9"/>
        <v>602.20000000000016</v>
      </c>
      <c r="AM49" s="89">
        <f t="shared" si="10"/>
        <v>1.2044000000000004</v>
      </c>
      <c r="AN49" s="165">
        <f t="shared" si="14"/>
        <v>8.077074684072183E-2</v>
      </c>
    </row>
    <row r="50" spans="1:40" x14ac:dyDescent="0.25">
      <c r="A50" s="165" t="s">
        <v>235</v>
      </c>
      <c r="B50" s="165" t="s">
        <v>205</v>
      </c>
      <c r="C50" s="165" t="s">
        <v>206</v>
      </c>
      <c r="D50" s="165" t="s">
        <v>809</v>
      </c>
      <c r="E50" s="165">
        <v>10.6</v>
      </c>
      <c r="F50" s="165"/>
      <c r="G50" s="165"/>
      <c r="H50" s="165" t="s">
        <v>235</v>
      </c>
      <c r="I50" s="165" t="s">
        <v>205</v>
      </c>
      <c r="J50" s="165" t="s">
        <v>206</v>
      </c>
      <c r="K50" s="165" t="s">
        <v>809</v>
      </c>
      <c r="L50" s="165">
        <v>11.58</v>
      </c>
      <c r="M50" s="165"/>
      <c r="N50" s="165"/>
      <c r="O50" s="165"/>
      <c r="P50" s="165" t="s">
        <v>42</v>
      </c>
      <c r="Q50" s="165">
        <f t="shared" si="5"/>
        <v>1.0000000000000002E-13</v>
      </c>
      <c r="R50" s="165">
        <f t="shared" si="3"/>
        <v>1.0000000000000002E-7</v>
      </c>
      <c r="S50" s="165">
        <f t="shared" si="6"/>
        <v>60.220000000000013</v>
      </c>
      <c r="T50" s="89">
        <f t="shared" si="7"/>
        <v>0.12044000000000002</v>
      </c>
      <c r="U50" s="165">
        <f t="shared" si="11"/>
        <v>-0.91922925315927817</v>
      </c>
      <c r="V50" s="165">
        <f>F89</f>
        <v>30.897499999999997</v>
      </c>
      <c r="W50" s="165">
        <f>G89</f>
        <v>0.26068819177962982</v>
      </c>
      <c r="X50" s="165">
        <f t="shared" si="12"/>
        <v>0.52137638355925964</v>
      </c>
      <c r="Y50" s="165">
        <f>M89</f>
        <v>38.435000000000002</v>
      </c>
      <c r="Z50" s="165">
        <f>N89</f>
        <v>1.0051368066089328</v>
      </c>
      <c r="AA50" s="165">
        <f t="shared" si="13"/>
        <v>2.0102736132178656</v>
      </c>
      <c r="AB50" s="165"/>
      <c r="AC50" s="165"/>
      <c r="AD50" s="165"/>
      <c r="AE50" s="165"/>
      <c r="AF50" s="165"/>
      <c r="AI50" s="165" t="s">
        <v>42</v>
      </c>
      <c r="AJ50" s="165">
        <f t="shared" si="8"/>
        <v>1.0000000000000002E-13</v>
      </c>
      <c r="AK50" s="165">
        <f t="shared" si="4"/>
        <v>1.0000000000000002E-7</v>
      </c>
      <c r="AL50" s="165">
        <f t="shared" si="9"/>
        <v>60.220000000000013</v>
      </c>
      <c r="AM50" s="89">
        <f t="shared" si="10"/>
        <v>0.12044000000000002</v>
      </c>
      <c r="AN50" s="165">
        <f t="shared" si="14"/>
        <v>-0.91922925315927817</v>
      </c>
    </row>
    <row r="51" spans="1:40" x14ac:dyDescent="0.25">
      <c r="A51" s="165" t="s">
        <v>236</v>
      </c>
      <c r="B51" s="165" t="s">
        <v>205</v>
      </c>
      <c r="C51" s="165" t="s">
        <v>206</v>
      </c>
      <c r="D51" s="165" t="s">
        <v>809</v>
      </c>
      <c r="E51" s="165">
        <v>10.55</v>
      </c>
      <c r="F51" s="165"/>
      <c r="G51" s="165"/>
      <c r="H51" s="165" t="s">
        <v>236</v>
      </c>
      <c r="I51" s="165" t="s">
        <v>205</v>
      </c>
      <c r="J51" s="165" t="s">
        <v>206</v>
      </c>
      <c r="K51" s="165" t="s">
        <v>809</v>
      </c>
      <c r="L51" s="165">
        <v>11.42</v>
      </c>
      <c r="M51" s="165"/>
      <c r="N51" s="165"/>
      <c r="O51" s="165"/>
      <c r="P51" s="165" t="s">
        <v>43</v>
      </c>
      <c r="Q51" s="165">
        <f t="shared" si="5"/>
        <v>1.0000000000000002E-14</v>
      </c>
      <c r="R51" s="165">
        <f t="shared" si="3"/>
        <v>1.0000000000000002E-8</v>
      </c>
      <c r="S51" s="89">
        <f t="shared" si="6"/>
        <v>6.0220000000000011</v>
      </c>
      <c r="T51" s="89">
        <f t="shared" si="7"/>
        <v>1.2044000000000003E-2</v>
      </c>
      <c r="U51" s="165">
        <f t="shared" si="11"/>
        <v>-1.9192292531592783</v>
      </c>
      <c r="V51" s="165">
        <f>F101</f>
        <v>30.049999999999997</v>
      </c>
      <c r="W51" s="165">
        <f>G101</f>
        <v>0.26583202716502474</v>
      </c>
      <c r="X51" s="165">
        <f t="shared" si="12"/>
        <v>0.53166405433004948</v>
      </c>
      <c r="Y51" s="165">
        <f>M101</f>
        <v>37.366666666666667</v>
      </c>
      <c r="Z51" s="165">
        <f>N101</f>
        <v>1.0152011294976637</v>
      </c>
      <c r="AA51" s="165">
        <f t="shared" si="13"/>
        <v>2.0304022589953274</v>
      </c>
      <c r="AB51" s="165"/>
      <c r="AC51" s="165"/>
      <c r="AD51" s="165"/>
      <c r="AE51" s="165"/>
      <c r="AF51" s="165"/>
      <c r="AI51" s="165" t="s">
        <v>43</v>
      </c>
      <c r="AJ51" s="165">
        <f t="shared" si="8"/>
        <v>1.0000000000000002E-14</v>
      </c>
      <c r="AK51" s="165">
        <f t="shared" si="4"/>
        <v>1.0000000000000002E-8</v>
      </c>
      <c r="AL51" s="89">
        <f t="shared" si="9"/>
        <v>6.0220000000000011</v>
      </c>
      <c r="AM51" s="89">
        <f t="shared" si="10"/>
        <v>1.2044000000000003E-2</v>
      </c>
      <c r="AN51" s="165">
        <f t="shared" si="14"/>
        <v>-1.9192292531592783</v>
      </c>
    </row>
    <row r="52" spans="1:40" x14ac:dyDescent="0.25">
      <c r="A52" s="165" t="s">
        <v>237</v>
      </c>
      <c r="B52" s="165" t="s">
        <v>205</v>
      </c>
      <c r="C52" s="165" t="s">
        <v>206</v>
      </c>
      <c r="D52" s="165" t="s">
        <v>809</v>
      </c>
      <c r="E52" s="165">
        <v>9.6999999999999993</v>
      </c>
      <c r="F52" s="165"/>
      <c r="G52" s="165"/>
      <c r="H52" s="165" t="s">
        <v>237</v>
      </c>
      <c r="I52" s="165" t="s">
        <v>205</v>
      </c>
      <c r="J52" s="165" t="s">
        <v>206</v>
      </c>
      <c r="K52" s="165" t="s">
        <v>809</v>
      </c>
      <c r="L52" s="165">
        <v>10.6</v>
      </c>
      <c r="M52" s="165"/>
      <c r="N52" s="165"/>
      <c r="O52" s="165"/>
      <c r="P52" s="165" t="s">
        <v>44</v>
      </c>
      <c r="Q52" s="165">
        <f t="shared" si="5"/>
        <v>1.0000000000000001E-15</v>
      </c>
      <c r="R52" s="165">
        <f t="shared" si="3"/>
        <v>1.0000000000000001E-9</v>
      </c>
      <c r="S52" s="89">
        <f t="shared" si="6"/>
        <v>0.60220000000000007</v>
      </c>
      <c r="T52" s="89">
        <f t="shared" si="7"/>
        <v>1.2044000000000002E-3</v>
      </c>
      <c r="U52" s="165">
        <f t="shared" si="11"/>
        <v>-2.9192292531592781</v>
      </c>
      <c r="V52" s="165">
        <f>F113</f>
        <v>37.572499999999998</v>
      </c>
      <c r="W52" s="165">
        <f>G113</f>
        <v>1.189828419002785</v>
      </c>
      <c r="X52" s="165">
        <f t="shared" si="12"/>
        <v>2.37965683800557</v>
      </c>
      <c r="Y52" s="165">
        <f>M113</f>
        <v>40.265000000000001</v>
      </c>
      <c r="Z52" s="165">
        <f>N113</f>
        <v>3.203193718775061</v>
      </c>
      <c r="AA52" s="165">
        <f t="shared" si="13"/>
        <v>6.406387437550122</v>
      </c>
      <c r="AB52" s="165"/>
      <c r="AC52" s="165"/>
      <c r="AD52" s="165"/>
      <c r="AE52" s="165"/>
      <c r="AF52" s="165"/>
      <c r="AI52" s="165" t="s">
        <v>44</v>
      </c>
      <c r="AJ52" s="165">
        <f t="shared" si="8"/>
        <v>1.0000000000000001E-15</v>
      </c>
      <c r="AK52" s="165">
        <f t="shared" si="4"/>
        <v>1.0000000000000001E-9</v>
      </c>
      <c r="AL52" s="89">
        <f t="shared" si="9"/>
        <v>0.60220000000000007</v>
      </c>
      <c r="AM52" s="89">
        <f t="shared" si="10"/>
        <v>1.2044000000000002E-3</v>
      </c>
      <c r="AN52" s="165">
        <f t="shared" si="14"/>
        <v>-2.9192292531592781</v>
      </c>
    </row>
    <row r="53" spans="1:40" x14ac:dyDescent="0.25">
      <c r="A53" s="165" t="s">
        <v>238</v>
      </c>
      <c r="B53" s="165" t="s">
        <v>205</v>
      </c>
      <c r="C53" s="165" t="s">
        <v>206</v>
      </c>
      <c r="D53" s="165" t="s">
        <v>809</v>
      </c>
      <c r="E53" s="165">
        <v>33.46</v>
      </c>
      <c r="F53" s="165">
        <f>AVERAGE(E54:E57)</f>
        <v>33.020000000000003</v>
      </c>
      <c r="G53" s="165">
        <f>STDEV(E54:E57)</f>
        <v>0.26356529867694317</v>
      </c>
      <c r="H53" s="165" t="s">
        <v>238</v>
      </c>
      <c r="I53" s="165" t="s">
        <v>205</v>
      </c>
      <c r="J53" s="165" t="s">
        <v>206</v>
      </c>
      <c r="K53" s="165" t="s">
        <v>809</v>
      </c>
      <c r="L53" s="165">
        <v>39.29</v>
      </c>
      <c r="M53" s="165">
        <f>AVERAGE(L54:L57)</f>
        <v>39.814999999999998</v>
      </c>
      <c r="N53" s="165">
        <f>STDEV(L54:L57)</f>
        <v>0.99702056147303464</v>
      </c>
      <c r="O53" s="165"/>
      <c r="P53" s="89"/>
      <c r="Q53" s="165"/>
      <c r="R53" s="165"/>
      <c r="S53" s="89"/>
      <c r="T53" s="89"/>
      <c r="U53" s="165"/>
      <c r="V53" s="165"/>
      <c r="W53" s="165"/>
      <c r="X53" s="165"/>
      <c r="Y53" s="165"/>
      <c r="Z53" s="165"/>
      <c r="AA53" s="165"/>
      <c r="AB53" s="165"/>
      <c r="AC53" s="165"/>
      <c r="AD53" s="165" t="s">
        <v>891</v>
      </c>
      <c r="AE53" s="165" t="s">
        <v>240</v>
      </c>
      <c r="AF53" s="119" t="s">
        <v>241</v>
      </c>
    </row>
    <row r="54" spans="1:40" x14ac:dyDescent="0.25">
      <c r="A54" s="165" t="s">
        <v>239</v>
      </c>
      <c r="B54" s="165" t="s">
        <v>205</v>
      </c>
      <c r="C54" s="165" t="s">
        <v>206</v>
      </c>
      <c r="D54" s="165" t="s">
        <v>809</v>
      </c>
      <c r="E54" s="165">
        <v>33.39</v>
      </c>
      <c r="F54" s="165"/>
      <c r="G54" s="165"/>
      <c r="H54" s="165" t="s">
        <v>239</v>
      </c>
      <c r="I54" s="165" t="s">
        <v>205</v>
      </c>
      <c r="J54" s="165" t="s">
        <v>206</v>
      </c>
      <c r="K54" s="165" t="s">
        <v>809</v>
      </c>
      <c r="L54" s="165" t="s">
        <v>220</v>
      </c>
      <c r="M54" s="165"/>
      <c r="N54" s="165"/>
      <c r="O54" s="165"/>
      <c r="P54" s="89"/>
      <c r="Q54" s="165"/>
      <c r="R54" s="165"/>
      <c r="S54" s="89"/>
      <c r="T54" s="89"/>
      <c r="U54" s="165"/>
      <c r="V54" s="165"/>
      <c r="W54" s="165"/>
      <c r="X54" s="165"/>
      <c r="Y54" s="165"/>
      <c r="Z54" s="165"/>
      <c r="AA54" s="165"/>
      <c r="AB54" s="165" t="s">
        <v>889</v>
      </c>
      <c r="AC54" s="165" t="s">
        <v>892</v>
      </c>
      <c r="AD54" s="165">
        <f t="array" ref="AD54:AE54">LINEST(V39:V45,U39:U45)</f>
        <v>-3.2033928571428585</v>
      </c>
      <c r="AE54" s="165">
        <v>43.047847576352808</v>
      </c>
      <c r="AF54" s="174">
        <f>10^(-1/AD54)-1</f>
        <v>1.0519605983841234</v>
      </c>
    </row>
    <row r="55" spans="1:40" x14ac:dyDescent="0.25">
      <c r="A55" s="165" t="s">
        <v>242</v>
      </c>
      <c r="B55" s="165" t="s">
        <v>205</v>
      </c>
      <c r="C55" s="165" t="s">
        <v>206</v>
      </c>
      <c r="D55" s="165" t="s">
        <v>809</v>
      </c>
      <c r="E55" s="165">
        <v>32.93</v>
      </c>
      <c r="F55" s="165"/>
      <c r="G55" s="165"/>
      <c r="H55" s="165" t="s">
        <v>242</v>
      </c>
      <c r="I55" s="165" t="s">
        <v>205</v>
      </c>
      <c r="J55" s="165" t="s">
        <v>206</v>
      </c>
      <c r="K55" s="165" t="s">
        <v>809</v>
      </c>
      <c r="L55" s="165" t="s">
        <v>220</v>
      </c>
      <c r="M55" s="165"/>
      <c r="N55" s="165"/>
      <c r="O55" s="165"/>
      <c r="P55" s="165"/>
      <c r="Q55" s="165"/>
      <c r="R55" s="165"/>
      <c r="S55" s="165"/>
      <c r="T55" s="165"/>
      <c r="U55" s="165"/>
      <c r="V55" s="165"/>
      <c r="W55" s="165"/>
      <c r="X55" s="165"/>
      <c r="Y55" s="165"/>
      <c r="Z55" s="165"/>
      <c r="AA55" s="165"/>
      <c r="AB55" s="165" t="s">
        <v>890</v>
      </c>
      <c r="AC55" s="165" t="s">
        <v>892</v>
      </c>
      <c r="AD55" s="165">
        <f t="array" ref="AD55:AE55">LINEST(Y39:Y45,U39:U45)</f>
        <v>-3.3666964285714296</v>
      </c>
      <c r="AE55" s="165">
        <v>45.508448442064562</v>
      </c>
      <c r="AF55" s="174">
        <f>10^(-1/AD55)-1</f>
        <v>0.98165057302821035</v>
      </c>
    </row>
    <row r="56" spans="1:40" x14ac:dyDescent="0.25">
      <c r="A56" s="165" t="s">
        <v>243</v>
      </c>
      <c r="B56" s="165" t="s">
        <v>205</v>
      </c>
      <c r="C56" s="165" t="s">
        <v>206</v>
      </c>
      <c r="D56" s="165" t="s">
        <v>809</v>
      </c>
      <c r="E56" s="165">
        <v>32.99</v>
      </c>
      <c r="F56" s="165"/>
      <c r="G56" s="165"/>
      <c r="H56" s="165" t="s">
        <v>243</v>
      </c>
      <c r="I56" s="165" t="s">
        <v>205</v>
      </c>
      <c r="J56" s="165" t="s">
        <v>206</v>
      </c>
      <c r="K56" s="165" t="s">
        <v>809</v>
      </c>
      <c r="L56" s="165">
        <v>39.11</v>
      </c>
      <c r="M56" s="165"/>
      <c r="N56" s="165"/>
      <c r="O56" s="165"/>
      <c r="P56" s="165"/>
      <c r="Q56" s="165"/>
      <c r="R56" s="165"/>
      <c r="S56" s="165"/>
      <c r="T56" s="165"/>
      <c r="U56" s="165"/>
      <c r="V56" s="165"/>
      <c r="W56" s="165"/>
      <c r="X56" s="165"/>
      <c r="Y56" s="165"/>
      <c r="Z56" s="165"/>
      <c r="AA56" s="165"/>
      <c r="AB56" s="165"/>
      <c r="AC56" s="165"/>
      <c r="AD56" s="165"/>
      <c r="AE56" s="165"/>
      <c r="AF56" s="165"/>
    </row>
    <row r="57" spans="1:40" x14ac:dyDescent="0.25">
      <c r="A57" s="165" t="s">
        <v>244</v>
      </c>
      <c r="B57" s="165" t="s">
        <v>205</v>
      </c>
      <c r="C57" s="165" t="s">
        <v>206</v>
      </c>
      <c r="D57" s="165" t="s">
        <v>809</v>
      </c>
      <c r="E57" s="165">
        <v>32.770000000000003</v>
      </c>
      <c r="F57" s="165"/>
      <c r="G57" s="165"/>
      <c r="H57" s="165" t="s">
        <v>244</v>
      </c>
      <c r="I57" s="165" t="s">
        <v>205</v>
      </c>
      <c r="J57" s="165" t="s">
        <v>206</v>
      </c>
      <c r="K57" s="165" t="s">
        <v>809</v>
      </c>
      <c r="L57" s="165">
        <v>40.520000000000003</v>
      </c>
      <c r="M57" s="165"/>
      <c r="N57" s="165"/>
      <c r="O57" s="165"/>
      <c r="P57" s="165"/>
      <c r="Q57" s="165"/>
      <c r="R57" s="165"/>
      <c r="S57" s="165"/>
      <c r="T57" s="165"/>
      <c r="U57" s="165"/>
      <c r="V57" s="165"/>
      <c r="W57" s="165"/>
      <c r="X57" s="165"/>
      <c r="Y57" s="165"/>
      <c r="Z57" s="165"/>
      <c r="AA57" s="165"/>
      <c r="AB57" s="165"/>
      <c r="AC57" s="165"/>
      <c r="AD57" s="165"/>
      <c r="AE57" s="165"/>
      <c r="AF57" s="165"/>
    </row>
    <row r="58" spans="1:40" x14ac:dyDescent="0.25">
      <c r="A58" s="165" t="s">
        <v>245</v>
      </c>
      <c r="B58" s="165" t="s">
        <v>205</v>
      </c>
      <c r="C58" s="165" t="s">
        <v>206</v>
      </c>
      <c r="D58" s="165" t="s">
        <v>809</v>
      </c>
      <c r="E58" s="165" t="s">
        <v>220</v>
      </c>
      <c r="F58" s="165"/>
      <c r="G58" s="165"/>
      <c r="H58" s="165" t="s">
        <v>245</v>
      </c>
      <c r="I58" s="165" t="s">
        <v>205</v>
      </c>
      <c r="J58" s="165" t="s">
        <v>206</v>
      </c>
      <c r="K58" s="165" t="s">
        <v>809</v>
      </c>
      <c r="L58" s="165" t="s">
        <v>220</v>
      </c>
      <c r="M58" s="165"/>
      <c r="N58" s="165"/>
      <c r="O58" s="165"/>
      <c r="P58" s="165"/>
      <c r="Q58" s="165"/>
      <c r="R58" s="165"/>
      <c r="S58" s="165"/>
      <c r="T58" s="165"/>
      <c r="U58" s="165"/>
      <c r="V58" s="165"/>
      <c r="W58" s="165"/>
      <c r="X58" s="165"/>
      <c r="Y58" s="165"/>
      <c r="Z58" s="165"/>
      <c r="AA58" s="165"/>
      <c r="AB58" s="165"/>
      <c r="AC58" s="165"/>
      <c r="AD58" s="165"/>
      <c r="AE58" s="165"/>
      <c r="AF58" s="165"/>
    </row>
    <row r="59" spans="1:40" x14ac:dyDescent="0.25">
      <c r="A59" s="165" t="s">
        <v>247</v>
      </c>
      <c r="B59" s="165" t="s">
        <v>205</v>
      </c>
      <c r="C59" s="165" t="s">
        <v>206</v>
      </c>
      <c r="D59" s="165" t="s">
        <v>809</v>
      </c>
      <c r="E59" s="165" t="s">
        <v>220</v>
      </c>
      <c r="F59" s="165"/>
      <c r="G59" s="165"/>
      <c r="H59" s="165" t="s">
        <v>247</v>
      </c>
      <c r="I59" s="165" t="s">
        <v>205</v>
      </c>
      <c r="J59" s="165" t="s">
        <v>206</v>
      </c>
      <c r="K59" s="165" t="s">
        <v>809</v>
      </c>
      <c r="L59" s="165" t="s">
        <v>220</v>
      </c>
      <c r="M59" s="165"/>
      <c r="N59" s="165"/>
      <c r="O59" s="165"/>
      <c r="P59" s="165"/>
      <c r="Q59" s="165"/>
      <c r="R59" s="165"/>
      <c r="S59" s="165"/>
      <c r="T59" s="165"/>
      <c r="U59" s="165"/>
      <c r="V59" s="165"/>
      <c r="W59" s="165"/>
      <c r="X59" s="165"/>
      <c r="Y59" s="165"/>
      <c r="Z59" s="165"/>
      <c r="AA59" s="165"/>
      <c r="AB59" s="165"/>
      <c r="AC59" s="165"/>
      <c r="AD59" s="165"/>
      <c r="AE59" s="165"/>
      <c r="AF59" s="165"/>
    </row>
    <row r="60" spans="1:40" x14ac:dyDescent="0.25">
      <c r="A60" s="165" t="s">
        <v>248</v>
      </c>
      <c r="B60" s="165" t="s">
        <v>205</v>
      </c>
      <c r="C60" s="165" t="s">
        <v>206</v>
      </c>
      <c r="D60" s="165" t="s">
        <v>809</v>
      </c>
      <c r="E60" s="165">
        <v>13.81</v>
      </c>
      <c r="F60" s="165">
        <f>AVERAGE(E61:E64)</f>
        <v>14.1075</v>
      </c>
      <c r="G60" s="165">
        <f>STDEV(E61:E64)</f>
        <v>0.92478375850790151</v>
      </c>
      <c r="H60" s="165" t="s">
        <v>248</v>
      </c>
      <c r="I60" s="165" t="s">
        <v>205</v>
      </c>
      <c r="J60" s="165" t="s">
        <v>206</v>
      </c>
      <c r="K60" s="165" t="s">
        <v>809</v>
      </c>
      <c r="L60" s="165">
        <v>15.29</v>
      </c>
      <c r="M60" s="165">
        <f>AVERAGE(L61:L64)</f>
        <v>15.2775</v>
      </c>
      <c r="N60" s="165">
        <f>STDEV(L61:L64)</f>
        <v>0.94008421608563009</v>
      </c>
      <c r="O60" s="165"/>
      <c r="P60" s="165"/>
      <c r="Q60" s="165"/>
      <c r="R60" s="165"/>
      <c r="S60" s="165"/>
      <c r="T60" s="165"/>
      <c r="U60" s="165"/>
      <c r="V60" s="165"/>
      <c r="W60" s="165"/>
      <c r="X60" s="165"/>
      <c r="Y60" s="165"/>
      <c r="Z60" s="165"/>
      <c r="AA60" s="165"/>
      <c r="AB60" s="165"/>
      <c r="AC60" s="165"/>
      <c r="AD60" s="165"/>
      <c r="AE60" s="165"/>
      <c r="AF60" s="165"/>
    </row>
    <row r="61" spans="1:40" x14ac:dyDescent="0.25">
      <c r="A61" s="165" t="s">
        <v>249</v>
      </c>
      <c r="B61" s="165" t="s">
        <v>205</v>
      </c>
      <c r="C61" s="165" t="s">
        <v>206</v>
      </c>
      <c r="D61" s="165" t="s">
        <v>809</v>
      </c>
      <c r="E61" s="165">
        <v>14.79</v>
      </c>
      <c r="F61" s="165"/>
      <c r="G61" s="165"/>
      <c r="H61" s="165" t="s">
        <v>249</v>
      </c>
      <c r="I61" s="165" t="s">
        <v>205</v>
      </c>
      <c r="J61" s="165" t="s">
        <v>206</v>
      </c>
      <c r="K61" s="165" t="s">
        <v>809</v>
      </c>
      <c r="L61" s="165">
        <v>16</v>
      </c>
      <c r="M61" s="165"/>
      <c r="N61" s="165"/>
      <c r="O61" s="165"/>
      <c r="P61" s="165"/>
      <c r="Q61" s="165"/>
      <c r="R61" s="165"/>
      <c r="S61" s="165"/>
      <c r="T61" s="165"/>
      <c r="U61" s="165"/>
      <c r="V61" s="165"/>
      <c r="W61" s="165"/>
      <c r="X61" s="165"/>
      <c r="Y61" s="165"/>
      <c r="Z61" s="165"/>
      <c r="AA61" s="165"/>
      <c r="AB61" s="165"/>
      <c r="AC61" s="165"/>
      <c r="AD61" s="165"/>
      <c r="AE61" s="165"/>
      <c r="AF61" s="165"/>
    </row>
    <row r="62" spans="1:40" x14ac:dyDescent="0.25">
      <c r="A62" s="165" t="s">
        <v>250</v>
      </c>
      <c r="B62" s="165" t="s">
        <v>205</v>
      </c>
      <c r="C62" s="165" t="s">
        <v>206</v>
      </c>
      <c r="D62" s="165" t="s">
        <v>809</v>
      </c>
      <c r="E62" s="165">
        <v>14.71</v>
      </c>
      <c r="F62" s="165"/>
      <c r="G62" s="165"/>
      <c r="H62" s="165" t="s">
        <v>250</v>
      </c>
      <c r="I62" s="165" t="s">
        <v>205</v>
      </c>
      <c r="J62" s="165" t="s">
        <v>206</v>
      </c>
      <c r="K62" s="165" t="s">
        <v>809</v>
      </c>
      <c r="L62" s="165">
        <v>15.86</v>
      </c>
      <c r="M62" s="165"/>
      <c r="N62" s="165"/>
      <c r="O62" s="165"/>
      <c r="P62" s="165"/>
      <c r="Q62" s="165"/>
      <c r="R62" s="165"/>
      <c r="S62" s="165"/>
      <c r="T62" s="165"/>
      <c r="U62" s="165"/>
      <c r="V62" s="165"/>
      <c r="W62" s="165"/>
      <c r="X62" s="165"/>
      <c r="Y62" s="165"/>
      <c r="Z62" s="165"/>
      <c r="AA62" s="165"/>
      <c r="AB62" s="165"/>
      <c r="AC62" s="165"/>
      <c r="AD62" s="165"/>
      <c r="AE62" s="165"/>
      <c r="AF62" s="165"/>
    </row>
    <row r="63" spans="1:40" x14ac:dyDescent="0.25">
      <c r="A63" s="165" t="s">
        <v>251</v>
      </c>
      <c r="B63" s="165" t="s">
        <v>205</v>
      </c>
      <c r="C63" s="165" t="s">
        <v>206</v>
      </c>
      <c r="D63" s="165" t="s">
        <v>809</v>
      </c>
      <c r="E63" s="165">
        <v>14.14</v>
      </c>
      <c r="F63" s="165"/>
      <c r="G63" s="165"/>
      <c r="H63" s="165" t="s">
        <v>251</v>
      </c>
      <c r="I63" s="165" t="s">
        <v>205</v>
      </c>
      <c r="J63" s="165" t="s">
        <v>206</v>
      </c>
      <c r="K63" s="165" t="s">
        <v>809</v>
      </c>
      <c r="L63" s="165">
        <v>15.31</v>
      </c>
      <c r="M63" s="165"/>
      <c r="N63" s="165"/>
      <c r="O63" s="165"/>
      <c r="P63" s="165"/>
      <c r="Q63" s="165"/>
      <c r="R63" s="165"/>
      <c r="S63" s="165"/>
      <c r="T63" s="165"/>
      <c r="U63" s="165"/>
      <c r="V63" s="165"/>
      <c r="W63" s="165"/>
      <c r="X63" s="165"/>
      <c r="Y63" s="165"/>
      <c r="Z63" s="165"/>
      <c r="AA63" s="165"/>
      <c r="AB63" s="165"/>
      <c r="AC63" s="165"/>
      <c r="AD63" s="165"/>
      <c r="AE63" s="165"/>
      <c r="AF63" s="165"/>
    </row>
    <row r="64" spans="1:40" x14ac:dyDescent="0.25">
      <c r="A64" s="165" t="s">
        <v>252</v>
      </c>
      <c r="B64" s="165" t="s">
        <v>205</v>
      </c>
      <c r="C64" s="165" t="s">
        <v>206</v>
      </c>
      <c r="D64" s="165" t="s">
        <v>809</v>
      </c>
      <c r="E64" s="165">
        <v>12.79</v>
      </c>
      <c r="F64" s="165"/>
      <c r="G64" s="165"/>
      <c r="H64" s="165" t="s">
        <v>252</v>
      </c>
      <c r="I64" s="165" t="s">
        <v>205</v>
      </c>
      <c r="J64" s="165" t="s">
        <v>206</v>
      </c>
      <c r="K64" s="165" t="s">
        <v>809</v>
      </c>
      <c r="L64" s="165">
        <v>13.94</v>
      </c>
      <c r="M64" s="165"/>
      <c r="N64" s="165"/>
      <c r="O64" s="165"/>
      <c r="P64" s="165"/>
      <c r="Q64" s="165"/>
      <c r="R64" s="165"/>
      <c r="S64" s="165"/>
      <c r="T64" s="165"/>
      <c r="U64" s="165"/>
      <c r="V64" s="165"/>
      <c r="W64" s="165"/>
      <c r="X64" s="165"/>
      <c r="Y64" s="165"/>
      <c r="Z64" s="165"/>
      <c r="AA64" s="165"/>
      <c r="AB64" s="165"/>
      <c r="AC64" s="165"/>
      <c r="AD64" s="165"/>
      <c r="AE64" s="165"/>
      <c r="AF64" s="165"/>
    </row>
    <row r="65" spans="1:14" x14ac:dyDescent="0.25">
      <c r="A65" s="165" t="s">
        <v>253</v>
      </c>
      <c r="B65" s="165" t="s">
        <v>205</v>
      </c>
      <c r="C65" s="165" t="s">
        <v>206</v>
      </c>
      <c r="D65" s="165" t="s">
        <v>809</v>
      </c>
      <c r="E65" s="165">
        <v>34.119999999999997</v>
      </c>
      <c r="F65" s="165">
        <f>AVERAGE(E66:E69)</f>
        <v>33.307500000000005</v>
      </c>
      <c r="G65" s="165">
        <f>STDEV(E66:E69)</f>
        <v>0.33180064295698125</v>
      </c>
      <c r="H65" s="165" t="s">
        <v>253</v>
      </c>
      <c r="I65" s="165" t="s">
        <v>205</v>
      </c>
      <c r="J65" s="165" t="s">
        <v>206</v>
      </c>
      <c r="K65" s="165" t="s">
        <v>809</v>
      </c>
      <c r="L65" s="165">
        <v>34.450000000000003</v>
      </c>
      <c r="M65" s="165">
        <f>AVERAGE(L66:L69)</f>
        <v>33.28</v>
      </c>
      <c r="N65" s="165">
        <f>STDEV(L66:L69)</f>
        <v>0.31654383582688972</v>
      </c>
    </row>
    <row r="66" spans="1:14" x14ac:dyDescent="0.25">
      <c r="A66" s="165" t="s">
        <v>254</v>
      </c>
      <c r="B66" s="165" t="s">
        <v>205</v>
      </c>
      <c r="C66" s="165" t="s">
        <v>206</v>
      </c>
      <c r="D66" s="165" t="s">
        <v>809</v>
      </c>
      <c r="E66" s="165">
        <v>33.76</v>
      </c>
      <c r="F66" s="165"/>
      <c r="G66" s="165"/>
      <c r="H66" s="165" t="s">
        <v>254</v>
      </c>
      <c r="I66" s="165" t="s">
        <v>205</v>
      </c>
      <c r="J66" s="165" t="s">
        <v>206</v>
      </c>
      <c r="K66" s="165" t="s">
        <v>809</v>
      </c>
      <c r="L66" s="165">
        <v>33.61</v>
      </c>
      <c r="M66" s="165"/>
      <c r="N66" s="165"/>
    </row>
    <row r="67" spans="1:14" x14ac:dyDescent="0.25">
      <c r="A67" s="165" t="s">
        <v>255</v>
      </c>
      <c r="B67" s="165" t="s">
        <v>205</v>
      </c>
      <c r="C67" s="165" t="s">
        <v>206</v>
      </c>
      <c r="D67" s="165" t="s">
        <v>809</v>
      </c>
      <c r="E67" s="165">
        <v>33.299999999999997</v>
      </c>
      <c r="F67" s="165"/>
      <c r="G67" s="165"/>
      <c r="H67" s="165" t="s">
        <v>255</v>
      </c>
      <c r="I67" s="165" t="s">
        <v>205</v>
      </c>
      <c r="J67" s="165" t="s">
        <v>206</v>
      </c>
      <c r="K67" s="165" t="s">
        <v>809</v>
      </c>
      <c r="L67" s="165">
        <v>32.979999999999997</v>
      </c>
      <c r="M67" s="165"/>
      <c r="N67" s="165"/>
    </row>
    <row r="68" spans="1:14" x14ac:dyDescent="0.25">
      <c r="A68" s="165" t="s">
        <v>256</v>
      </c>
      <c r="B68" s="165" t="s">
        <v>205</v>
      </c>
      <c r="C68" s="165" t="s">
        <v>206</v>
      </c>
      <c r="D68" s="165" t="s">
        <v>809</v>
      </c>
      <c r="E68" s="165">
        <v>32.97</v>
      </c>
      <c r="F68" s="165"/>
      <c r="G68" s="165"/>
      <c r="H68" s="165" t="s">
        <v>256</v>
      </c>
      <c r="I68" s="165" t="s">
        <v>205</v>
      </c>
      <c r="J68" s="165" t="s">
        <v>206</v>
      </c>
      <c r="K68" s="165" t="s">
        <v>809</v>
      </c>
      <c r="L68" s="165">
        <v>33.04</v>
      </c>
      <c r="M68" s="165"/>
      <c r="N68" s="165"/>
    </row>
    <row r="69" spans="1:14" x14ac:dyDescent="0.25">
      <c r="A69" s="165" t="s">
        <v>257</v>
      </c>
      <c r="B69" s="165" t="s">
        <v>205</v>
      </c>
      <c r="C69" s="165" t="s">
        <v>206</v>
      </c>
      <c r="D69" s="165" t="s">
        <v>809</v>
      </c>
      <c r="E69" s="165">
        <v>33.200000000000003</v>
      </c>
      <c r="F69" s="165"/>
      <c r="G69" s="165"/>
      <c r="H69" s="165" t="s">
        <v>257</v>
      </c>
      <c r="I69" s="165" t="s">
        <v>205</v>
      </c>
      <c r="J69" s="165" t="s">
        <v>206</v>
      </c>
      <c r="K69" s="165" t="s">
        <v>809</v>
      </c>
      <c r="L69" s="165">
        <v>33.49</v>
      </c>
      <c r="M69" s="165"/>
      <c r="N69" s="165"/>
    </row>
    <row r="70" spans="1:14" x14ac:dyDescent="0.25">
      <c r="A70" s="165" t="s">
        <v>258</v>
      </c>
      <c r="B70" s="165" t="s">
        <v>205</v>
      </c>
      <c r="C70" s="165" t="s">
        <v>206</v>
      </c>
      <c r="D70" s="165" t="s">
        <v>809</v>
      </c>
      <c r="E70" s="165" t="s">
        <v>220</v>
      </c>
      <c r="F70" s="165"/>
      <c r="G70" s="165"/>
      <c r="H70" s="165" t="s">
        <v>258</v>
      </c>
      <c r="I70" s="165" t="s">
        <v>205</v>
      </c>
      <c r="J70" s="165" t="s">
        <v>206</v>
      </c>
      <c r="K70" s="165" t="s">
        <v>809</v>
      </c>
      <c r="L70" s="165" t="s">
        <v>220</v>
      </c>
      <c r="M70" s="165"/>
      <c r="N70" s="165"/>
    </row>
    <row r="71" spans="1:14" x14ac:dyDescent="0.25">
      <c r="A71" s="165" t="s">
        <v>259</v>
      </c>
      <c r="B71" s="165" t="s">
        <v>205</v>
      </c>
      <c r="C71" s="165" t="s">
        <v>206</v>
      </c>
      <c r="D71" s="165" t="s">
        <v>809</v>
      </c>
      <c r="E71" s="165" t="s">
        <v>220</v>
      </c>
      <c r="F71" s="165"/>
      <c r="G71" s="165"/>
      <c r="H71" s="165" t="s">
        <v>259</v>
      </c>
      <c r="I71" s="165" t="s">
        <v>205</v>
      </c>
      <c r="J71" s="165" t="s">
        <v>206</v>
      </c>
      <c r="K71" s="165" t="s">
        <v>809</v>
      </c>
      <c r="L71" s="165" t="s">
        <v>220</v>
      </c>
      <c r="M71" s="165"/>
      <c r="N71" s="165"/>
    </row>
    <row r="72" spans="1:14" x14ac:dyDescent="0.25">
      <c r="A72" s="165" t="s">
        <v>260</v>
      </c>
      <c r="B72" s="165" t="s">
        <v>205</v>
      </c>
      <c r="C72" s="165" t="s">
        <v>206</v>
      </c>
      <c r="D72" s="165" t="s">
        <v>809</v>
      </c>
      <c r="E72" s="165">
        <v>17.14</v>
      </c>
      <c r="F72" s="165">
        <f>AVERAGE(E73:E76)</f>
        <v>17.272500000000001</v>
      </c>
      <c r="G72" s="165">
        <f>STDEV(E73:E76)</f>
        <v>0.75975324941720412</v>
      </c>
      <c r="H72" s="165" t="s">
        <v>260</v>
      </c>
      <c r="I72" s="165" t="s">
        <v>205</v>
      </c>
      <c r="J72" s="165" t="s">
        <v>206</v>
      </c>
      <c r="K72" s="165" t="s">
        <v>809</v>
      </c>
      <c r="L72" s="165">
        <v>19.46</v>
      </c>
      <c r="M72" s="165">
        <f>AVERAGE(L73:L76)</f>
        <v>18.119999999999997</v>
      </c>
      <c r="N72" s="165">
        <f>STDEV(L73:L76)</f>
        <v>0.56077327563523027</v>
      </c>
    </row>
    <row r="73" spans="1:14" x14ac:dyDescent="0.25">
      <c r="A73" s="165" t="s">
        <v>261</v>
      </c>
      <c r="B73" s="165" t="s">
        <v>205</v>
      </c>
      <c r="C73" s="165" t="s">
        <v>206</v>
      </c>
      <c r="D73" s="165" t="s">
        <v>809</v>
      </c>
      <c r="E73" s="165">
        <v>17.71</v>
      </c>
      <c r="F73" s="165"/>
      <c r="G73" s="165"/>
      <c r="H73" s="165" t="s">
        <v>261</v>
      </c>
      <c r="I73" s="165" t="s">
        <v>205</v>
      </c>
      <c r="J73" s="165" t="s">
        <v>206</v>
      </c>
      <c r="K73" s="165" t="s">
        <v>809</v>
      </c>
      <c r="L73" s="165">
        <v>18.559999999999999</v>
      </c>
      <c r="M73" s="165"/>
      <c r="N73" s="165"/>
    </row>
    <row r="74" spans="1:14" x14ac:dyDescent="0.25">
      <c r="A74" s="165" t="s">
        <v>262</v>
      </c>
      <c r="B74" s="165" t="s">
        <v>205</v>
      </c>
      <c r="C74" s="165" t="s">
        <v>206</v>
      </c>
      <c r="D74" s="165" t="s">
        <v>809</v>
      </c>
      <c r="E74" s="165">
        <v>17.53</v>
      </c>
      <c r="F74" s="165"/>
      <c r="G74" s="165"/>
      <c r="H74" s="165" t="s">
        <v>262</v>
      </c>
      <c r="I74" s="165" t="s">
        <v>205</v>
      </c>
      <c r="J74" s="165" t="s">
        <v>206</v>
      </c>
      <c r="K74" s="165" t="s">
        <v>809</v>
      </c>
      <c r="L74" s="165">
        <v>18.149999999999999</v>
      </c>
      <c r="M74" s="165"/>
      <c r="N74" s="165"/>
    </row>
    <row r="75" spans="1:14" x14ac:dyDescent="0.25">
      <c r="A75" s="165" t="s">
        <v>263</v>
      </c>
      <c r="B75" s="165" t="s">
        <v>205</v>
      </c>
      <c r="C75" s="165" t="s">
        <v>206</v>
      </c>
      <c r="D75" s="165" t="s">
        <v>809</v>
      </c>
      <c r="E75" s="165">
        <v>17.71</v>
      </c>
      <c r="F75" s="165"/>
      <c r="G75" s="165"/>
      <c r="H75" s="165" t="s">
        <v>263</v>
      </c>
      <c r="I75" s="165" t="s">
        <v>205</v>
      </c>
      <c r="J75" s="165" t="s">
        <v>206</v>
      </c>
      <c r="K75" s="165" t="s">
        <v>809</v>
      </c>
      <c r="L75" s="165">
        <v>18.45</v>
      </c>
      <c r="M75" s="165"/>
      <c r="N75" s="165"/>
    </row>
    <row r="76" spans="1:14" x14ac:dyDescent="0.25">
      <c r="A76" s="165" t="s">
        <v>264</v>
      </c>
      <c r="B76" s="165" t="s">
        <v>205</v>
      </c>
      <c r="C76" s="165" t="s">
        <v>206</v>
      </c>
      <c r="D76" s="165" t="s">
        <v>809</v>
      </c>
      <c r="E76" s="165">
        <v>16.14</v>
      </c>
      <c r="F76" s="165"/>
      <c r="G76" s="165"/>
      <c r="H76" s="165" t="s">
        <v>264</v>
      </c>
      <c r="I76" s="165" t="s">
        <v>205</v>
      </c>
      <c r="J76" s="165" t="s">
        <v>206</v>
      </c>
      <c r="K76" s="165" t="s">
        <v>809</v>
      </c>
      <c r="L76" s="165">
        <v>17.32</v>
      </c>
      <c r="M76" s="165"/>
      <c r="N76" s="165"/>
    </row>
    <row r="77" spans="1:14" x14ac:dyDescent="0.25">
      <c r="A77" s="165" t="s">
        <v>265</v>
      </c>
      <c r="B77" s="165" t="s">
        <v>205</v>
      </c>
      <c r="C77" s="165" t="s">
        <v>206</v>
      </c>
      <c r="D77" s="165" t="s">
        <v>809</v>
      </c>
      <c r="E77" s="165">
        <v>31.85</v>
      </c>
      <c r="F77" s="165">
        <f>AVERAGE(E78:E81)</f>
        <v>31.297499999999999</v>
      </c>
      <c r="G77" s="165">
        <f>STDEV(E78:E81)</f>
        <v>1.3123611037617131</v>
      </c>
      <c r="H77" s="165" t="s">
        <v>265</v>
      </c>
      <c r="I77" s="165" t="s">
        <v>205</v>
      </c>
      <c r="J77" s="165" t="s">
        <v>206</v>
      </c>
      <c r="K77" s="165" t="s">
        <v>809</v>
      </c>
      <c r="L77" s="165">
        <v>36.86</v>
      </c>
      <c r="M77" s="165">
        <f>AVERAGE(L78:L81)</f>
        <v>36.767499999999998</v>
      </c>
      <c r="N77" s="165">
        <f>STDEV(L78:L81)</f>
        <v>0.8498382198983524</v>
      </c>
    </row>
    <row r="78" spans="1:14" x14ac:dyDescent="0.25">
      <c r="A78" s="165" t="s">
        <v>266</v>
      </c>
      <c r="B78" s="165" t="s">
        <v>205</v>
      </c>
      <c r="C78" s="165" t="s">
        <v>206</v>
      </c>
      <c r="D78" s="165" t="s">
        <v>809</v>
      </c>
      <c r="E78" s="165">
        <v>33.229999999999997</v>
      </c>
      <c r="F78" s="165"/>
      <c r="G78" s="165"/>
      <c r="H78" s="165" t="s">
        <v>266</v>
      </c>
      <c r="I78" s="165" t="s">
        <v>205</v>
      </c>
      <c r="J78" s="165" t="s">
        <v>206</v>
      </c>
      <c r="K78" s="165" t="s">
        <v>809</v>
      </c>
      <c r="L78" s="165">
        <v>36.68</v>
      </c>
      <c r="M78" s="165"/>
      <c r="N78" s="165"/>
    </row>
    <row r="79" spans="1:14" x14ac:dyDescent="0.25">
      <c r="A79" s="165" t="s">
        <v>267</v>
      </c>
      <c r="B79" s="165" t="s">
        <v>205</v>
      </c>
      <c r="C79" s="165" t="s">
        <v>206</v>
      </c>
      <c r="D79" s="165" t="s">
        <v>809</v>
      </c>
      <c r="E79" s="165">
        <v>30.84</v>
      </c>
      <c r="F79" s="165"/>
      <c r="G79" s="165"/>
      <c r="H79" s="165" t="s">
        <v>267</v>
      </c>
      <c r="I79" s="165" t="s">
        <v>205</v>
      </c>
      <c r="J79" s="165" t="s">
        <v>206</v>
      </c>
      <c r="K79" s="165" t="s">
        <v>809</v>
      </c>
      <c r="L79" s="165">
        <v>37.880000000000003</v>
      </c>
      <c r="M79" s="165"/>
      <c r="N79" s="165"/>
    </row>
    <row r="80" spans="1:14" x14ac:dyDescent="0.25">
      <c r="A80" s="165" t="s">
        <v>268</v>
      </c>
      <c r="B80" s="165" t="s">
        <v>205</v>
      </c>
      <c r="C80" s="165" t="s">
        <v>206</v>
      </c>
      <c r="D80" s="165" t="s">
        <v>809</v>
      </c>
      <c r="E80" s="165">
        <v>30.3</v>
      </c>
      <c r="F80" s="165"/>
      <c r="G80" s="165"/>
      <c r="H80" s="165" t="s">
        <v>268</v>
      </c>
      <c r="I80" s="165" t="s">
        <v>205</v>
      </c>
      <c r="J80" s="165" t="s">
        <v>206</v>
      </c>
      <c r="K80" s="165" t="s">
        <v>809</v>
      </c>
      <c r="L80" s="165">
        <v>36.700000000000003</v>
      </c>
      <c r="M80" s="165"/>
      <c r="N80" s="165"/>
    </row>
    <row r="81" spans="1:14" x14ac:dyDescent="0.25">
      <c r="A81" s="165" t="s">
        <v>270</v>
      </c>
      <c r="B81" s="165" t="s">
        <v>205</v>
      </c>
      <c r="C81" s="165" t="s">
        <v>206</v>
      </c>
      <c r="D81" s="165" t="s">
        <v>809</v>
      </c>
      <c r="E81" s="165">
        <v>30.82</v>
      </c>
      <c r="F81" s="165"/>
      <c r="G81" s="165"/>
      <c r="H81" s="165" t="s">
        <v>270</v>
      </c>
      <c r="I81" s="165" t="s">
        <v>205</v>
      </c>
      <c r="J81" s="165" t="s">
        <v>206</v>
      </c>
      <c r="K81" s="165" t="s">
        <v>809</v>
      </c>
      <c r="L81" s="165">
        <v>35.81</v>
      </c>
      <c r="M81" s="165"/>
      <c r="N81" s="165"/>
    </row>
    <row r="82" spans="1:14" x14ac:dyDescent="0.25">
      <c r="A82" s="165" t="s">
        <v>272</v>
      </c>
      <c r="B82" s="165" t="s">
        <v>205</v>
      </c>
      <c r="C82" s="165" t="s">
        <v>206</v>
      </c>
      <c r="D82" s="165" t="s">
        <v>809</v>
      </c>
      <c r="E82" s="165" t="s">
        <v>220</v>
      </c>
      <c r="F82" s="165"/>
      <c r="G82" s="165"/>
      <c r="H82" s="165" t="s">
        <v>272</v>
      </c>
      <c r="I82" s="165" t="s">
        <v>205</v>
      </c>
      <c r="J82" s="165" t="s">
        <v>206</v>
      </c>
      <c r="K82" s="165" t="s">
        <v>809</v>
      </c>
      <c r="L82" s="165" t="s">
        <v>220</v>
      </c>
      <c r="M82" s="165"/>
      <c r="N82" s="165"/>
    </row>
    <row r="83" spans="1:14" x14ac:dyDescent="0.25">
      <c r="A83" s="165" t="s">
        <v>273</v>
      </c>
      <c r="B83" s="165" t="s">
        <v>205</v>
      </c>
      <c r="C83" s="165" t="s">
        <v>206</v>
      </c>
      <c r="D83" s="165" t="s">
        <v>809</v>
      </c>
      <c r="E83" s="165" t="s">
        <v>220</v>
      </c>
      <c r="F83" s="165"/>
      <c r="G83" s="165"/>
      <c r="H83" s="165" t="s">
        <v>273</v>
      </c>
      <c r="I83" s="165" t="s">
        <v>205</v>
      </c>
      <c r="J83" s="165" t="s">
        <v>206</v>
      </c>
      <c r="K83" s="165" t="s">
        <v>809</v>
      </c>
      <c r="L83" s="165" t="s">
        <v>220</v>
      </c>
      <c r="M83" s="165"/>
      <c r="N83" s="165"/>
    </row>
    <row r="84" spans="1:14" x14ac:dyDescent="0.25">
      <c r="A84" s="165" t="s">
        <v>274</v>
      </c>
      <c r="B84" s="165" t="s">
        <v>205</v>
      </c>
      <c r="C84" s="165" t="s">
        <v>206</v>
      </c>
      <c r="D84" s="165" t="s">
        <v>809</v>
      </c>
      <c r="E84" s="165">
        <v>19.95</v>
      </c>
      <c r="F84" s="165">
        <f>AVERAGE(E85:E88)</f>
        <v>20.392499999999998</v>
      </c>
      <c r="G84" s="165">
        <f>STDEV(E85:E88)</f>
        <v>0.54125625477525252</v>
      </c>
      <c r="H84" s="165" t="s">
        <v>274</v>
      </c>
      <c r="I84" s="165" t="s">
        <v>205</v>
      </c>
      <c r="J84" s="165" t="s">
        <v>206</v>
      </c>
      <c r="K84" s="165" t="s">
        <v>809</v>
      </c>
      <c r="L84" s="165">
        <v>22.05</v>
      </c>
      <c r="M84" s="165">
        <f>AVERAGE(L85:L88)</f>
        <v>22.032500000000002</v>
      </c>
      <c r="N84" s="165">
        <f>STDEV(L85:L88)</f>
        <v>0.75066081998907186</v>
      </c>
    </row>
    <row r="85" spans="1:14" x14ac:dyDescent="0.25">
      <c r="A85" s="165" t="s">
        <v>275</v>
      </c>
      <c r="B85" s="165" t="s">
        <v>205</v>
      </c>
      <c r="C85" s="165" t="s">
        <v>206</v>
      </c>
      <c r="D85" s="165" t="s">
        <v>809</v>
      </c>
      <c r="E85" s="165">
        <v>20.95</v>
      </c>
      <c r="F85" s="165"/>
      <c r="G85" s="165"/>
      <c r="H85" s="165" t="s">
        <v>275</v>
      </c>
      <c r="I85" s="165" t="s">
        <v>205</v>
      </c>
      <c r="J85" s="165" t="s">
        <v>206</v>
      </c>
      <c r="K85" s="165" t="s">
        <v>809</v>
      </c>
      <c r="L85" s="165">
        <v>22.43</v>
      </c>
      <c r="M85" s="165"/>
      <c r="N85" s="165"/>
    </row>
    <row r="86" spans="1:14" x14ac:dyDescent="0.25">
      <c r="A86" s="165" t="s">
        <v>276</v>
      </c>
      <c r="B86" s="165" t="s">
        <v>205</v>
      </c>
      <c r="C86" s="165" t="s">
        <v>206</v>
      </c>
      <c r="D86" s="165" t="s">
        <v>809</v>
      </c>
      <c r="E86" s="165">
        <v>20.57</v>
      </c>
      <c r="F86" s="165"/>
      <c r="G86" s="165"/>
      <c r="H86" s="165" t="s">
        <v>276</v>
      </c>
      <c r="I86" s="165" t="s">
        <v>205</v>
      </c>
      <c r="J86" s="165" t="s">
        <v>206</v>
      </c>
      <c r="K86" s="165" t="s">
        <v>809</v>
      </c>
      <c r="L86" s="165">
        <v>22.53</v>
      </c>
      <c r="M86" s="165"/>
      <c r="N86" s="165"/>
    </row>
    <row r="87" spans="1:14" x14ac:dyDescent="0.25">
      <c r="A87" s="165" t="s">
        <v>277</v>
      </c>
      <c r="B87" s="165" t="s">
        <v>205</v>
      </c>
      <c r="C87" s="165" t="s">
        <v>206</v>
      </c>
      <c r="D87" s="165" t="s">
        <v>809</v>
      </c>
      <c r="E87" s="165">
        <v>20.39</v>
      </c>
      <c r="F87" s="165"/>
      <c r="G87" s="165"/>
      <c r="H87" s="165" t="s">
        <v>277</v>
      </c>
      <c r="I87" s="165" t="s">
        <v>205</v>
      </c>
      <c r="J87" s="165" t="s">
        <v>206</v>
      </c>
      <c r="K87" s="165" t="s">
        <v>809</v>
      </c>
      <c r="L87" s="165">
        <v>22.25</v>
      </c>
      <c r="M87" s="165"/>
      <c r="N87" s="165"/>
    </row>
    <row r="88" spans="1:14" x14ac:dyDescent="0.25">
      <c r="A88" s="165" t="s">
        <v>278</v>
      </c>
      <c r="B88" s="165" t="s">
        <v>205</v>
      </c>
      <c r="C88" s="165" t="s">
        <v>206</v>
      </c>
      <c r="D88" s="165" t="s">
        <v>809</v>
      </c>
      <c r="E88" s="165">
        <v>19.66</v>
      </c>
      <c r="F88" s="165"/>
      <c r="G88" s="165"/>
      <c r="H88" s="165" t="s">
        <v>278</v>
      </c>
      <c r="I88" s="165" t="s">
        <v>205</v>
      </c>
      <c r="J88" s="165" t="s">
        <v>206</v>
      </c>
      <c r="K88" s="165" t="s">
        <v>809</v>
      </c>
      <c r="L88" s="165">
        <v>20.92</v>
      </c>
      <c r="M88" s="165"/>
      <c r="N88" s="165"/>
    </row>
    <row r="89" spans="1:14" x14ac:dyDescent="0.25">
      <c r="A89" s="165" t="s">
        <v>279</v>
      </c>
      <c r="B89" s="165" t="s">
        <v>205</v>
      </c>
      <c r="C89" s="165" t="s">
        <v>206</v>
      </c>
      <c r="D89" s="165" t="s">
        <v>809</v>
      </c>
      <c r="E89" s="165">
        <v>32.01</v>
      </c>
      <c r="F89" s="165">
        <f>AVERAGE(E90:E93)</f>
        <v>30.897499999999997</v>
      </c>
      <c r="G89" s="165">
        <f>STDEV(E90:E93)</f>
        <v>0.26068819177962982</v>
      </c>
      <c r="H89" s="165" t="s">
        <v>279</v>
      </c>
      <c r="I89" s="165" t="s">
        <v>205</v>
      </c>
      <c r="J89" s="165" t="s">
        <v>206</v>
      </c>
      <c r="K89" s="165" t="s">
        <v>809</v>
      </c>
      <c r="L89" s="165">
        <v>39.6</v>
      </c>
      <c r="M89" s="165">
        <f>AVERAGE(L90:L93)</f>
        <v>38.435000000000002</v>
      </c>
      <c r="N89" s="165">
        <f>STDEV(L90:L93)</f>
        <v>1.0051368066089328</v>
      </c>
    </row>
    <row r="90" spans="1:14" x14ac:dyDescent="0.25">
      <c r="A90" s="165" t="s">
        <v>280</v>
      </c>
      <c r="B90" s="165" t="s">
        <v>205</v>
      </c>
      <c r="C90" s="165" t="s">
        <v>206</v>
      </c>
      <c r="D90" s="165" t="s">
        <v>809</v>
      </c>
      <c r="E90" s="165">
        <v>31.27</v>
      </c>
      <c r="F90" s="165"/>
      <c r="G90" s="165"/>
      <c r="H90" s="165" t="s">
        <v>280</v>
      </c>
      <c r="I90" s="165" t="s">
        <v>205</v>
      </c>
      <c r="J90" s="165" t="s">
        <v>206</v>
      </c>
      <c r="K90" s="165" t="s">
        <v>809</v>
      </c>
      <c r="L90" s="165">
        <v>38.64</v>
      </c>
      <c r="M90" s="165"/>
      <c r="N90" s="165"/>
    </row>
    <row r="91" spans="1:14" x14ac:dyDescent="0.25">
      <c r="A91" s="165" t="s">
        <v>281</v>
      </c>
      <c r="B91" s="165" t="s">
        <v>205</v>
      </c>
      <c r="C91" s="165" t="s">
        <v>206</v>
      </c>
      <c r="D91" s="165" t="s">
        <v>809</v>
      </c>
      <c r="E91" s="165">
        <v>30.75</v>
      </c>
      <c r="F91" s="165"/>
      <c r="G91" s="165"/>
      <c r="H91" s="165" t="s">
        <v>281</v>
      </c>
      <c r="I91" s="165" t="s">
        <v>205</v>
      </c>
      <c r="J91" s="165" t="s">
        <v>206</v>
      </c>
      <c r="K91" s="165" t="s">
        <v>809</v>
      </c>
      <c r="L91" s="165">
        <v>37.409999999999997</v>
      </c>
      <c r="M91" s="165"/>
      <c r="N91" s="165"/>
    </row>
    <row r="92" spans="1:14" x14ac:dyDescent="0.25">
      <c r="A92" s="165" t="s">
        <v>282</v>
      </c>
      <c r="B92" s="165" t="s">
        <v>205</v>
      </c>
      <c r="C92" s="165" t="s">
        <v>206</v>
      </c>
      <c r="D92" s="165" t="s">
        <v>809</v>
      </c>
      <c r="E92" s="165">
        <v>30.69</v>
      </c>
      <c r="F92" s="165"/>
      <c r="G92" s="165"/>
      <c r="H92" s="165" t="s">
        <v>282</v>
      </c>
      <c r="I92" s="165" t="s">
        <v>205</v>
      </c>
      <c r="J92" s="165" t="s">
        <v>206</v>
      </c>
      <c r="K92" s="165" t="s">
        <v>809</v>
      </c>
      <c r="L92" s="165">
        <v>39.74</v>
      </c>
      <c r="M92" s="165"/>
      <c r="N92" s="165"/>
    </row>
    <row r="93" spans="1:14" x14ac:dyDescent="0.25">
      <c r="A93" s="165" t="s">
        <v>283</v>
      </c>
      <c r="B93" s="165" t="s">
        <v>205</v>
      </c>
      <c r="C93" s="165" t="s">
        <v>206</v>
      </c>
      <c r="D93" s="165" t="s">
        <v>809</v>
      </c>
      <c r="E93" s="165">
        <v>30.88</v>
      </c>
      <c r="F93" s="165"/>
      <c r="G93" s="165"/>
      <c r="H93" s="165" t="s">
        <v>283</v>
      </c>
      <c r="I93" s="165" t="s">
        <v>205</v>
      </c>
      <c r="J93" s="165" t="s">
        <v>206</v>
      </c>
      <c r="K93" s="165" t="s">
        <v>809</v>
      </c>
      <c r="L93" s="165">
        <v>37.950000000000003</v>
      </c>
      <c r="M93" s="165"/>
      <c r="N93" s="165"/>
    </row>
    <row r="94" spans="1:14" x14ac:dyDescent="0.25">
      <c r="A94" s="165" t="s">
        <v>284</v>
      </c>
      <c r="B94" s="165" t="s">
        <v>205</v>
      </c>
      <c r="C94" s="165" t="s">
        <v>206</v>
      </c>
      <c r="D94" s="165" t="s">
        <v>809</v>
      </c>
      <c r="E94" s="165" t="s">
        <v>220</v>
      </c>
      <c r="F94" s="165"/>
      <c r="G94" s="165"/>
      <c r="H94" s="165" t="s">
        <v>284</v>
      </c>
      <c r="I94" s="165" t="s">
        <v>205</v>
      </c>
      <c r="J94" s="165" t="s">
        <v>206</v>
      </c>
      <c r="K94" s="165" t="s">
        <v>809</v>
      </c>
      <c r="L94" s="165" t="s">
        <v>220</v>
      </c>
      <c r="M94" s="165"/>
      <c r="N94" s="165"/>
    </row>
    <row r="95" spans="1:14" x14ac:dyDescent="0.25">
      <c r="A95" s="165" t="s">
        <v>285</v>
      </c>
      <c r="B95" s="165" t="s">
        <v>205</v>
      </c>
      <c r="C95" s="165" t="s">
        <v>206</v>
      </c>
      <c r="D95" s="165" t="s">
        <v>809</v>
      </c>
      <c r="E95" s="165" t="s">
        <v>220</v>
      </c>
      <c r="F95" s="165"/>
      <c r="G95" s="165"/>
      <c r="H95" s="165" t="s">
        <v>285</v>
      </c>
      <c r="I95" s="165" t="s">
        <v>205</v>
      </c>
      <c r="J95" s="165" t="s">
        <v>206</v>
      </c>
      <c r="K95" s="165" t="s">
        <v>809</v>
      </c>
      <c r="L95" s="165" t="s">
        <v>220</v>
      </c>
      <c r="M95" s="165"/>
      <c r="N95" s="165"/>
    </row>
    <row r="96" spans="1:14" x14ac:dyDescent="0.25">
      <c r="A96" s="165" t="s">
        <v>286</v>
      </c>
      <c r="B96" s="165" t="s">
        <v>205</v>
      </c>
      <c r="C96" s="165" t="s">
        <v>206</v>
      </c>
      <c r="D96" s="165" t="s">
        <v>809</v>
      </c>
      <c r="E96" s="165">
        <v>24.49</v>
      </c>
      <c r="F96" s="165">
        <f>AVERAGE(E97:E100)</f>
        <v>24.05</v>
      </c>
      <c r="G96" s="165">
        <f>STDEV(E97:E100)</f>
        <v>0.86305658369927651</v>
      </c>
      <c r="H96" s="165" t="s">
        <v>286</v>
      </c>
      <c r="I96" s="165" t="s">
        <v>205</v>
      </c>
      <c r="J96" s="165" t="s">
        <v>206</v>
      </c>
      <c r="K96" s="165" t="s">
        <v>809</v>
      </c>
      <c r="L96" s="165">
        <v>25.67</v>
      </c>
      <c r="M96" s="165">
        <f>AVERAGE(L97:L100)</f>
        <v>24.842500000000001</v>
      </c>
      <c r="N96" s="165">
        <f>STDEV(L97:L100)</f>
        <v>0.52531736439350118</v>
      </c>
    </row>
    <row r="97" spans="1:14" x14ac:dyDescent="0.25">
      <c r="A97" s="165" t="s">
        <v>287</v>
      </c>
      <c r="B97" s="165" t="s">
        <v>205</v>
      </c>
      <c r="C97" s="165" t="s">
        <v>206</v>
      </c>
      <c r="D97" s="165" t="s">
        <v>809</v>
      </c>
      <c r="E97" s="165">
        <v>24.71</v>
      </c>
      <c r="F97" s="165"/>
      <c r="G97" s="165"/>
      <c r="H97" s="165" t="s">
        <v>287</v>
      </c>
      <c r="I97" s="165" t="s">
        <v>205</v>
      </c>
      <c r="J97" s="165" t="s">
        <v>206</v>
      </c>
      <c r="K97" s="165" t="s">
        <v>809</v>
      </c>
      <c r="L97" s="165">
        <v>25.19</v>
      </c>
      <c r="M97" s="165"/>
      <c r="N97" s="165"/>
    </row>
    <row r="98" spans="1:14" x14ac:dyDescent="0.25">
      <c r="A98" s="165" t="s">
        <v>288</v>
      </c>
      <c r="B98" s="165" t="s">
        <v>205</v>
      </c>
      <c r="C98" s="165" t="s">
        <v>206</v>
      </c>
      <c r="D98" s="165" t="s">
        <v>809</v>
      </c>
      <c r="E98" s="165">
        <v>24.36</v>
      </c>
      <c r="F98" s="165"/>
      <c r="G98" s="165"/>
      <c r="H98" s="165" t="s">
        <v>288</v>
      </c>
      <c r="I98" s="165" t="s">
        <v>205</v>
      </c>
      <c r="J98" s="165" t="s">
        <v>206</v>
      </c>
      <c r="K98" s="165" t="s">
        <v>809</v>
      </c>
      <c r="L98" s="165">
        <v>25.05</v>
      </c>
      <c r="M98" s="165"/>
      <c r="N98" s="165"/>
    </row>
    <row r="99" spans="1:14" x14ac:dyDescent="0.25">
      <c r="A99" s="165" t="s">
        <v>289</v>
      </c>
      <c r="B99" s="165" t="s">
        <v>205</v>
      </c>
      <c r="C99" s="165" t="s">
        <v>206</v>
      </c>
      <c r="D99" s="165" t="s">
        <v>809</v>
      </c>
      <c r="E99" s="165">
        <v>24.35</v>
      </c>
      <c r="F99" s="165"/>
      <c r="G99" s="165"/>
      <c r="H99" s="165" t="s">
        <v>289</v>
      </c>
      <c r="I99" s="165" t="s">
        <v>205</v>
      </c>
      <c r="J99" s="165" t="s">
        <v>206</v>
      </c>
      <c r="K99" s="165" t="s">
        <v>809</v>
      </c>
      <c r="L99" s="165">
        <v>25.07</v>
      </c>
      <c r="M99" s="165"/>
      <c r="N99" s="165"/>
    </row>
    <row r="100" spans="1:14" x14ac:dyDescent="0.25">
      <c r="A100" s="165" t="s">
        <v>290</v>
      </c>
      <c r="B100" s="165" t="s">
        <v>205</v>
      </c>
      <c r="C100" s="165" t="s">
        <v>206</v>
      </c>
      <c r="D100" s="165" t="s">
        <v>809</v>
      </c>
      <c r="E100" s="165">
        <v>22.78</v>
      </c>
      <c r="F100" s="165"/>
      <c r="G100" s="165"/>
      <c r="H100" s="165" t="s">
        <v>290</v>
      </c>
      <c r="I100" s="165" t="s">
        <v>205</v>
      </c>
      <c r="J100" s="165" t="s">
        <v>206</v>
      </c>
      <c r="K100" s="165" t="s">
        <v>809</v>
      </c>
      <c r="L100" s="165">
        <v>24.06</v>
      </c>
      <c r="M100" s="165"/>
      <c r="N100" s="165"/>
    </row>
    <row r="101" spans="1:14" x14ac:dyDescent="0.25">
      <c r="A101" s="165" t="s">
        <v>291</v>
      </c>
      <c r="B101" s="165" t="s">
        <v>205</v>
      </c>
      <c r="C101" s="165" t="s">
        <v>206</v>
      </c>
      <c r="D101" s="165" t="s">
        <v>809</v>
      </c>
      <c r="E101" s="165">
        <v>30.85</v>
      </c>
      <c r="F101" s="165">
        <f>AVERAGE(E102:E105)</f>
        <v>30.049999999999997</v>
      </c>
      <c r="G101" s="165">
        <f>STDEV(E102:E105)</f>
        <v>0.26583202716502474</v>
      </c>
      <c r="H101" s="165" t="s">
        <v>291</v>
      </c>
      <c r="I101" s="165" t="s">
        <v>205</v>
      </c>
      <c r="J101" s="165" t="s">
        <v>206</v>
      </c>
      <c r="K101" s="165" t="s">
        <v>809</v>
      </c>
      <c r="L101" s="165">
        <v>38.49</v>
      </c>
      <c r="M101" s="165">
        <f>AVERAGE(L102:L105)</f>
        <v>37.366666666666667</v>
      </c>
      <c r="N101" s="165">
        <f>STDEV(L102:L105)</f>
        <v>1.0152011294976637</v>
      </c>
    </row>
    <row r="102" spans="1:14" x14ac:dyDescent="0.25">
      <c r="A102" s="165" t="s">
        <v>292</v>
      </c>
      <c r="B102" s="165" t="s">
        <v>205</v>
      </c>
      <c r="C102" s="165" t="s">
        <v>206</v>
      </c>
      <c r="D102" s="165" t="s">
        <v>809</v>
      </c>
      <c r="E102" s="165">
        <v>30.29</v>
      </c>
      <c r="F102" s="165"/>
      <c r="G102" s="165"/>
      <c r="H102" s="165" t="s">
        <v>292</v>
      </c>
      <c r="I102" s="165" t="s">
        <v>205</v>
      </c>
      <c r="J102" s="165" t="s">
        <v>206</v>
      </c>
      <c r="K102" s="165" t="s">
        <v>809</v>
      </c>
      <c r="L102" s="165">
        <v>37.78</v>
      </c>
      <c r="M102" s="165"/>
      <c r="N102" s="165"/>
    </row>
    <row r="103" spans="1:14" x14ac:dyDescent="0.25">
      <c r="A103" s="165" t="s">
        <v>293</v>
      </c>
      <c r="B103" s="165" t="s">
        <v>205</v>
      </c>
      <c r="C103" s="165" t="s">
        <v>206</v>
      </c>
      <c r="D103" s="165" t="s">
        <v>809</v>
      </c>
      <c r="E103" s="165">
        <v>29.97</v>
      </c>
      <c r="F103" s="165"/>
      <c r="G103" s="165"/>
      <c r="H103" s="165" t="s">
        <v>293</v>
      </c>
      <c r="I103" s="165" t="s">
        <v>205</v>
      </c>
      <c r="J103" s="165" t="s">
        <v>206</v>
      </c>
      <c r="K103" s="165" t="s">
        <v>809</v>
      </c>
      <c r="L103" s="165" t="s">
        <v>220</v>
      </c>
      <c r="M103" s="165"/>
      <c r="N103" s="165"/>
    </row>
    <row r="104" spans="1:14" x14ac:dyDescent="0.25">
      <c r="A104" s="165" t="s">
        <v>294</v>
      </c>
      <c r="B104" s="165" t="s">
        <v>205</v>
      </c>
      <c r="C104" s="165" t="s">
        <v>206</v>
      </c>
      <c r="D104" s="165" t="s">
        <v>809</v>
      </c>
      <c r="E104" s="165">
        <v>30.23</v>
      </c>
      <c r="F104" s="165"/>
      <c r="G104" s="165"/>
      <c r="H104" s="165" t="s">
        <v>294</v>
      </c>
      <c r="I104" s="165" t="s">
        <v>205</v>
      </c>
      <c r="J104" s="165" t="s">
        <v>206</v>
      </c>
      <c r="K104" s="165" t="s">
        <v>809</v>
      </c>
      <c r="L104" s="165">
        <v>38.11</v>
      </c>
      <c r="M104" s="165"/>
      <c r="N104" s="165"/>
    </row>
    <row r="105" spans="1:14" x14ac:dyDescent="0.25">
      <c r="A105" s="165" t="s">
        <v>295</v>
      </c>
      <c r="B105" s="165" t="s">
        <v>205</v>
      </c>
      <c r="C105" s="165" t="s">
        <v>206</v>
      </c>
      <c r="D105" s="165" t="s">
        <v>809</v>
      </c>
      <c r="E105" s="165">
        <v>29.71</v>
      </c>
      <c r="F105" s="165"/>
      <c r="G105" s="165"/>
      <c r="H105" s="165" t="s">
        <v>295</v>
      </c>
      <c r="I105" s="165" t="s">
        <v>205</v>
      </c>
      <c r="J105" s="165" t="s">
        <v>206</v>
      </c>
      <c r="K105" s="165" t="s">
        <v>809</v>
      </c>
      <c r="L105" s="165">
        <v>36.21</v>
      </c>
      <c r="M105" s="165"/>
      <c r="N105" s="165"/>
    </row>
    <row r="106" spans="1:14" x14ac:dyDescent="0.25">
      <c r="A106" s="165" t="s">
        <v>296</v>
      </c>
      <c r="B106" s="165" t="s">
        <v>205</v>
      </c>
      <c r="C106" s="165" t="s">
        <v>206</v>
      </c>
      <c r="D106" s="165" t="s">
        <v>809</v>
      </c>
      <c r="E106" s="165" t="s">
        <v>220</v>
      </c>
      <c r="F106" s="165"/>
      <c r="G106" s="165"/>
      <c r="H106" s="165" t="s">
        <v>296</v>
      </c>
      <c r="I106" s="165" t="s">
        <v>205</v>
      </c>
      <c r="J106" s="165" t="s">
        <v>206</v>
      </c>
      <c r="K106" s="165" t="s">
        <v>809</v>
      </c>
      <c r="L106" s="165" t="s">
        <v>220</v>
      </c>
      <c r="M106" s="165"/>
      <c r="N106" s="165"/>
    </row>
    <row r="107" spans="1:14" x14ac:dyDescent="0.25">
      <c r="A107" s="165" t="s">
        <v>297</v>
      </c>
      <c r="B107" s="165" t="s">
        <v>205</v>
      </c>
      <c r="C107" s="165" t="s">
        <v>206</v>
      </c>
      <c r="D107" s="165" t="s">
        <v>809</v>
      </c>
      <c r="E107" s="165" t="s">
        <v>220</v>
      </c>
      <c r="F107" s="165"/>
      <c r="G107" s="165"/>
      <c r="H107" s="165" t="s">
        <v>297</v>
      </c>
      <c r="I107" s="165" t="s">
        <v>205</v>
      </c>
      <c r="J107" s="165" t="s">
        <v>206</v>
      </c>
      <c r="K107" s="165" t="s">
        <v>809</v>
      </c>
      <c r="L107" s="165" t="s">
        <v>220</v>
      </c>
      <c r="M107" s="165"/>
      <c r="N107" s="165"/>
    </row>
    <row r="108" spans="1:14" x14ac:dyDescent="0.25">
      <c r="A108" s="165" t="s">
        <v>298</v>
      </c>
      <c r="B108" s="165" t="s">
        <v>205</v>
      </c>
      <c r="C108" s="165" t="s">
        <v>206</v>
      </c>
      <c r="D108" s="165" t="s">
        <v>809</v>
      </c>
      <c r="E108" s="165">
        <v>21.99</v>
      </c>
      <c r="F108" s="165">
        <f>AVERAGE(E109:E112)</f>
        <v>26.837500000000002</v>
      </c>
      <c r="G108" s="165">
        <f>STDEV(E109:E112)</f>
        <v>0.4055757224818401</v>
      </c>
      <c r="H108" s="165" t="s">
        <v>298</v>
      </c>
      <c r="I108" s="165" t="s">
        <v>205</v>
      </c>
      <c r="J108" s="165" t="s">
        <v>206</v>
      </c>
      <c r="K108" s="165" t="s">
        <v>809</v>
      </c>
      <c r="L108" s="165">
        <v>28.83</v>
      </c>
      <c r="M108" s="165">
        <f>AVERAGE(L109:L112)</f>
        <v>28.375</v>
      </c>
      <c r="N108" s="165">
        <f>STDEV(L109:L112)</f>
        <v>0.46508063816933848</v>
      </c>
    </row>
    <row r="109" spans="1:14" x14ac:dyDescent="0.25">
      <c r="A109" s="165" t="s">
        <v>299</v>
      </c>
      <c r="B109" s="165" t="s">
        <v>205</v>
      </c>
      <c r="C109" s="165" t="s">
        <v>206</v>
      </c>
      <c r="D109" s="165" t="s">
        <v>809</v>
      </c>
      <c r="E109" s="165">
        <v>27.06</v>
      </c>
      <c r="F109" s="165"/>
      <c r="G109" s="165"/>
      <c r="H109" s="165" t="s">
        <v>299</v>
      </c>
      <c r="I109" s="165" t="s">
        <v>205</v>
      </c>
      <c r="J109" s="165" t="s">
        <v>206</v>
      </c>
      <c r="K109" s="165" t="s">
        <v>809</v>
      </c>
      <c r="L109" s="165">
        <v>28.68</v>
      </c>
      <c r="M109" s="165"/>
      <c r="N109" s="165"/>
    </row>
    <row r="110" spans="1:14" x14ac:dyDescent="0.25">
      <c r="A110" s="165" t="s">
        <v>300</v>
      </c>
      <c r="B110" s="165" t="s">
        <v>205</v>
      </c>
      <c r="C110" s="165" t="s">
        <v>206</v>
      </c>
      <c r="D110" s="165" t="s">
        <v>809</v>
      </c>
      <c r="E110" s="165">
        <v>27.05</v>
      </c>
      <c r="F110" s="165"/>
      <c r="G110" s="165"/>
      <c r="H110" s="165" t="s">
        <v>300</v>
      </c>
      <c r="I110" s="165" t="s">
        <v>205</v>
      </c>
      <c r="J110" s="165" t="s">
        <v>206</v>
      </c>
      <c r="K110" s="165" t="s">
        <v>809</v>
      </c>
      <c r="L110" s="165">
        <v>28.65</v>
      </c>
      <c r="M110" s="165"/>
      <c r="N110" s="165"/>
    </row>
    <row r="111" spans="1:14" x14ac:dyDescent="0.25">
      <c r="A111" s="165" t="s">
        <v>301</v>
      </c>
      <c r="B111" s="165" t="s">
        <v>205</v>
      </c>
      <c r="C111" s="165" t="s">
        <v>206</v>
      </c>
      <c r="D111" s="165" t="s">
        <v>809</v>
      </c>
      <c r="E111" s="165">
        <v>27.01</v>
      </c>
      <c r="F111" s="165"/>
      <c r="G111" s="165"/>
      <c r="H111" s="165" t="s">
        <v>301</v>
      </c>
      <c r="I111" s="165" t="s">
        <v>205</v>
      </c>
      <c r="J111" s="165" t="s">
        <v>206</v>
      </c>
      <c r="K111" s="165" t="s">
        <v>809</v>
      </c>
      <c r="L111" s="165">
        <v>28.48</v>
      </c>
      <c r="M111" s="165"/>
      <c r="N111" s="165"/>
    </row>
    <row r="112" spans="1:14" x14ac:dyDescent="0.25">
      <c r="A112" s="165" t="s">
        <v>302</v>
      </c>
      <c r="B112" s="165" t="s">
        <v>205</v>
      </c>
      <c r="C112" s="165" t="s">
        <v>206</v>
      </c>
      <c r="D112" s="165" t="s">
        <v>809</v>
      </c>
      <c r="E112" s="165">
        <v>26.23</v>
      </c>
      <c r="F112" s="165"/>
      <c r="G112" s="165"/>
      <c r="H112" s="165" t="s">
        <v>302</v>
      </c>
      <c r="I112" s="165" t="s">
        <v>205</v>
      </c>
      <c r="J112" s="165" t="s">
        <v>206</v>
      </c>
      <c r="K112" s="165" t="s">
        <v>809</v>
      </c>
      <c r="L112" s="165">
        <v>27.69</v>
      </c>
      <c r="M112" s="165"/>
      <c r="N112" s="165"/>
    </row>
    <row r="113" spans="1:14" x14ac:dyDescent="0.25">
      <c r="A113" s="165" t="s">
        <v>303</v>
      </c>
      <c r="B113" s="165" t="s">
        <v>205</v>
      </c>
      <c r="C113" s="165" t="s">
        <v>206</v>
      </c>
      <c r="D113" s="165" t="s">
        <v>809</v>
      </c>
      <c r="E113" s="165">
        <v>43.92</v>
      </c>
      <c r="F113" s="165">
        <f>AVERAGE(E114:E117)</f>
        <v>37.572499999999998</v>
      </c>
      <c r="G113" s="165">
        <f>STDEV(E114:E117)</f>
        <v>1.189828419002785</v>
      </c>
      <c r="H113" s="165" t="s">
        <v>303</v>
      </c>
      <c r="I113" s="165" t="s">
        <v>205</v>
      </c>
      <c r="J113" s="165" t="s">
        <v>206</v>
      </c>
      <c r="K113" s="165" t="s">
        <v>809</v>
      </c>
      <c r="L113" s="165" t="s">
        <v>220</v>
      </c>
      <c r="M113" s="165">
        <f>AVERAGE(L114:L117)</f>
        <v>40.265000000000001</v>
      </c>
      <c r="N113" s="165">
        <f>STDEV(L114:L117)</f>
        <v>3.203193718775061</v>
      </c>
    </row>
    <row r="114" spans="1:14" x14ac:dyDescent="0.25">
      <c r="A114" s="165" t="s">
        <v>304</v>
      </c>
      <c r="B114" s="165" t="s">
        <v>205</v>
      </c>
      <c r="C114" s="165" t="s">
        <v>206</v>
      </c>
      <c r="D114" s="165" t="s">
        <v>809</v>
      </c>
      <c r="E114" s="165">
        <v>38.36</v>
      </c>
      <c r="F114" s="165"/>
      <c r="G114" s="165"/>
      <c r="H114" s="165" t="s">
        <v>304</v>
      </c>
      <c r="I114" s="165" t="s">
        <v>205</v>
      </c>
      <c r="J114" s="165" t="s">
        <v>206</v>
      </c>
      <c r="K114" s="165" t="s">
        <v>809</v>
      </c>
      <c r="L114" s="165">
        <v>42.53</v>
      </c>
      <c r="M114" s="165"/>
      <c r="N114" s="165"/>
    </row>
    <row r="115" spans="1:14" x14ac:dyDescent="0.25">
      <c r="A115" s="165" t="s">
        <v>305</v>
      </c>
      <c r="B115" s="165" t="s">
        <v>205</v>
      </c>
      <c r="C115" s="165" t="s">
        <v>206</v>
      </c>
      <c r="D115" s="165" t="s">
        <v>809</v>
      </c>
      <c r="E115" s="165">
        <v>36.549999999999997</v>
      </c>
      <c r="F115" s="165"/>
      <c r="G115" s="165"/>
      <c r="H115" s="165" t="s">
        <v>305</v>
      </c>
      <c r="I115" s="165" t="s">
        <v>205</v>
      </c>
      <c r="J115" s="165" t="s">
        <v>206</v>
      </c>
      <c r="K115" s="165" t="s">
        <v>809</v>
      </c>
      <c r="L115" s="165">
        <v>38</v>
      </c>
      <c r="M115" s="165"/>
      <c r="N115" s="165"/>
    </row>
    <row r="116" spans="1:14" x14ac:dyDescent="0.25">
      <c r="A116" s="165" t="s">
        <v>306</v>
      </c>
      <c r="B116" s="165" t="s">
        <v>205</v>
      </c>
      <c r="C116" s="165" t="s">
        <v>206</v>
      </c>
      <c r="D116" s="165" t="s">
        <v>809</v>
      </c>
      <c r="E116" s="165">
        <v>38.82</v>
      </c>
      <c r="F116" s="165"/>
      <c r="G116" s="165"/>
      <c r="H116" s="165" t="s">
        <v>306</v>
      </c>
      <c r="I116" s="165" t="s">
        <v>205</v>
      </c>
      <c r="J116" s="165" t="s">
        <v>206</v>
      </c>
      <c r="K116" s="165" t="s">
        <v>809</v>
      </c>
      <c r="L116" s="165" t="s">
        <v>220</v>
      </c>
      <c r="M116" s="165"/>
      <c r="N116" s="165"/>
    </row>
    <row r="117" spans="1:14" x14ac:dyDescent="0.25">
      <c r="A117" s="165" t="s">
        <v>307</v>
      </c>
      <c r="B117" s="165" t="s">
        <v>205</v>
      </c>
      <c r="C117" s="165" t="s">
        <v>206</v>
      </c>
      <c r="D117" s="165" t="s">
        <v>809</v>
      </c>
      <c r="E117" s="165">
        <v>36.56</v>
      </c>
      <c r="F117" s="165"/>
      <c r="G117" s="165"/>
      <c r="H117" s="165" t="s">
        <v>307</v>
      </c>
      <c r="I117" s="165" t="s">
        <v>205</v>
      </c>
      <c r="J117" s="165" t="s">
        <v>206</v>
      </c>
      <c r="K117" s="165" t="s">
        <v>809</v>
      </c>
      <c r="L117" s="165" t="s">
        <v>220</v>
      </c>
      <c r="M117" s="165"/>
      <c r="N117" s="165"/>
    </row>
    <row r="118" spans="1:14" x14ac:dyDescent="0.25">
      <c r="A118" s="165" t="s">
        <v>308</v>
      </c>
      <c r="B118" s="165" t="s">
        <v>205</v>
      </c>
      <c r="C118" s="165" t="s">
        <v>206</v>
      </c>
      <c r="D118" s="165" t="s">
        <v>809</v>
      </c>
      <c r="E118" s="165" t="s">
        <v>220</v>
      </c>
      <c r="F118" s="165"/>
      <c r="G118" s="165"/>
      <c r="H118" s="165" t="s">
        <v>308</v>
      </c>
      <c r="I118" s="165" t="s">
        <v>205</v>
      </c>
      <c r="J118" s="165" t="s">
        <v>206</v>
      </c>
      <c r="K118" s="165" t="s">
        <v>809</v>
      </c>
      <c r="L118" s="165" t="s">
        <v>220</v>
      </c>
      <c r="M118" s="165"/>
      <c r="N118" s="165"/>
    </row>
    <row r="119" spans="1:14" x14ac:dyDescent="0.25">
      <c r="A119" s="165" t="s">
        <v>309</v>
      </c>
      <c r="B119" s="165" t="s">
        <v>205</v>
      </c>
      <c r="C119" s="165" t="s">
        <v>206</v>
      </c>
      <c r="D119" s="165" t="s">
        <v>809</v>
      </c>
      <c r="E119" s="165" t="s">
        <v>220</v>
      </c>
      <c r="F119" s="165"/>
      <c r="G119" s="165"/>
      <c r="H119" s="165" t="s">
        <v>309</v>
      </c>
      <c r="I119" s="165" t="s">
        <v>205</v>
      </c>
      <c r="J119" s="165" t="s">
        <v>206</v>
      </c>
      <c r="K119" s="165" t="s">
        <v>809</v>
      </c>
      <c r="L119" s="165" t="s">
        <v>220</v>
      </c>
      <c r="M119" s="165"/>
      <c r="N119" s="165"/>
    </row>
    <row r="120" spans="1:14" x14ac:dyDescent="0.25">
      <c r="A120" s="165" t="s">
        <v>310</v>
      </c>
      <c r="B120" s="165" t="s">
        <v>205</v>
      </c>
      <c r="C120" s="165" t="s">
        <v>206</v>
      </c>
      <c r="D120" s="165" t="s">
        <v>809</v>
      </c>
      <c r="E120" s="165">
        <v>29.29</v>
      </c>
      <c r="F120" s="165">
        <f>AVERAGE(E121:E124)</f>
        <v>29.525000000000002</v>
      </c>
      <c r="G120" s="165">
        <f>STDEV(E121:E124)</f>
        <v>0.36519401236420435</v>
      </c>
      <c r="H120" s="165" t="s">
        <v>310</v>
      </c>
      <c r="I120" s="165" t="s">
        <v>205</v>
      </c>
      <c r="J120" s="165" t="s">
        <v>206</v>
      </c>
      <c r="K120" s="165" t="s">
        <v>809</v>
      </c>
      <c r="L120" s="165">
        <v>31.45</v>
      </c>
      <c r="M120" s="165">
        <f>AVERAGE(L121:L124)</f>
        <v>31.745000000000001</v>
      </c>
      <c r="N120" s="165">
        <f>STDEV(L121:L124)</f>
        <v>0.66184086707707335</v>
      </c>
    </row>
    <row r="121" spans="1:14" x14ac:dyDescent="0.25">
      <c r="A121" s="165" t="s">
        <v>311</v>
      </c>
      <c r="B121" s="165" t="s">
        <v>205</v>
      </c>
      <c r="C121" s="165" t="s">
        <v>206</v>
      </c>
      <c r="D121" s="165" t="s">
        <v>809</v>
      </c>
      <c r="E121" s="165">
        <v>29.66</v>
      </c>
      <c r="F121" s="165"/>
      <c r="G121" s="165"/>
      <c r="H121" s="165" t="s">
        <v>311</v>
      </c>
      <c r="I121" s="165" t="s">
        <v>205</v>
      </c>
      <c r="J121" s="165" t="s">
        <v>206</v>
      </c>
      <c r="K121" s="165" t="s">
        <v>809</v>
      </c>
      <c r="L121" s="165">
        <v>32.25</v>
      </c>
      <c r="M121" s="165"/>
      <c r="N121" s="165"/>
    </row>
    <row r="122" spans="1:14" x14ac:dyDescent="0.25">
      <c r="A122" s="165" t="s">
        <v>312</v>
      </c>
      <c r="B122" s="165" t="s">
        <v>205</v>
      </c>
      <c r="C122" s="165" t="s">
        <v>206</v>
      </c>
      <c r="D122" s="165" t="s">
        <v>809</v>
      </c>
      <c r="E122" s="165">
        <v>29.71</v>
      </c>
      <c r="F122" s="165"/>
      <c r="G122" s="165"/>
      <c r="H122" s="165" t="s">
        <v>312</v>
      </c>
      <c r="I122" s="165" t="s">
        <v>205</v>
      </c>
      <c r="J122" s="165" t="s">
        <v>206</v>
      </c>
      <c r="K122" s="165" t="s">
        <v>809</v>
      </c>
      <c r="L122" s="165">
        <v>31.87</v>
      </c>
      <c r="M122" s="165"/>
      <c r="N122" s="165"/>
    </row>
    <row r="123" spans="1:14" x14ac:dyDescent="0.25">
      <c r="A123" s="165" t="s">
        <v>313</v>
      </c>
      <c r="B123" s="165" t="s">
        <v>205</v>
      </c>
      <c r="C123" s="165" t="s">
        <v>206</v>
      </c>
      <c r="D123" s="165" t="s">
        <v>809</v>
      </c>
      <c r="E123" s="165">
        <v>29.75</v>
      </c>
      <c r="F123" s="165"/>
      <c r="G123" s="165"/>
      <c r="H123" s="165" t="s">
        <v>313</v>
      </c>
      <c r="I123" s="165" t="s">
        <v>205</v>
      </c>
      <c r="J123" s="165" t="s">
        <v>206</v>
      </c>
      <c r="K123" s="165" t="s">
        <v>809</v>
      </c>
      <c r="L123" s="165">
        <v>32.08</v>
      </c>
      <c r="M123" s="165"/>
      <c r="N123" s="165"/>
    </row>
    <row r="124" spans="1:14" x14ac:dyDescent="0.25">
      <c r="A124" s="165" t="s">
        <v>314</v>
      </c>
      <c r="B124" s="165" t="s">
        <v>205</v>
      </c>
      <c r="C124" s="165" t="s">
        <v>206</v>
      </c>
      <c r="D124" s="165" t="s">
        <v>809</v>
      </c>
      <c r="E124" s="165">
        <v>28.98</v>
      </c>
      <c r="F124" s="165"/>
      <c r="G124" s="165"/>
      <c r="H124" s="165" t="s">
        <v>314</v>
      </c>
      <c r="I124" s="165" t="s">
        <v>205</v>
      </c>
      <c r="J124" s="165" t="s">
        <v>206</v>
      </c>
      <c r="K124" s="165" t="s">
        <v>809</v>
      </c>
      <c r="L124" s="165">
        <v>30.78</v>
      </c>
      <c r="M124" s="165"/>
      <c r="N124" s="165"/>
    </row>
    <row r="125" spans="1:14" x14ac:dyDescent="0.25">
      <c r="A125" s="165" t="s">
        <v>315</v>
      </c>
      <c r="B125" s="165" t="s">
        <v>205</v>
      </c>
      <c r="C125" s="165" t="s">
        <v>206</v>
      </c>
      <c r="D125" s="165" t="s">
        <v>809</v>
      </c>
      <c r="E125" s="165" t="s">
        <v>220</v>
      </c>
      <c r="F125" s="165">
        <f>AVERAGE(E126:E129)</f>
        <v>38.049999999999997</v>
      </c>
      <c r="G125" s="165" t="e">
        <f>STDEV(E126:E129)</f>
        <v>#DIV/0!</v>
      </c>
      <c r="H125" s="165" t="s">
        <v>315</v>
      </c>
      <c r="I125" s="165" t="s">
        <v>205</v>
      </c>
      <c r="J125" s="165" t="s">
        <v>206</v>
      </c>
      <c r="K125" s="165" t="s">
        <v>809</v>
      </c>
      <c r="L125" s="165" t="s">
        <v>220</v>
      </c>
      <c r="M125" s="165" t="e">
        <f>AVERAGE(L126:L129)</f>
        <v>#DIV/0!</v>
      </c>
      <c r="N125" s="165" t="e">
        <f>STDEV(L126:L129)</f>
        <v>#DIV/0!</v>
      </c>
    </row>
    <row r="126" spans="1:14" x14ac:dyDescent="0.25">
      <c r="A126" s="165" t="s">
        <v>316</v>
      </c>
      <c r="B126" s="165" t="s">
        <v>205</v>
      </c>
      <c r="C126" s="165" t="s">
        <v>206</v>
      </c>
      <c r="D126" s="165" t="s">
        <v>809</v>
      </c>
      <c r="E126" s="165" t="s">
        <v>220</v>
      </c>
      <c r="F126" s="165"/>
      <c r="G126" s="165"/>
      <c r="H126" s="165" t="s">
        <v>316</v>
      </c>
      <c r="I126" s="165" t="s">
        <v>205</v>
      </c>
      <c r="J126" s="165" t="s">
        <v>206</v>
      </c>
      <c r="K126" s="165" t="s">
        <v>809</v>
      </c>
      <c r="L126" s="165" t="s">
        <v>220</v>
      </c>
      <c r="M126" s="165"/>
      <c r="N126" s="165"/>
    </row>
    <row r="127" spans="1:14" x14ac:dyDescent="0.25">
      <c r="A127" s="165" t="s">
        <v>317</v>
      </c>
      <c r="B127" s="165" t="s">
        <v>205</v>
      </c>
      <c r="C127" s="165" t="s">
        <v>206</v>
      </c>
      <c r="D127" s="165" t="s">
        <v>809</v>
      </c>
      <c r="E127" s="165" t="s">
        <v>220</v>
      </c>
      <c r="F127" s="165"/>
      <c r="G127" s="165"/>
      <c r="H127" s="165" t="s">
        <v>317</v>
      </c>
      <c r="I127" s="165" t="s">
        <v>205</v>
      </c>
      <c r="J127" s="165" t="s">
        <v>206</v>
      </c>
      <c r="K127" s="165" t="s">
        <v>809</v>
      </c>
      <c r="L127" s="165" t="s">
        <v>220</v>
      </c>
      <c r="M127" s="165"/>
      <c r="N127" s="165"/>
    </row>
    <row r="128" spans="1:14" x14ac:dyDescent="0.25">
      <c r="A128" s="165" t="s">
        <v>318</v>
      </c>
      <c r="B128" s="165" t="s">
        <v>205</v>
      </c>
      <c r="C128" s="165" t="s">
        <v>206</v>
      </c>
      <c r="D128" s="165" t="s">
        <v>809</v>
      </c>
      <c r="E128" s="165" t="s">
        <v>220</v>
      </c>
      <c r="F128" s="165"/>
      <c r="G128" s="165"/>
      <c r="H128" s="165" t="s">
        <v>318</v>
      </c>
      <c r="I128" s="165" t="s">
        <v>205</v>
      </c>
      <c r="J128" s="165" t="s">
        <v>206</v>
      </c>
      <c r="K128" s="165" t="s">
        <v>809</v>
      </c>
      <c r="L128" s="165" t="s">
        <v>220</v>
      </c>
      <c r="M128" s="165"/>
      <c r="N128" s="165"/>
    </row>
    <row r="129" spans="1:23" x14ac:dyDescent="0.25">
      <c r="A129" s="165" t="s">
        <v>319</v>
      </c>
      <c r="B129" s="165" t="s">
        <v>205</v>
      </c>
      <c r="C129" s="165" t="s">
        <v>206</v>
      </c>
      <c r="D129" s="165" t="s">
        <v>809</v>
      </c>
      <c r="E129" s="165">
        <v>38.049999999999997</v>
      </c>
      <c r="F129" s="165"/>
      <c r="G129" s="165"/>
      <c r="H129" s="165" t="s">
        <v>319</v>
      </c>
      <c r="I129" s="165" t="s">
        <v>205</v>
      </c>
      <c r="J129" s="165" t="s">
        <v>206</v>
      </c>
      <c r="K129" s="165" t="s">
        <v>809</v>
      </c>
      <c r="L129" s="165" t="s">
        <v>220</v>
      </c>
      <c r="M129" s="165"/>
      <c r="N129" s="165"/>
      <c r="O129" s="165"/>
      <c r="P129" s="165"/>
      <c r="Q129" s="165"/>
      <c r="R129" s="165"/>
      <c r="S129" s="165"/>
      <c r="T129" s="165"/>
      <c r="U129" s="165"/>
      <c r="V129" s="165"/>
      <c r="W129" s="165"/>
    </row>
    <row r="130" spans="1:23" x14ac:dyDescent="0.25">
      <c r="A130" s="165" t="s">
        <v>321</v>
      </c>
      <c r="B130" s="165" t="s">
        <v>205</v>
      </c>
      <c r="C130" s="165" t="s">
        <v>206</v>
      </c>
      <c r="D130" s="165" t="s">
        <v>809</v>
      </c>
      <c r="E130" s="165" t="s">
        <v>220</v>
      </c>
      <c r="F130" s="165"/>
      <c r="G130" s="165"/>
      <c r="H130" s="165" t="s">
        <v>321</v>
      </c>
      <c r="I130" s="165" t="s">
        <v>205</v>
      </c>
      <c r="J130" s="165" t="s">
        <v>206</v>
      </c>
      <c r="K130" s="165" t="s">
        <v>809</v>
      </c>
      <c r="L130" s="165" t="s">
        <v>220</v>
      </c>
      <c r="M130" s="165"/>
      <c r="N130" s="165"/>
      <c r="O130" s="165"/>
      <c r="P130" s="165"/>
      <c r="Q130" s="165"/>
      <c r="R130" s="165"/>
      <c r="S130" s="165"/>
      <c r="T130" s="165"/>
      <c r="U130" s="165"/>
      <c r="V130" s="165"/>
      <c r="W130" s="165"/>
    </row>
    <row r="131" spans="1:23" x14ac:dyDescent="0.25">
      <c r="A131" s="165" t="s">
        <v>322</v>
      </c>
      <c r="B131" s="165" t="s">
        <v>205</v>
      </c>
      <c r="C131" s="165" t="s">
        <v>206</v>
      </c>
      <c r="D131" s="165" t="s">
        <v>809</v>
      </c>
      <c r="E131" s="165" t="s">
        <v>220</v>
      </c>
      <c r="F131" s="165"/>
      <c r="G131" s="165"/>
      <c r="H131" s="165" t="s">
        <v>322</v>
      </c>
      <c r="I131" s="165" t="s">
        <v>205</v>
      </c>
      <c r="J131" s="165" t="s">
        <v>206</v>
      </c>
      <c r="K131" s="165" t="s">
        <v>809</v>
      </c>
      <c r="L131" s="165" t="s">
        <v>220</v>
      </c>
      <c r="M131" s="165"/>
      <c r="N131" s="165"/>
      <c r="O131" s="165"/>
      <c r="P131" s="165"/>
      <c r="Q131" s="165"/>
      <c r="R131" s="165"/>
      <c r="S131" s="165"/>
      <c r="T131" s="165"/>
      <c r="U131" s="165"/>
      <c r="V131" s="165"/>
      <c r="W131" s="165"/>
    </row>
    <row r="133" spans="1:23" ht="15.75" thickBot="1" x14ac:dyDescent="0.3">
      <c r="A133" s="165" t="s">
        <v>893</v>
      </c>
      <c r="B133" s="165"/>
      <c r="C133" s="165"/>
      <c r="D133" s="165"/>
      <c r="E133" s="165"/>
      <c r="F133" s="165"/>
      <c r="G133" s="165"/>
      <c r="H133" s="165"/>
      <c r="I133" s="165"/>
      <c r="J133" s="165"/>
      <c r="K133" s="165"/>
      <c r="L133" s="165"/>
      <c r="M133" s="165"/>
      <c r="N133" s="165"/>
      <c r="O133" s="165"/>
      <c r="P133" s="165"/>
      <c r="Q133" s="165"/>
      <c r="R133" s="165"/>
      <c r="S133" s="165"/>
      <c r="T133" s="165"/>
      <c r="U133" s="165"/>
      <c r="V133" s="165"/>
      <c r="W133" s="165"/>
    </row>
    <row r="134" spans="1:23" x14ac:dyDescent="0.25">
      <c r="A134" s="91" t="s">
        <v>50</v>
      </c>
      <c r="B134" s="92" t="s">
        <v>74</v>
      </c>
      <c r="C134" s="92" t="s">
        <v>52</v>
      </c>
      <c r="D134" s="92" t="s">
        <v>75</v>
      </c>
      <c r="E134" s="93">
        <v>20</v>
      </c>
      <c r="F134" s="165"/>
      <c r="G134" s="91" t="s">
        <v>50</v>
      </c>
      <c r="H134" s="92" t="s">
        <v>74</v>
      </c>
      <c r="I134" s="92" t="s">
        <v>52</v>
      </c>
      <c r="J134" s="92" t="s">
        <v>75</v>
      </c>
      <c r="K134" s="93">
        <v>20</v>
      </c>
      <c r="L134" s="165"/>
      <c r="M134" s="165"/>
      <c r="N134" s="165"/>
      <c r="O134" s="165"/>
      <c r="P134" s="165"/>
      <c r="Q134" s="165"/>
      <c r="R134" s="165"/>
      <c r="S134" s="165"/>
      <c r="T134" s="165"/>
      <c r="U134" s="165"/>
      <c r="V134" s="165"/>
      <c r="W134" s="165"/>
    </row>
    <row r="135" spans="1:23" x14ac:dyDescent="0.25">
      <c r="A135" s="94" t="s">
        <v>76</v>
      </c>
      <c r="B135" s="95"/>
      <c r="C135" s="95"/>
      <c r="D135" s="96">
        <f>D23</f>
        <v>8.862222222222222</v>
      </c>
      <c r="E135" s="96">
        <f>D135*$E$134</f>
        <v>177.24444444444444</v>
      </c>
      <c r="F135" s="165"/>
      <c r="G135" s="94" t="s">
        <v>76</v>
      </c>
      <c r="H135" s="95"/>
      <c r="I135" s="95"/>
      <c r="J135" s="96">
        <f>D135</f>
        <v>8.862222222222222</v>
      </c>
      <c r="K135" s="96">
        <f>J135*$K$134</f>
        <v>177.24444444444444</v>
      </c>
      <c r="L135" s="165"/>
      <c r="M135" s="165"/>
      <c r="N135" s="165"/>
      <c r="O135" s="165"/>
      <c r="P135" s="165"/>
      <c r="Q135" s="165"/>
      <c r="R135" s="165"/>
      <c r="S135" s="165"/>
      <c r="T135" s="165"/>
      <c r="U135" s="165"/>
      <c r="V135" s="165"/>
      <c r="W135" s="165"/>
    </row>
    <row r="136" spans="1:23" x14ac:dyDescent="0.25">
      <c r="A136" s="85" t="s">
        <v>113</v>
      </c>
      <c r="B136" s="165" t="s">
        <v>114</v>
      </c>
      <c r="C136" s="95"/>
      <c r="D136" s="96">
        <f>0.25*20/10</f>
        <v>0.5</v>
      </c>
      <c r="E136" s="96">
        <f t="shared" ref="E136:E141" si="15">D136*$E$134</f>
        <v>10</v>
      </c>
      <c r="F136" s="165"/>
      <c r="G136" s="85" t="s">
        <v>894</v>
      </c>
      <c r="H136" s="165" t="s">
        <v>114</v>
      </c>
      <c r="I136" s="95"/>
      <c r="J136" s="96">
        <f>0.25*20/10</f>
        <v>0.5</v>
      </c>
      <c r="K136" s="96">
        <f t="shared" ref="K136:K141" si="16">J136*$K$134</f>
        <v>10</v>
      </c>
      <c r="L136" s="165"/>
      <c r="M136" s="165"/>
      <c r="N136" s="165"/>
      <c r="O136" s="165"/>
      <c r="P136" s="165"/>
      <c r="Q136" s="165"/>
      <c r="R136" s="165"/>
      <c r="S136" s="165"/>
      <c r="T136" s="165"/>
      <c r="U136" s="165"/>
      <c r="V136" s="165"/>
      <c r="W136" s="165"/>
    </row>
    <row r="137" spans="1:23" x14ac:dyDescent="0.25">
      <c r="A137" s="55" t="s">
        <v>115</v>
      </c>
      <c r="B137" s="110" t="s">
        <v>114</v>
      </c>
      <c r="C137" s="115"/>
      <c r="D137" s="96">
        <f>0.25*20/10</f>
        <v>0.5</v>
      </c>
      <c r="E137" s="96">
        <f t="shared" si="15"/>
        <v>10</v>
      </c>
      <c r="F137" s="165"/>
      <c r="G137" s="55" t="s">
        <v>115</v>
      </c>
      <c r="H137" s="110" t="s">
        <v>114</v>
      </c>
      <c r="I137" s="115"/>
      <c r="J137" s="96">
        <f>0.25*20/10</f>
        <v>0.5</v>
      </c>
      <c r="K137" s="96">
        <f t="shared" si="16"/>
        <v>10</v>
      </c>
      <c r="L137" s="165"/>
      <c r="M137" s="165"/>
      <c r="N137" s="165"/>
      <c r="O137" s="165"/>
      <c r="P137" s="165"/>
      <c r="Q137" s="165"/>
      <c r="R137" s="165"/>
      <c r="S137" s="165"/>
      <c r="T137" s="165"/>
      <c r="U137" s="165"/>
      <c r="V137" s="165"/>
      <c r="W137" s="165" t="s">
        <v>895</v>
      </c>
    </row>
    <row r="138" spans="1:23" x14ac:dyDescent="0.25">
      <c r="A138" s="55" t="s">
        <v>116</v>
      </c>
      <c r="B138" s="110" t="s">
        <v>117</v>
      </c>
      <c r="C138" s="115"/>
      <c r="D138" s="96">
        <f>0.5*20/10</f>
        <v>1</v>
      </c>
      <c r="E138" s="96">
        <f t="shared" si="15"/>
        <v>20</v>
      </c>
      <c r="F138" s="165"/>
      <c r="G138" s="55" t="s">
        <v>116</v>
      </c>
      <c r="H138" s="110" t="s">
        <v>117</v>
      </c>
      <c r="I138" s="115"/>
      <c r="J138" s="96">
        <f>0.5*20/10</f>
        <v>1</v>
      </c>
      <c r="K138" s="96">
        <f t="shared" si="16"/>
        <v>20</v>
      </c>
      <c r="L138" s="165"/>
      <c r="M138" s="165"/>
      <c r="N138" s="165"/>
      <c r="O138" s="165"/>
      <c r="P138" s="165"/>
      <c r="Q138" s="165"/>
      <c r="R138" s="165"/>
      <c r="S138" s="165"/>
      <c r="T138" s="165"/>
      <c r="U138" s="165"/>
      <c r="V138" s="165"/>
      <c r="W138" s="165" t="s">
        <v>896</v>
      </c>
    </row>
    <row r="139" spans="1:23" x14ac:dyDescent="0.25">
      <c r="A139" s="55" t="s">
        <v>897</v>
      </c>
      <c r="B139" s="110"/>
      <c r="C139" s="115"/>
      <c r="D139" s="96">
        <v>1</v>
      </c>
      <c r="E139" s="96">
        <f t="shared" si="15"/>
        <v>20</v>
      </c>
      <c r="F139" s="165"/>
      <c r="G139" s="55" t="s">
        <v>897</v>
      </c>
      <c r="H139" s="110"/>
      <c r="I139" s="115"/>
      <c r="J139" s="96">
        <v>1</v>
      </c>
      <c r="K139" s="96">
        <f t="shared" si="16"/>
        <v>20</v>
      </c>
      <c r="L139" s="165"/>
      <c r="M139" s="165"/>
      <c r="N139" s="165"/>
      <c r="O139" s="165"/>
      <c r="P139" s="165"/>
      <c r="Q139" s="165"/>
      <c r="R139" s="165"/>
      <c r="S139" s="165"/>
      <c r="T139" s="165"/>
      <c r="U139" s="165"/>
      <c r="V139" s="165"/>
      <c r="W139" s="165"/>
    </row>
    <row r="140" spans="1:23" x14ac:dyDescent="0.25">
      <c r="A140" s="111" t="s">
        <v>79</v>
      </c>
      <c r="B140" s="110"/>
      <c r="C140" s="165"/>
      <c r="D140" s="96">
        <f>18-SUM(D135:D139)</f>
        <v>6.137777777777778</v>
      </c>
      <c r="E140" s="96">
        <f t="shared" si="15"/>
        <v>122.75555555555556</v>
      </c>
      <c r="F140" s="165"/>
      <c r="G140" s="111" t="s">
        <v>79</v>
      </c>
      <c r="H140" s="110"/>
      <c r="I140" s="165"/>
      <c r="J140" s="96">
        <f>18-SUM(J135:J139)</f>
        <v>6.137777777777778</v>
      </c>
      <c r="K140" s="96">
        <f t="shared" si="16"/>
        <v>122.75555555555556</v>
      </c>
      <c r="L140" s="165"/>
      <c r="M140" s="165"/>
      <c r="N140" s="165"/>
      <c r="O140" s="165"/>
      <c r="P140" s="165"/>
      <c r="Q140" s="165"/>
      <c r="R140" s="165"/>
      <c r="S140" s="165"/>
      <c r="T140" s="165"/>
      <c r="U140" s="165"/>
      <c r="V140" s="165"/>
      <c r="W140" s="165"/>
    </row>
    <row r="141" spans="1:23" ht="15.75" thickBot="1" x14ac:dyDescent="0.3">
      <c r="A141" s="97" t="s">
        <v>80</v>
      </c>
      <c r="B141" s="98"/>
      <c r="C141" s="98"/>
      <c r="D141" s="99">
        <f>SUM(D135:D140)</f>
        <v>18</v>
      </c>
      <c r="E141" s="96">
        <f t="shared" si="15"/>
        <v>360</v>
      </c>
      <c r="F141" s="165"/>
      <c r="G141" s="97" t="s">
        <v>80</v>
      </c>
      <c r="H141" s="98"/>
      <c r="I141" s="98"/>
      <c r="J141" s="99">
        <f>SUM(J135:J140)</f>
        <v>18</v>
      </c>
      <c r="K141" s="96">
        <f t="shared" si="16"/>
        <v>360</v>
      </c>
      <c r="L141" s="165"/>
      <c r="M141" s="165"/>
      <c r="N141" s="165"/>
      <c r="O141" s="165"/>
      <c r="P141" s="165"/>
      <c r="Q141" s="165"/>
      <c r="R141" s="165"/>
      <c r="S141" s="165"/>
      <c r="T141" s="165"/>
      <c r="U141" s="165"/>
      <c r="V141" s="165"/>
      <c r="W141" s="165"/>
    </row>
    <row r="143" spans="1:23" x14ac:dyDescent="0.25">
      <c r="A143" s="165" t="s">
        <v>898</v>
      </c>
      <c r="B143" s="165"/>
      <c r="C143" s="165"/>
      <c r="D143" s="165"/>
      <c r="E143" s="165"/>
      <c r="F143" s="165"/>
      <c r="G143" s="165"/>
      <c r="H143" s="165"/>
      <c r="I143" s="165"/>
      <c r="J143" s="165"/>
      <c r="K143" s="165"/>
      <c r="L143" s="165"/>
      <c r="M143" s="165"/>
      <c r="N143" s="165"/>
      <c r="O143" s="165"/>
      <c r="P143" s="165"/>
      <c r="Q143" s="165"/>
      <c r="R143" s="165"/>
      <c r="S143" s="165"/>
      <c r="T143" s="165"/>
      <c r="U143" s="165"/>
      <c r="V143" s="165"/>
      <c r="W143" s="165"/>
    </row>
    <row r="144" spans="1:23" x14ac:dyDescent="0.25">
      <c r="A144" s="165" t="s">
        <v>899</v>
      </c>
      <c r="B144" s="165"/>
      <c r="C144" s="165"/>
      <c r="D144" s="165"/>
      <c r="E144" s="165"/>
      <c r="F144" s="165"/>
      <c r="G144" s="165"/>
      <c r="H144" s="165"/>
      <c r="I144" s="165"/>
      <c r="J144" s="165"/>
      <c r="K144" s="165"/>
      <c r="L144" s="165"/>
      <c r="M144" s="165"/>
      <c r="N144" s="165"/>
      <c r="O144" s="165"/>
      <c r="P144" s="165"/>
      <c r="Q144" s="165"/>
      <c r="R144" s="165"/>
      <c r="S144" s="165"/>
      <c r="T144" s="165"/>
      <c r="U144" s="165"/>
      <c r="V144" s="165"/>
      <c r="W144" s="165"/>
    </row>
    <row r="145" spans="1:23" ht="15.75" thickBot="1" x14ac:dyDescent="0.3">
      <c r="A145" s="165"/>
      <c r="B145" s="165"/>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3" x14ac:dyDescent="0.25">
      <c r="A146" s="91" t="s">
        <v>50</v>
      </c>
      <c r="B146" s="92" t="s">
        <v>74</v>
      </c>
      <c r="C146" s="92" t="s">
        <v>52</v>
      </c>
      <c r="D146" s="92" t="s">
        <v>75</v>
      </c>
      <c r="E146" s="93">
        <v>42</v>
      </c>
      <c r="F146" s="165"/>
      <c r="G146" s="165"/>
      <c r="H146" s="165"/>
      <c r="I146" s="165"/>
      <c r="J146" s="165"/>
      <c r="K146" s="165"/>
      <c r="L146" s="165"/>
      <c r="M146" s="165"/>
      <c r="N146" s="165"/>
      <c r="O146" s="165"/>
      <c r="P146" s="165"/>
      <c r="Q146" s="165"/>
      <c r="R146" s="165"/>
      <c r="S146" s="165"/>
      <c r="T146" s="165"/>
      <c r="U146" s="165"/>
      <c r="V146" s="165"/>
      <c r="W146" s="165"/>
    </row>
    <row r="147" spans="1:23" x14ac:dyDescent="0.25">
      <c r="A147" s="94" t="s">
        <v>76</v>
      </c>
      <c r="B147" s="95"/>
      <c r="C147" s="95"/>
      <c r="D147" s="96">
        <f>D135</f>
        <v>8.862222222222222</v>
      </c>
      <c r="E147" s="96">
        <f>D147*$E$146</f>
        <v>372.21333333333331</v>
      </c>
      <c r="F147" s="165"/>
      <c r="G147" s="165" t="s">
        <v>900</v>
      </c>
      <c r="H147" s="165"/>
      <c r="I147" s="165"/>
      <c r="J147" s="165"/>
      <c r="K147" s="165"/>
      <c r="L147" s="165" t="s">
        <v>901</v>
      </c>
      <c r="M147" s="165"/>
      <c r="N147" s="165"/>
      <c r="O147" s="165"/>
      <c r="P147" s="165"/>
      <c r="Q147" s="165"/>
      <c r="R147" s="165"/>
      <c r="S147" s="165"/>
      <c r="T147" s="165"/>
      <c r="U147" s="165"/>
      <c r="V147" s="165"/>
      <c r="W147" s="165"/>
    </row>
    <row r="148" spans="1:23" x14ac:dyDescent="0.25">
      <c r="A148" s="85" t="s">
        <v>113</v>
      </c>
      <c r="B148" s="165" t="s">
        <v>114</v>
      </c>
      <c r="C148" s="95"/>
      <c r="D148" s="96">
        <f>0.25*20/10</f>
        <v>0.5</v>
      </c>
      <c r="E148" s="96">
        <f t="shared" ref="E148:E154" si="17">D148*$E$146</f>
        <v>21</v>
      </c>
      <c r="F148" s="165"/>
      <c r="G148" s="165" t="s">
        <v>522</v>
      </c>
      <c r="H148" s="165" t="s">
        <v>523</v>
      </c>
      <c r="I148" s="165" t="s">
        <v>524</v>
      </c>
      <c r="J148" s="165" t="s">
        <v>525</v>
      </c>
      <c r="K148" s="165"/>
      <c r="L148" s="165" t="s">
        <v>522</v>
      </c>
      <c r="M148" s="165" t="s">
        <v>523</v>
      </c>
      <c r="N148" s="165" t="s">
        <v>524</v>
      </c>
      <c r="O148" s="165" t="s">
        <v>525</v>
      </c>
      <c r="P148" s="165" t="s">
        <v>902</v>
      </c>
      <c r="Q148" s="165"/>
      <c r="R148" s="165"/>
      <c r="S148" s="165"/>
      <c r="T148" s="165"/>
      <c r="U148" s="165"/>
      <c r="V148" s="165"/>
      <c r="W148" s="165"/>
    </row>
    <row r="149" spans="1:23" x14ac:dyDescent="0.25">
      <c r="A149" s="55" t="s">
        <v>115</v>
      </c>
      <c r="B149" s="110" t="s">
        <v>114</v>
      </c>
      <c r="C149" s="115"/>
      <c r="D149" s="96">
        <f>0.25*20/10</f>
        <v>0.5</v>
      </c>
      <c r="E149" s="96">
        <f t="shared" si="17"/>
        <v>21</v>
      </c>
      <c r="F149" s="165"/>
      <c r="G149" s="165">
        <f>I149*J149/H149</f>
        <v>0.50000000000000011</v>
      </c>
      <c r="H149" s="165">
        <v>26.4</v>
      </c>
      <c r="I149" s="165">
        <v>0.05</v>
      </c>
      <c r="J149" s="165">
        <v>264</v>
      </c>
      <c r="K149" s="165"/>
      <c r="L149" s="165">
        <v>10</v>
      </c>
      <c r="M149" s="165">
        <f>N149*O149/L149</f>
        <v>3.5000000000000009</v>
      </c>
      <c r="N149" s="165">
        <f>G149</f>
        <v>0.50000000000000011</v>
      </c>
      <c r="O149" s="165">
        <v>70</v>
      </c>
      <c r="P149" s="165">
        <f>O149-M149</f>
        <v>66.5</v>
      </c>
      <c r="Q149" s="165"/>
      <c r="R149" s="165"/>
      <c r="S149" s="165"/>
      <c r="T149" s="165"/>
      <c r="U149" s="165"/>
      <c r="V149" s="165"/>
      <c r="W149" s="165"/>
    </row>
    <row r="150" spans="1:23" x14ac:dyDescent="0.25">
      <c r="A150" s="55" t="s">
        <v>116</v>
      </c>
      <c r="B150" s="110" t="s">
        <v>117</v>
      </c>
      <c r="C150" s="115"/>
      <c r="D150" s="96">
        <f>0.5*20/10</f>
        <v>1</v>
      </c>
      <c r="E150" s="96">
        <f t="shared" si="17"/>
        <v>42</v>
      </c>
      <c r="F150" s="165"/>
      <c r="G150" s="165">
        <f t="shared" ref="G150:G151" si="18">I150*J150/H150</f>
        <v>5</v>
      </c>
      <c r="H150" s="165">
        <v>26.4</v>
      </c>
      <c r="I150" s="165">
        <v>0.5</v>
      </c>
      <c r="J150" s="165">
        <v>264</v>
      </c>
      <c r="K150" s="165"/>
      <c r="L150" s="165">
        <v>10</v>
      </c>
      <c r="M150" s="165">
        <f t="shared" ref="M150:M151" si="19">N150*O150/L150</f>
        <v>35</v>
      </c>
      <c r="N150" s="165">
        <f>G150</f>
        <v>5</v>
      </c>
      <c r="O150" s="165">
        <v>70</v>
      </c>
      <c r="P150" s="165">
        <f t="shared" ref="P150:P151" si="20">O150-M150</f>
        <v>35</v>
      </c>
      <c r="Q150" s="165"/>
      <c r="R150" s="165"/>
      <c r="S150" s="165"/>
      <c r="T150" s="165"/>
      <c r="U150" s="165"/>
      <c r="V150" s="165"/>
      <c r="W150" s="165"/>
    </row>
    <row r="151" spans="1:23" x14ac:dyDescent="0.25">
      <c r="A151" s="55" t="s">
        <v>897</v>
      </c>
      <c r="B151" s="110"/>
      <c r="C151" s="115"/>
      <c r="D151" s="96">
        <v>1</v>
      </c>
      <c r="E151" s="96">
        <f t="shared" si="17"/>
        <v>42</v>
      </c>
      <c r="F151" s="165"/>
      <c r="G151" s="165">
        <f t="shared" si="18"/>
        <v>8.0000000000000018</v>
      </c>
      <c r="H151" s="165">
        <v>26.4</v>
      </c>
      <c r="I151" s="165">
        <v>0.8</v>
      </c>
      <c r="J151" s="165">
        <v>264</v>
      </c>
      <c r="K151" s="165"/>
      <c r="L151" s="165">
        <v>10</v>
      </c>
      <c r="M151" s="165">
        <f t="shared" si="19"/>
        <v>56.000000000000014</v>
      </c>
      <c r="N151" s="165">
        <f>G151</f>
        <v>8.0000000000000018</v>
      </c>
      <c r="O151" s="165">
        <v>70</v>
      </c>
      <c r="P151" s="165">
        <f t="shared" si="20"/>
        <v>13.999999999999986</v>
      </c>
      <c r="Q151" s="165"/>
      <c r="R151" s="165"/>
      <c r="S151" s="165"/>
      <c r="T151" s="165"/>
      <c r="U151" s="165"/>
      <c r="V151" s="165"/>
      <c r="W151" s="165"/>
    </row>
    <row r="152" spans="1:23" s="70" customFormat="1" x14ac:dyDescent="0.25">
      <c r="A152" s="55" t="s">
        <v>903</v>
      </c>
      <c r="B152" s="110"/>
      <c r="C152" s="115"/>
      <c r="D152" s="96">
        <v>0.2</v>
      </c>
      <c r="E152" s="96">
        <f t="shared" si="17"/>
        <v>8.4</v>
      </c>
      <c r="F152" s="165"/>
      <c r="G152" s="165"/>
      <c r="H152" s="165"/>
      <c r="I152" s="165"/>
      <c r="J152" s="165"/>
      <c r="K152" s="165"/>
      <c r="L152" s="165"/>
      <c r="M152" s="165"/>
      <c r="N152" s="165"/>
      <c r="O152" s="165"/>
      <c r="P152" s="165"/>
      <c r="Q152" s="165"/>
      <c r="R152" s="165"/>
      <c r="S152" s="165"/>
      <c r="T152" s="165"/>
      <c r="U152" s="165"/>
      <c r="V152" s="165"/>
      <c r="W152" s="165"/>
    </row>
    <row r="153" spans="1:23" x14ac:dyDescent="0.25">
      <c r="A153" s="111" t="s">
        <v>79</v>
      </c>
      <c r="B153" s="110"/>
      <c r="C153" s="165"/>
      <c r="D153" s="96">
        <f>18-SUM(D147:D152)</f>
        <v>5.9377777777777787</v>
      </c>
      <c r="E153" s="96">
        <f t="shared" si="17"/>
        <v>249.38666666666671</v>
      </c>
      <c r="F153" s="165"/>
      <c r="G153" s="165" t="s">
        <v>904</v>
      </c>
      <c r="H153" s="165"/>
      <c r="I153" s="165"/>
      <c r="J153" s="165"/>
      <c r="K153" s="165"/>
      <c r="L153" s="165"/>
      <c r="M153" s="165"/>
      <c r="N153" s="165"/>
      <c r="O153" s="165"/>
      <c r="P153" s="165"/>
      <c r="Q153" s="165"/>
      <c r="R153" s="165"/>
      <c r="S153" s="165"/>
      <c r="T153" s="165"/>
      <c r="U153" s="165"/>
      <c r="V153" s="165"/>
      <c r="W153" s="165"/>
    </row>
    <row r="154" spans="1:23" ht="15.75" thickBot="1" x14ac:dyDescent="0.3">
      <c r="A154" s="97" t="s">
        <v>80</v>
      </c>
      <c r="B154" s="98"/>
      <c r="C154" s="98"/>
      <c r="D154" s="99">
        <f>SUM(D147:D153)</f>
        <v>18</v>
      </c>
      <c r="E154" s="96">
        <f t="shared" si="17"/>
        <v>756</v>
      </c>
      <c r="F154" s="165"/>
      <c r="G154" s="165"/>
      <c r="H154" s="165"/>
      <c r="I154" s="165"/>
      <c r="J154" s="165"/>
      <c r="K154" s="165"/>
      <c r="L154" s="165"/>
      <c r="M154" s="165"/>
      <c r="N154" s="165"/>
      <c r="O154" s="165"/>
      <c r="P154" s="165"/>
      <c r="Q154" s="165"/>
      <c r="R154" s="165"/>
      <c r="S154" s="165"/>
      <c r="T154" s="165"/>
      <c r="U154" s="165"/>
      <c r="V154" s="165"/>
      <c r="W154" s="165"/>
    </row>
    <row r="155" spans="1:23" ht="15.75" thickBot="1" x14ac:dyDescent="0.3">
      <c r="A155" s="16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row>
    <row r="156" spans="1:23" x14ac:dyDescent="0.25">
      <c r="A156" s="91" t="s">
        <v>50</v>
      </c>
      <c r="B156" s="92" t="s">
        <v>74</v>
      </c>
      <c r="C156" s="92" t="s">
        <v>52</v>
      </c>
      <c r="D156" s="92" t="s">
        <v>75</v>
      </c>
      <c r="E156" s="93">
        <v>42</v>
      </c>
      <c r="F156" s="165"/>
      <c r="G156" s="165" t="s">
        <v>905</v>
      </c>
      <c r="H156" s="165"/>
      <c r="I156" s="165"/>
      <c r="J156" s="165"/>
      <c r="K156" s="165"/>
      <c r="L156" s="165"/>
      <c r="M156" s="165"/>
      <c r="N156" s="165"/>
      <c r="O156" s="165"/>
      <c r="P156" s="165"/>
      <c r="Q156" s="165"/>
      <c r="R156" s="165"/>
      <c r="S156" s="165"/>
      <c r="T156" s="165"/>
      <c r="U156" s="165"/>
      <c r="V156" s="165"/>
      <c r="W156" s="165"/>
    </row>
    <row r="157" spans="1:23" x14ac:dyDescent="0.25">
      <c r="A157" s="94" t="s">
        <v>76</v>
      </c>
      <c r="B157" s="95"/>
      <c r="C157" s="95"/>
      <c r="D157" s="96">
        <f>D147</f>
        <v>8.862222222222222</v>
      </c>
      <c r="E157" s="96">
        <f>D157*$E$156</f>
        <v>372.21333333333331</v>
      </c>
      <c r="F157" s="165"/>
      <c r="G157" s="165" t="s">
        <v>839</v>
      </c>
      <c r="H157" s="175" t="s">
        <v>906</v>
      </c>
      <c r="I157" s="175" t="s">
        <v>894</v>
      </c>
      <c r="J157" s="175" t="s">
        <v>115</v>
      </c>
      <c r="K157" s="165" t="s">
        <v>907</v>
      </c>
      <c r="L157" s="175" t="s">
        <v>908</v>
      </c>
      <c r="M157" s="175" t="s">
        <v>909</v>
      </c>
      <c r="N157" s="175" t="s">
        <v>910</v>
      </c>
      <c r="O157" s="175" t="s">
        <v>911</v>
      </c>
      <c r="P157" s="165"/>
      <c r="Q157" s="165"/>
      <c r="R157" s="165"/>
      <c r="S157" s="165"/>
      <c r="T157" s="165"/>
      <c r="U157" s="165"/>
      <c r="V157" s="165" t="s">
        <v>912</v>
      </c>
      <c r="W157" s="165"/>
    </row>
    <row r="158" spans="1:23" x14ac:dyDescent="0.25">
      <c r="A158" s="85" t="s">
        <v>894</v>
      </c>
      <c r="B158" s="165" t="s">
        <v>114</v>
      </c>
      <c r="C158" s="95"/>
      <c r="D158" s="96">
        <f>0.25*20/10</f>
        <v>0.5</v>
      </c>
      <c r="E158" s="96">
        <f t="shared" ref="E158:E164" si="21">D158*$E$146</f>
        <v>21</v>
      </c>
      <c r="F158" s="165"/>
      <c r="G158" s="165" t="s">
        <v>841</v>
      </c>
      <c r="H158" s="175" t="s">
        <v>147</v>
      </c>
      <c r="I158" s="175"/>
      <c r="J158" s="175" t="s">
        <v>147</v>
      </c>
      <c r="K158" s="88">
        <v>50</v>
      </c>
      <c r="L158" s="165">
        <v>24.048181818181821</v>
      </c>
      <c r="M158" s="165">
        <v>0.15210642207468955</v>
      </c>
      <c r="N158" s="165">
        <v>26.076363636363634</v>
      </c>
      <c r="O158" s="165">
        <v>0.11456637615572256</v>
      </c>
      <c r="P158" s="165"/>
      <c r="Q158" s="165"/>
      <c r="R158" s="165"/>
      <c r="S158" s="165"/>
      <c r="T158" s="165"/>
      <c r="U158" s="165"/>
      <c r="V158" s="165"/>
      <c r="W158" s="165" t="s">
        <v>913</v>
      </c>
    </row>
    <row r="159" spans="1:23" x14ac:dyDescent="0.25">
      <c r="A159" s="55" t="s">
        <v>115</v>
      </c>
      <c r="B159" s="110" t="s">
        <v>114</v>
      </c>
      <c r="C159" s="115"/>
      <c r="D159" s="96">
        <f>0.25*20/10</f>
        <v>0.5</v>
      </c>
      <c r="E159" s="96">
        <f t="shared" si="21"/>
        <v>21</v>
      </c>
      <c r="F159" s="165"/>
      <c r="G159" s="165" t="s">
        <v>843</v>
      </c>
      <c r="H159" s="175" t="s">
        <v>147</v>
      </c>
      <c r="I159" s="175"/>
      <c r="J159" s="175" t="s">
        <v>147</v>
      </c>
      <c r="K159" s="88">
        <v>800</v>
      </c>
      <c r="L159" s="165">
        <v>17.543636363636363</v>
      </c>
      <c r="M159" s="165">
        <v>0.27793066499660424</v>
      </c>
      <c r="N159" s="165" t="e">
        <v>#DIV/0!</v>
      </c>
      <c r="O159" s="165" t="e">
        <v>#DIV/0!</v>
      </c>
      <c r="P159" s="165"/>
      <c r="Q159" s="165"/>
      <c r="R159" s="165"/>
      <c r="S159" s="165"/>
      <c r="T159" s="165"/>
      <c r="U159" s="165"/>
      <c r="V159" s="165"/>
      <c r="W159" s="165" t="s">
        <v>914</v>
      </c>
    </row>
    <row r="160" spans="1:23" x14ac:dyDescent="0.25">
      <c r="A160" s="55" t="s">
        <v>116</v>
      </c>
      <c r="B160" s="110" t="s">
        <v>117</v>
      </c>
      <c r="C160" s="115"/>
      <c r="D160" s="96">
        <f>0.5*20/10</f>
        <v>1</v>
      </c>
      <c r="E160" s="96">
        <f t="shared" si="21"/>
        <v>42</v>
      </c>
      <c r="F160" s="165"/>
      <c r="G160" s="165" t="s">
        <v>844</v>
      </c>
      <c r="H160" s="175" t="s">
        <v>147</v>
      </c>
      <c r="I160" s="175"/>
      <c r="J160" s="175" t="s">
        <v>147</v>
      </c>
      <c r="K160" s="88" t="s">
        <v>915</v>
      </c>
      <c r="L160" s="165">
        <v>24.338181818181816</v>
      </c>
      <c r="M160" s="165">
        <v>0.12828235902244556</v>
      </c>
      <c r="N160" s="165">
        <v>25.902727272727269</v>
      </c>
      <c r="O160" s="165">
        <v>9.6962973251742537E-2</v>
      </c>
      <c r="P160" s="165"/>
      <c r="Q160" s="165"/>
      <c r="R160" s="165"/>
      <c r="S160" s="165"/>
      <c r="T160" s="165"/>
      <c r="U160" s="165"/>
      <c r="V160" s="165"/>
      <c r="W160" s="165" t="s">
        <v>916</v>
      </c>
    </row>
    <row r="161" spans="1:23" x14ac:dyDescent="0.25">
      <c r="A161" s="55" t="s">
        <v>897</v>
      </c>
      <c r="B161" s="110"/>
      <c r="C161" s="115"/>
      <c r="D161" s="96">
        <v>1</v>
      </c>
      <c r="E161" s="96">
        <f t="shared" si="21"/>
        <v>42</v>
      </c>
      <c r="F161" s="165"/>
      <c r="G161" s="165" t="s">
        <v>845</v>
      </c>
      <c r="H161" s="175"/>
      <c r="I161" s="175" t="s">
        <v>147</v>
      </c>
      <c r="J161" s="175" t="s">
        <v>147</v>
      </c>
      <c r="K161" s="88">
        <v>50</v>
      </c>
      <c r="L161" s="165">
        <v>25.633636363636366</v>
      </c>
      <c r="M161" s="165">
        <v>0.16548551158773564</v>
      </c>
      <c r="N161" s="165">
        <v>26.904545454545453</v>
      </c>
      <c r="O161" s="165">
        <v>0.17557697094799421</v>
      </c>
      <c r="P161" s="165"/>
      <c r="Q161" s="165"/>
      <c r="R161" s="165"/>
      <c r="S161" s="165"/>
      <c r="T161" s="165"/>
      <c r="U161" s="165"/>
      <c r="V161" s="165"/>
      <c r="W161" s="165" t="s">
        <v>917</v>
      </c>
    </row>
    <row r="162" spans="1:23" x14ac:dyDescent="0.25">
      <c r="A162" s="55" t="s">
        <v>903</v>
      </c>
      <c r="B162" s="110"/>
      <c r="C162" s="115"/>
      <c r="D162" s="96">
        <v>0.2</v>
      </c>
      <c r="E162" s="96">
        <f t="shared" si="21"/>
        <v>8.4</v>
      </c>
      <c r="F162" s="165"/>
      <c r="G162" s="165" t="s">
        <v>846</v>
      </c>
      <c r="H162" s="175"/>
      <c r="I162" s="175" t="s">
        <v>147</v>
      </c>
      <c r="J162" s="175" t="s">
        <v>147</v>
      </c>
      <c r="K162" s="88">
        <v>800</v>
      </c>
      <c r="L162" s="165">
        <v>25.613636363636363</v>
      </c>
      <c r="M162" s="165">
        <v>0.16566669715260979</v>
      </c>
      <c r="N162" s="165">
        <v>26.855454545454542</v>
      </c>
      <c r="O162" s="165">
        <v>0.21379259277924653</v>
      </c>
      <c r="P162" s="165"/>
      <c r="Q162" s="165"/>
      <c r="R162" s="165"/>
      <c r="S162" s="165"/>
      <c r="T162" s="165"/>
      <c r="U162" s="165"/>
      <c r="V162" s="165"/>
      <c r="W162" s="165" t="s">
        <v>918</v>
      </c>
    </row>
    <row r="163" spans="1:23" x14ac:dyDescent="0.25">
      <c r="A163" s="111" t="s">
        <v>79</v>
      </c>
      <c r="B163" s="110"/>
      <c r="C163" s="165"/>
      <c r="D163" s="96">
        <f>18-SUM(D157:D162)</f>
        <v>5.9377777777777787</v>
      </c>
      <c r="E163" s="96">
        <f t="shared" si="21"/>
        <v>249.38666666666671</v>
      </c>
      <c r="F163" s="165"/>
      <c r="G163" s="165" t="s">
        <v>847</v>
      </c>
      <c r="H163" s="175"/>
      <c r="I163" s="175" t="s">
        <v>147</v>
      </c>
      <c r="J163" s="175" t="s">
        <v>147</v>
      </c>
      <c r="K163" s="88" t="s">
        <v>915</v>
      </c>
      <c r="L163" s="165">
        <v>25.577272727272728</v>
      </c>
      <c r="M163" s="165">
        <v>0.14933793282960001</v>
      </c>
      <c r="N163" s="165">
        <v>26.868181818181821</v>
      </c>
      <c r="O163" s="165">
        <v>0.14427877056713434</v>
      </c>
      <c r="P163" s="165"/>
      <c r="Q163" s="165"/>
      <c r="R163" s="165"/>
      <c r="S163" s="165"/>
      <c r="T163" s="165"/>
      <c r="U163" s="165"/>
      <c r="V163" s="165"/>
      <c r="W163" s="165" t="s">
        <v>919</v>
      </c>
    </row>
    <row r="164" spans="1:23" ht="15.75" thickBot="1" x14ac:dyDescent="0.3">
      <c r="A164" s="97" t="s">
        <v>80</v>
      </c>
      <c r="B164" s="98"/>
      <c r="C164" s="98"/>
      <c r="D164" s="99">
        <f>SUM(D157:D163)</f>
        <v>18</v>
      </c>
      <c r="E164" s="96">
        <f t="shared" si="21"/>
        <v>756</v>
      </c>
      <c r="F164" s="165"/>
      <c r="G164" s="165"/>
      <c r="H164" s="165"/>
      <c r="I164" s="165"/>
      <c r="J164" s="165"/>
      <c r="K164" s="165"/>
      <c r="L164" s="165"/>
      <c r="M164" s="165"/>
      <c r="N164" s="165"/>
      <c r="O164" s="165"/>
      <c r="P164" s="165"/>
      <c r="Q164" s="165"/>
      <c r="R164" s="165"/>
      <c r="S164" s="165"/>
      <c r="T164" s="165"/>
      <c r="U164" s="165"/>
      <c r="V164" s="165"/>
      <c r="W164" s="165" t="s">
        <v>920</v>
      </c>
    </row>
    <row r="166" spans="1:23" x14ac:dyDescent="0.25">
      <c r="A166" s="165" t="s">
        <v>198</v>
      </c>
      <c r="B166" s="165" t="s">
        <v>199</v>
      </c>
      <c r="C166" s="165" t="s">
        <v>200</v>
      </c>
      <c r="D166" s="165" t="s">
        <v>201</v>
      </c>
      <c r="E166" s="165" t="s">
        <v>202</v>
      </c>
      <c r="F166" s="165" t="s">
        <v>807</v>
      </c>
      <c r="G166" s="165" t="s">
        <v>811</v>
      </c>
      <c r="H166" s="165"/>
      <c r="I166" s="165"/>
      <c r="J166" s="165"/>
      <c r="K166" s="165"/>
      <c r="L166" s="165"/>
      <c r="M166" s="165"/>
      <c r="N166" s="165"/>
      <c r="O166" s="165"/>
      <c r="P166" s="165"/>
      <c r="Q166" s="165"/>
      <c r="R166" s="165"/>
      <c r="S166" s="165"/>
      <c r="T166" s="165"/>
      <c r="U166" s="165"/>
      <c r="V166" s="165"/>
      <c r="W166" s="165"/>
    </row>
    <row r="167" spans="1:23" x14ac:dyDescent="0.25">
      <c r="A167" s="165" t="s">
        <v>204</v>
      </c>
      <c r="B167" s="165" t="s">
        <v>897</v>
      </c>
      <c r="C167" s="165" t="s">
        <v>206</v>
      </c>
      <c r="D167" s="165" t="s">
        <v>210</v>
      </c>
      <c r="E167" s="165">
        <v>22.92</v>
      </c>
      <c r="F167" s="165">
        <f>AVERAGE(E168:E178)</f>
        <v>24.048181818181821</v>
      </c>
      <c r="G167" s="165">
        <f>STDEV(E168:E178)</f>
        <v>0.15210642207468955</v>
      </c>
      <c r="H167" s="165"/>
      <c r="I167" s="165"/>
      <c r="J167" s="165"/>
      <c r="K167" s="165"/>
      <c r="L167" s="165"/>
      <c r="M167" s="165"/>
      <c r="N167" s="165"/>
      <c r="O167" s="165"/>
      <c r="P167" s="165"/>
      <c r="Q167" s="165"/>
      <c r="R167" s="165"/>
      <c r="S167" s="165"/>
      <c r="T167" s="165"/>
      <c r="U167" s="165"/>
      <c r="V167" s="165"/>
      <c r="W167" s="165"/>
    </row>
    <row r="168" spans="1:23" x14ac:dyDescent="0.25">
      <c r="A168" s="165" t="s">
        <v>211</v>
      </c>
      <c r="B168" s="165" t="s">
        <v>897</v>
      </c>
      <c r="C168" s="165" t="s">
        <v>206</v>
      </c>
      <c r="D168" s="165" t="s">
        <v>210</v>
      </c>
      <c r="E168" s="165">
        <v>23.94</v>
      </c>
      <c r="F168" s="165"/>
      <c r="G168" s="165"/>
      <c r="H168" s="165"/>
      <c r="I168" s="165"/>
      <c r="J168" s="165"/>
      <c r="K168" s="165"/>
      <c r="L168" s="165"/>
      <c r="M168" s="165"/>
      <c r="N168" s="165"/>
      <c r="O168" s="165"/>
      <c r="P168" s="165"/>
      <c r="Q168" s="165"/>
      <c r="R168" s="165"/>
      <c r="S168" s="165"/>
      <c r="T168" s="165"/>
      <c r="U168" s="165"/>
      <c r="V168" s="165"/>
      <c r="W168" s="165"/>
    </row>
    <row r="169" spans="1:23" x14ac:dyDescent="0.25">
      <c r="A169" s="165" t="s">
        <v>212</v>
      </c>
      <c r="B169" s="165" t="s">
        <v>897</v>
      </c>
      <c r="C169" s="165" t="s">
        <v>206</v>
      </c>
      <c r="D169" s="165" t="s">
        <v>210</v>
      </c>
      <c r="E169" s="165">
        <v>24</v>
      </c>
      <c r="F169" s="165"/>
      <c r="G169" s="165"/>
      <c r="H169" s="165"/>
      <c r="I169" s="165"/>
      <c r="J169" s="165"/>
      <c r="K169" s="165"/>
      <c r="L169" s="165"/>
      <c r="M169" s="165"/>
      <c r="N169" s="165"/>
      <c r="O169" s="165"/>
      <c r="P169" s="165"/>
      <c r="Q169" s="165"/>
      <c r="R169" s="165"/>
      <c r="S169" s="165"/>
      <c r="T169" s="165"/>
      <c r="U169" s="165"/>
      <c r="V169" s="165"/>
      <c r="W169" s="165"/>
    </row>
    <row r="170" spans="1:23" x14ac:dyDescent="0.25">
      <c r="A170" s="165" t="s">
        <v>213</v>
      </c>
      <c r="B170" s="165" t="s">
        <v>897</v>
      </c>
      <c r="C170" s="165" t="s">
        <v>206</v>
      </c>
      <c r="D170" s="165" t="s">
        <v>210</v>
      </c>
      <c r="E170" s="165">
        <v>24.1</v>
      </c>
      <c r="F170" s="165"/>
      <c r="G170" s="165"/>
      <c r="H170" s="165"/>
      <c r="I170" s="165"/>
      <c r="J170" s="165"/>
      <c r="K170" s="165"/>
      <c r="L170" s="165"/>
      <c r="M170" s="165"/>
      <c r="N170" s="165"/>
      <c r="O170" s="165"/>
      <c r="P170" s="165"/>
      <c r="Q170" s="165"/>
      <c r="R170" s="165"/>
      <c r="S170" s="165"/>
      <c r="T170" s="165"/>
      <c r="U170" s="165"/>
      <c r="V170" s="165"/>
      <c r="W170" s="165"/>
    </row>
    <row r="171" spans="1:23" x14ac:dyDescent="0.25">
      <c r="A171" s="165" t="s">
        <v>214</v>
      </c>
      <c r="B171" s="165" t="s">
        <v>897</v>
      </c>
      <c r="C171" s="165" t="s">
        <v>206</v>
      </c>
      <c r="D171" s="165" t="s">
        <v>210</v>
      </c>
      <c r="E171" s="165">
        <v>24.09</v>
      </c>
      <c r="F171" s="165"/>
      <c r="G171" s="165"/>
      <c r="H171" s="165"/>
      <c r="I171" s="165"/>
      <c r="J171" s="165"/>
      <c r="K171" s="165"/>
      <c r="L171" s="165"/>
      <c r="M171" s="165"/>
      <c r="N171" s="165"/>
      <c r="O171" s="165"/>
      <c r="P171" s="165"/>
      <c r="Q171" s="165"/>
      <c r="R171" s="165"/>
      <c r="S171" s="165"/>
      <c r="T171" s="165"/>
      <c r="U171" s="165"/>
      <c r="V171" s="165"/>
      <c r="W171" s="165"/>
    </row>
    <row r="172" spans="1:23" x14ac:dyDescent="0.25">
      <c r="A172" s="165" t="s">
        <v>215</v>
      </c>
      <c r="B172" s="165" t="s">
        <v>897</v>
      </c>
      <c r="C172" s="165" t="s">
        <v>206</v>
      </c>
      <c r="D172" s="165" t="s">
        <v>210</v>
      </c>
      <c r="E172" s="165">
        <v>23.95</v>
      </c>
      <c r="F172" s="165"/>
      <c r="G172" s="165"/>
      <c r="H172" s="165"/>
      <c r="I172" s="165"/>
      <c r="J172" s="165"/>
      <c r="K172" s="165"/>
      <c r="L172" s="165"/>
      <c r="M172" s="165"/>
      <c r="N172" s="165"/>
      <c r="O172" s="165"/>
      <c r="P172" s="165"/>
      <c r="Q172" s="165"/>
      <c r="R172" s="165"/>
      <c r="S172" s="165"/>
      <c r="T172" s="165"/>
      <c r="U172" s="165"/>
      <c r="V172" s="165"/>
      <c r="W172" s="165"/>
    </row>
    <row r="173" spans="1:23" x14ac:dyDescent="0.25">
      <c r="A173" s="165" t="s">
        <v>216</v>
      </c>
      <c r="B173" s="165" t="s">
        <v>897</v>
      </c>
      <c r="C173" s="165" t="s">
        <v>206</v>
      </c>
      <c r="D173" s="165" t="s">
        <v>210</v>
      </c>
      <c r="E173" s="165">
        <v>24.19</v>
      </c>
      <c r="F173" s="165"/>
      <c r="G173" s="165"/>
      <c r="H173" s="165"/>
      <c r="I173" s="165"/>
      <c r="J173" s="165"/>
      <c r="K173" s="165"/>
      <c r="L173" s="165"/>
      <c r="M173" s="165"/>
      <c r="N173" s="165"/>
      <c r="O173" s="165"/>
      <c r="P173" s="165"/>
      <c r="Q173" s="165"/>
      <c r="R173" s="165"/>
      <c r="S173" s="165"/>
      <c r="T173" s="165"/>
      <c r="U173" s="165"/>
      <c r="V173" s="165"/>
      <c r="W173" s="165"/>
    </row>
    <row r="174" spans="1:23" x14ac:dyDescent="0.25">
      <c r="A174" s="165" t="s">
        <v>217</v>
      </c>
      <c r="B174" s="165" t="s">
        <v>897</v>
      </c>
      <c r="C174" s="165" t="s">
        <v>206</v>
      </c>
      <c r="D174" s="165" t="s">
        <v>210</v>
      </c>
      <c r="E174" s="165">
        <v>23.93</v>
      </c>
      <c r="F174" s="165"/>
      <c r="G174" s="165"/>
      <c r="H174" s="165"/>
      <c r="I174" s="165"/>
      <c r="J174" s="165"/>
      <c r="K174" s="165"/>
      <c r="L174" s="165"/>
      <c r="M174" s="165"/>
      <c r="N174" s="165"/>
      <c r="O174" s="165"/>
      <c r="P174" s="165"/>
      <c r="Q174" s="165"/>
      <c r="R174" s="165"/>
      <c r="S174" s="165"/>
      <c r="T174" s="165"/>
      <c r="U174" s="165"/>
      <c r="V174" s="165"/>
      <c r="W174" s="165"/>
    </row>
    <row r="175" spans="1:23" x14ac:dyDescent="0.25">
      <c r="A175" s="165" t="s">
        <v>218</v>
      </c>
      <c r="B175" s="165" t="s">
        <v>897</v>
      </c>
      <c r="C175" s="165" t="s">
        <v>206</v>
      </c>
      <c r="D175" s="165" t="s">
        <v>210</v>
      </c>
      <c r="E175" s="165">
        <v>23.98</v>
      </c>
      <c r="F175" s="165"/>
      <c r="G175" s="165"/>
      <c r="H175" s="165"/>
      <c r="I175" s="165"/>
      <c r="J175" s="165"/>
      <c r="K175" s="165"/>
      <c r="L175" s="165"/>
      <c r="M175" s="165"/>
      <c r="N175" s="165"/>
      <c r="O175" s="165"/>
      <c r="P175" s="165"/>
      <c r="Q175" s="165"/>
      <c r="R175" s="165"/>
      <c r="S175" s="165"/>
      <c r="T175" s="165"/>
      <c r="U175" s="165"/>
      <c r="V175" s="165"/>
      <c r="W175" s="165"/>
    </row>
    <row r="176" spans="1:23" x14ac:dyDescent="0.25">
      <c r="A176" s="165" t="s">
        <v>219</v>
      </c>
      <c r="B176" s="165" t="s">
        <v>897</v>
      </c>
      <c r="C176" s="165" t="s">
        <v>206</v>
      </c>
      <c r="D176" s="165" t="s">
        <v>210</v>
      </c>
      <c r="E176" s="165">
        <v>24</v>
      </c>
      <c r="F176" s="165"/>
      <c r="G176" s="165"/>
      <c r="H176" s="165"/>
      <c r="I176" s="165"/>
      <c r="J176" s="165"/>
      <c r="K176" s="165"/>
      <c r="L176" s="165"/>
      <c r="M176" s="165"/>
      <c r="N176" s="165"/>
      <c r="O176" s="165"/>
      <c r="P176" s="165"/>
      <c r="Q176" s="165"/>
      <c r="R176" s="165"/>
      <c r="S176" s="165"/>
      <c r="T176" s="165"/>
      <c r="U176" s="165"/>
      <c r="V176" s="165"/>
      <c r="W176" s="165"/>
    </row>
    <row r="177" spans="1:7" x14ac:dyDescent="0.25">
      <c r="A177" s="165" t="s">
        <v>221</v>
      </c>
      <c r="B177" s="165" t="s">
        <v>897</v>
      </c>
      <c r="C177" s="165" t="s">
        <v>206</v>
      </c>
      <c r="D177" s="165" t="s">
        <v>210</v>
      </c>
      <c r="E177" s="165">
        <v>23.92</v>
      </c>
      <c r="F177" s="165"/>
      <c r="G177" s="165"/>
    </row>
    <row r="178" spans="1:7" x14ac:dyDescent="0.25">
      <c r="A178" s="165" t="s">
        <v>222</v>
      </c>
      <c r="B178" s="165" t="s">
        <v>897</v>
      </c>
      <c r="C178" s="165" t="s">
        <v>206</v>
      </c>
      <c r="D178" s="165" t="s">
        <v>210</v>
      </c>
      <c r="E178" s="165">
        <v>24.43</v>
      </c>
      <c r="F178" s="165"/>
      <c r="G178" s="165"/>
    </row>
    <row r="179" spans="1:7" x14ac:dyDescent="0.25">
      <c r="A179" s="165" t="s">
        <v>223</v>
      </c>
      <c r="B179" s="165" t="s">
        <v>897</v>
      </c>
      <c r="C179" s="165" t="s">
        <v>206</v>
      </c>
      <c r="D179" s="165" t="s">
        <v>210</v>
      </c>
      <c r="E179" s="165">
        <v>16.05</v>
      </c>
      <c r="F179" s="165">
        <f>AVERAGE(E180:E190)</f>
        <v>17.543636363636363</v>
      </c>
      <c r="G179" s="165">
        <f>STDEV(E180:E190)</f>
        <v>0.27793066499660424</v>
      </c>
    </row>
    <row r="180" spans="1:7" x14ac:dyDescent="0.25">
      <c r="A180" s="165" t="s">
        <v>234</v>
      </c>
      <c r="B180" s="165" t="s">
        <v>897</v>
      </c>
      <c r="C180" s="165" t="s">
        <v>206</v>
      </c>
      <c r="D180" s="165" t="s">
        <v>210</v>
      </c>
      <c r="E180" s="165">
        <v>17.989999999999998</v>
      </c>
      <c r="F180" s="165"/>
      <c r="G180" s="165"/>
    </row>
    <row r="181" spans="1:7" x14ac:dyDescent="0.25">
      <c r="A181" s="165" t="s">
        <v>235</v>
      </c>
      <c r="B181" s="165" t="s">
        <v>897</v>
      </c>
      <c r="C181" s="165" t="s">
        <v>206</v>
      </c>
      <c r="D181" s="165" t="s">
        <v>210</v>
      </c>
      <c r="E181" s="165">
        <v>17.809999999999999</v>
      </c>
      <c r="F181" s="165"/>
      <c r="G181" s="165"/>
    </row>
    <row r="182" spans="1:7" x14ac:dyDescent="0.25">
      <c r="A182" s="165" t="s">
        <v>236</v>
      </c>
      <c r="B182" s="165" t="s">
        <v>897</v>
      </c>
      <c r="C182" s="165" t="s">
        <v>206</v>
      </c>
      <c r="D182" s="165" t="s">
        <v>210</v>
      </c>
      <c r="E182" s="165">
        <v>17.690000000000001</v>
      </c>
      <c r="F182" s="165"/>
      <c r="G182" s="165"/>
    </row>
    <row r="183" spans="1:7" x14ac:dyDescent="0.25">
      <c r="A183" s="165" t="s">
        <v>237</v>
      </c>
      <c r="B183" s="165" t="s">
        <v>897</v>
      </c>
      <c r="C183" s="165" t="s">
        <v>206</v>
      </c>
      <c r="D183" s="165" t="s">
        <v>210</v>
      </c>
      <c r="E183" s="165">
        <v>17.71</v>
      </c>
      <c r="F183" s="165"/>
      <c r="G183" s="165"/>
    </row>
    <row r="184" spans="1:7" x14ac:dyDescent="0.25">
      <c r="A184" s="165" t="s">
        <v>238</v>
      </c>
      <c r="B184" s="165" t="s">
        <v>897</v>
      </c>
      <c r="C184" s="165" t="s">
        <v>206</v>
      </c>
      <c r="D184" s="165" t="s">
        <v>210</v>
      </c>
      <c r="E184" s="165">
        <v>17.59</v>
      </c>
      <c r="F184" s="165"/>
      <c r="G184" s="165"/>
    </row>
    <row r="185" spans="1:7" x14ac:dyDescent="0.25">
      <c r="A185" s="165" t="s">
        <v>239</v>
      </c>
      <c r="B185" s="165" t="s">
        <v>897</v>
      </c>
      <c r="C185" s="165" t="s">
        <v>206</v>
      </c>
      <c r="D185" s="165" t="s">
        <v>210</v>
      </c>
      <c r="E185" s="165">
        <v>17.760000000000002</v>
      </c>
      <c r="F185" s="165"/>
      <c r="G185" s="165"/>
    </row>
    <row r="186" spans="1:7" x14ac:dyDescent="0.25">
      <c r="A186" s="165" t="s">
        <v>242</v>
      </c>
      <c r="B186" s="165" t="s">
        <v>897</v>
      </c>
      <c r="C186" s="165" t="s">
        <v>206</v>
      </c>
      <c r="D186" s="165" t="s">
        <v>210</v>
      </c>
      <c r="E186" s="165">
        <v>17.47</v>
      </c>
      <c r="F186" s="165"/>
      <c r="G186" s="165"/>
    </row>
    <row r="187" spans="1:7" x14ac:dyDescent="0.25">
      <c r="A187" s="165" t="s">
        <v>243</v>
      </c>
      <c r="B187" s="165" t="s">
        <v>897</v>
      </c>
      <c r="C187" s="165" t="s">
        <v>206</v>
      </c>
      <c r="D187" s="165" t="s">
        <v>210</v>
      </c>
      <c r="E187" s="165">
        <v>17.29</v>
      </c>
      <c r="F187" s="165"/>
      <c r="G187" s="165"/>
    </row>
    <row r="188" spans="1:7" x14ac:dyDescent="0.25">
      <c r="A188" s="165" t="s">
        <v>244</v>
      </c>
      <c r="B188" s="165" t="s">
        <v>897</v>
      </c>
      <c r="C188" s="165" t="s">
        <v>206</v>
      </c>
      <c r="D188" s="165" t="s">
        <v>210</v>
      </c>
      <c r="E188" s="165">
        <v>17.29</v>
      </c>
      <c r="F188" s="165"/>
      <c r="G188" s="165"/>
    </row>
    <row r="189" spans="1:7" x14ac:dyDescent="0.25">
      <c r="A189" s="165" t="s">
        <v>245</v>
      </c>
      <c r="B189" s="165" t="s">
        <v>897</v>
      </c>
      <c r="C189" s="165" t="s">
        <v>206</v>
      </c>
      <c r="D189" s="165" t="s">
        <v>210</v>
      </c>
      <c r="E189" s="165">
        <v>17.29</v>
      </c>
      <c r="F189" s="165"/>
      <c r="G189" s="165"/>
    </row>
    <row r="190" spans="1:7" x14ac:dyDescent="0.25">
      <c r="A190" s="165" t="s">
        <v>247</v>
      </c>
      <c r="B190" s="165" t="s">
        <v>897</v>
      </c>
      <c r="C190" s="165" t="s">
        <v>206</v>
      </c>
      <c r="D190" s="165" t="s">
        <v>210</v>
      </c>
      <c r="E190" s="165">
        <v>17.09</v>
      </c>
      <c r="F190" s="165"/>
      <c r="G190" s="165"/>
    </row>
    <row r="191" spans="1:7" x14ac:dyDescent="0.25">
      <c r="A191" s="165" t="s">
        <v>248</v>
      </c>
      <c r="B191" s="165" t="s">
        <v>897</v>
      </c>
      <c r="C191" s="165" t="s">
        <v>206</v>
      </c>
      <c r="D191" s="165" t="s">
        <v>210</v>
      </c>
      <c r="E191" s="165">
        <v>23.35</v>
      </c>
      <c r="F191" s="165">
        <f>AVERAGE(E192:E202)</f>
        <v>24.338181818181816</v>
      </c>
      <c r="G191" s="165">
        <f>STDEV(E192:E202)</f>
        <v>0.12828235902244556</v>
      </c>
    </row>
    <row r="192" spans="1:7" x14ac:dyDescent="0.25">
      <c r="A192" s="165" t="s">
        <v>249</v>
      </c>
      <c r="B192" s="165" t="s">
        <v>897</v>
      </c>
      <c r="C192" s="165" t="s">
        <v>206</v>
      </c>
      <c r="D192" s="165" t="s">
        <v>210</v>
      </c>
      <c r="E192" s="165">
        <v>24.34</v>
      </c>
      <c r="F192" s="165"/>
      <c r="G192" s="165"/>
    </row>
    <row r="193" spans="1:7" x14ac:dyDescent="0.25">
      <c r="A193" s="165" t="s">
        <v>250</v>
      </c>
      <c r="B193" s="165" t="s">
        <v>897</v>
      </c>
      <c r="C193" s="165" t="s">
        <v>206</v>
      </c>
      <c r="D193" s="165" t="s">
        <v>210</v>
      </c>
      <c r="E193" s="165">
        <v>24.43</v>
      </c>
      <c r="F193" s="165"/>
      <c r="G193" s="165"/>
    </row>
    <row r="194" spans="1:7" x14ac:dyDescent="0.25">
      <c r="A194" s="165" t="s">
        <v>251</v>
      </c>
      <c r="B194" s="165" t="s">
        <v>897</v>
      </c>
      <c r="C194" s="165" t="s">
        <v>206</v>
      </c>
      <c r="D194" s="165" t="s">
        <v>210</v>
      </c>
      <c r="E194" s="165">
        <v>24.4</v>
      </c>
      <c r="F194" s="165"/>
      <c r="G194" s="165"/>
    </row>
    <row r="195" spans="1:7" x14ac:dyDescent="0.25">
      <c r="A195" s="165" t="s">
        <v>252</v>
      </c>
      <c r="B195" s="165" t="s">
        <v>897</v>
      </c>
      <c r="C195" s="165" t="s">
        <v>206</v>
      </c>
      <c r="D195" s="165" t="s">
        <v>210</v>
      </c>
      <c r="E195" s="165">
        <v>24.48</v>
      </c>
      <c r="F195" s="165"/>
      <c r="G195" s="165"/>
    </row>
    <row r="196" spans="1:7" x14ac:dyDescent="0.25">
      <c r="A196" s="165" t="s">
        <v>253</v>
      </c>
      <c r="B196" s="165" t="s">
        <v>897</v>
      </c>
      <c r="C196" s="165" t="s">
        <v>206</v>
      </c>
      <c r="D196" s="165" t="s">
        <v>210</v>
      </c>
      <c r="E196" s="165">
        <v>24.17</v>
      </c>
      <c r="F196" s="165"/>
      <c r="G196" s="165"/>
    </row>
    <row r="197" spans="1:7" x14ac:dyDescent="0.25">
      <c r="A197" s="165" t="s">
        <v>254</v>
      </c>
      <c r="B197" s="165" t="s">
        <v>897</v>
      </c>
      <c r="C197" s="165" t="s">
        <v>206</v>
      </c>
      <c r="D197" s="165" t="s">
        <v>210</v>
      </c>
      <c r="E197" s="165">
        <v>24.36</v>
      </c>
      <c r="F197" s="165"/>
      <c r="G197" s="165"/>
    </row>
    <row r="198" spans="1:7" x14ac:dyDescent="0.25">
      <c r="A198" s="165" t="s">
        <v>255</v>
      </c>
      <c r="B198" s="165" t="s">
        <v>897</v>
      </c>
      <c r="C198" s="165" t="s">
        <v>206</v>
      </c>
      <c r="D198" s="165" t="s">
        <v>210</v>
      </c>
      <c r="E198" s="165">
        <v>24.23</v>
      </c>
      <c r="F198" s="165"/>
      <c r="G198" s="165"/>
    </row>
    <row r="199" spans="1:7" x14ac:dyDescent="0.25">
      <c r="A199" s="165" t="s">
        <v>256</v>
      </c>
      <c r="B199" s="165" t="s">
        <v>897</v>
      </c>
      <c r="C199" s="165" t="s">
        <v>206</v>
      </c>
      <c r="D199" s="165" t="s">
        <v>210</v>
      </c>
      <c r="E199" s="165">
        <v>24.51</v>
      </c>
      <c r="F199" s="165"/>
      <c r="G199" s="165"/>
    </row>
    <row r="200" spans="1:7" x14ac:dyDescent="0.25">
      <c r="A200" s="165" t="s">
        <v>257</v>
      </c>
      <c r="B200" s="165" t="s">
        <v>897</v>
      </c>
      <c r="C200" s="165" t="s">
        <v>206</v>
      </c>
      <c r="D200" s="165" t="s">
        <v>210</v>
      </c>
      <c r="E200" s="165">
        <v>24.35</v>
      </c>
      <c r="F200" s="165"/>
      <c r="G200" s="165"/>
    </row>
    <row r="201" spans="1:7" x14ac:dyDescent="0.25">
      <c r="A201" s="165" t="s">
        <v>258</v>
      </c>
      <c r="B201" s="165" t="s">
        <v>897</v>
      </c>
      <c r="C201" s="165" t="s">
        <v>206</v>
      </c>
      <c r="D201" s="165" t="s">
        <v>210</v>
      </c>
      <c r="E201" s="165">
        <v>24.09</v>
      </c>
      <c r="F201" s="165"/>
      <c r="G201" s="165"/>
    </row>
    <row r="202" spans="1:7" x14ac:dyDescent="0.25">
      <c r="A202" s="165" t="s">
        <v>259</v>
      </c>
      <c r="B202" s="165" t="s">
        <v>897</v>
      </c>
      <c r="C202" s="165" t="s">
        <v>206</v>
      </c>
      <c r="D202" s="165" t="s">
        <v>210</v>
      </c>
      <c r="E202" s="165">
        <v>24.36</v>
      </c>
      <c r="F202" s="165"/>
      <c r="G202" s="165"/>
    </row>
    <row r="203" spans="1:7" x14ac:dyDescent="0.25">
      <c r="A203" s="165" t="s">
        <v>260</v>
      </c>
      <c r="B203" s="165" t="s">
        <v>897</v>
      </c>
      <c r="C203" s="165" t="s">
        <v>206</v>
      </c>
      <c r="D203" s="165" t="s">
        <v>210</v>
      </c>
      <c r="E203" s="165">
        <v>24.89</v>
      </c>
      <c r="F203" s="165">
        <f>AVERAGE(E204:E214)</f>
        <v>25.633636363636366</v>
      </c>
      <c r="G203" s="165">
        <f>STDEV(E204:E214)</f>
        <v>0.16548551158773564</v>
      </c>
    </row>
    <row r="204" spans="1:7" x14ac:dyDescent="0.25">
      <c r="A204" s="165" t="s">
        <v>261</v>
      </c>
      <c r="B204" s="165" t="s">
        <v>897</v>
      </c>
      <c r="C204" s="165" t="s">
        <v>206</v>
      </c>
      <c r="D204" s="165" t="s">
        <v>210</v>
      </c>
      <c r="E204" s="165">
        <v>25.83</v>
      </c>
      <c r="F204" s="165"/>
      <c r="G204" s="165"/>
    </row>
    <row r="205" spans="1:7" x14ac:dyDescent="0.25">
      <c r="A205" s="165" t="s">
        <v>262</v>
      </c>
      <c r="B205" s="165" t="s">
        <v>897</v>
      </c>
      <c r="C205" s="165" t="s">
        <v>206</v>
      </c>
      <c r="D205" s="165" t="s">
        <v>210</v>
      </c>
      <c r="E205" s="165">
        <v>25.49</v>
      </c>
      <c r="F205" s="165"/>
      <c r="G205" s="165"/>
    </row>
    <row r="206" spans="1:7" x14ac:dyDescent="0.25">
      <c r="A206" s="165" t="s">
        <v>263</v>
      </c>
      <c r="B206" s="165" t="s">
        <v>897</v>
      </c>
      <c r="C206" s="165" t="s">
        <v>206</v>
      </c>
      <c r="D206" s="165" t="s">
        <v>210</v>
      </c>
      <c r="E206" s="165">
        <v>25.81</v>
      </c>
      <c r="F206" s="165"/>
      <c r="G206" s="165"/>
    </row>
    <row r="207" spans="1:7" x14ac:dyDescent="0.25">
      <c r="A207" s="165" t="s">
        <v>264</v>
      </c>
      <c r="B207" s="165" t="s">
        <v>897</v>
      </c>
      <c r="C207" s="165" t="s">
        <v>206</v>
      </c>
      <c r="D207" s="165" t="s">
        <v>210</v>
      </c>
      <c r="E207" s="165">
        <v>25.48</v>
      </c>
      <c r="F207" s="165"/>
      <c r="G207" s="165"/>
    </row>
    <row r="208" spans="1:7" x14ac:dyDescent="0.25">
      <c r="A208" s="165" t="s">
        <v>265</v>
      </c>
      <c r="B208" s="165" t="s">
        <v>897</v>
      </c>
      <c r="C208" s="165" t="s">
        <v>206</v>
      </c>
      <c r="D208" s="165" t="s">
        <v>210</v>
      </c>
      <c r="E208" s="165">
        <v>25.43</v>
      </c>
      <c r="F208" s="165"/>
      <c r="G208" s="165"/>
    </row>
    <row r="209" spans="1:7" x14ac:dyDescent="0.25">
      <c r="A209" s="165" t="s">
        <v>266</v>
      </c>
      <c r="B209" s="165" t="s">
        <v>897</v>
      </c>
      <c r="C209" s="165" t="s">
        <v>206</v>
      </c>
      <c r="D209" s="165" t="s">
        <v>210</v>
      </c>
      <c r="E209" s="165">
        <v>25.49</v>
      </c>
      <c r="F209" s="165"/>
      <c r="G209" s="165"/>
    </row>
    <row r="210" spans="1:7" x14ac:dyDescent="0.25">
      <c r="A210" s="165" t="s">
        <v>267</v>
      </c>
      <c r="B210" s="165" t="s">
        <v>897</v>
      </c>
      <c r="C210" s="165" t="s">
        <v>206</v>
      </c>
      <c r="D210" s="165" t="s">
        <v>210</v>
      </c>
      <c r="E210" s="165">
        <v>25.58</v>
      </c>
      <c r="F210" s="165"/>
      <c r="G210" s="165"/>
    </row>
    <row r="211" spans="1:7" x14ac:dyDescent="0.25">
      <c r="A211" s="165" t="s">
        <v>268</v>
      </c>
      <c r="B211" s="165" t="s">
        <v>897</v>
      </c>
      <c r="C211" s="165" t="s">
        <v>206</v>
      </c>
      <c r="D211" s="165" t="s">
        <v>210</v>
      </c>
      <c r="E211" s="165">
        <v>25.53</v>
      </c>
      <c r="F211" s="165"/>
      <c r="G211" s="165"/>
    </row>
    <row r="212" spans="1:7" x14ac:dyDescent="0.25">
      <c r="A212" s="165" t="s">
        <v>270</v>
      </c>
      <c r="B212" s="165" t="s">
        <v>897</v>
      </c>
      <c r="C212" s="165" t="s">
        <v>206</v>
      </c>
      <c r="D212" s="165" t="s">
        <v>210</v>
      </c>
      <c r="E212" s="165">
        <v>25.66</v>
      </c>
      <c r="F212" s="165"/>
      <c r="G212" s="165"/>
    </row>
    <row r="213" spans="1:7" x14ac:dyDescent="0.25">
      <c r="A213" s="165" t="s">
        <v>272</v>
      </c>
      <c r="B213" s="165" t="s">
        <v>897</v>
      </c>
      <c r="C213" s="165" t="s">
        <v>206</v>
      </c>
      <c r="D213" s="165" t="s">
        <v>210</v>
      </c>
      <c r="E213" s="165">
        <v>25.87</v>
      </c>
      <c r="F213" s="165"/>
      <c r="G213" s="165"/>
    </row>
    <row r="214" spans="1:7" x14ac:dyDescent="0.25">
      <c r="A214" s="165" t="s">
        <v>273</v>
      </c>
      <c r="B214" s="165" t="s">
        <v>897</v>
      </c>
      <c r="C214" s="165" t="s">
        <v>206</v>
      </c>
      <c r="D214" s="165" t="s">
        <v>210</v>
      </c>
      <c r="E214" s="165">
        <v>25.8</v>
      </c>
      <c r="F214" s="165"/>
      <c r="G214" s="165"/>
    </row>
    <row r="215" spans="1:7" x14ac:dyDescent="0.25">
      <c r="A215" s="165" t="s">
        <v>274</v>
      </c>
      <c r="B215" s="165" t="s">
        <v>897</v>
      </c>
      <c r="C215" s="165" t="s">
        <v>206</v>
      </c>
      <c r="D215" s="165" t="s">
        <v>210</v>
      </c>
      <c r="E215" s="165">
        <v>24.68</v>
      </c>
      <c r="F215" s="165">
        <f>AVERAGE(E216:E226)</f>
        <v>25.613636363636363</v>
      </c>
      <c r="G215" s="165">
        <f>STDEV(E216:E226)</f>
        <v>0.16566669715260979</v>
      </c>
    </row>
    <row r="216" spans="1:7" x14ac:dyDescent="0.25">
      <c r="A216" s="165" t="s">
        <v>275</v>
      </c>
      <c r="B216" s="165" t="s">
        <v>897</v>
      </c>
      <c r="C216" s="165" t="s">
        <v>206</v>
      </c>
      <c r="D216" s="165" t="s">
        <v>210</v>
      </c>
      <c r="E216" s="165">
        <v>25.56</v>
      </c>
      <c r="F216" s="165"/>
      <c r="G216" s="165"/>
    </row>
    <row r="217" spans="1:7" x14ac:dyDescent="0.25">
      <c r="A217" s="165" t="s">
        <v>276</v>
      </c>
      <c r="B217" s="165" t="s">
        <v>897</v>
      </c>
      <c r="C217" s="165" t="s">
        <v>206</v>
      </c>
      <c r="D217" s="165" t="s">
        <v>210</v>
      </c>
      <c r="E217" s="165">
        <v>25.7</v>
      </c>
      <c r="F217" s="165"/>
      <c r="G217" s="165"/>
    </row>
    <row r="218" spans="1:7" x14ac:dyDescent="0.25">
      <c r="A218" s="165" t="s">
        <v>277</v>
      </c>
      <c r="B218" s="165" t="s">
        <v>897</v>
      </c>
      <c r="C218" s="165" t="s">
        <v>206</v>
      </c>
      <c r="D218" s="165" t="s">
        <v>210</v>
      </c>
      <c r="E218" s="165">
        <v>25.66</v>
      </c>
      <c r="F218" s="165"/>
      <c r="G218" s="165"/>
    </row>
    <row r="219" spans="1:7" x14ac:dyDescent="0.25">
      <c r="A219" s="165" t="s">
        <v>278</v>
      </c>
      <c r="B219" s="165" t="s">
        <v>897</v>
      </c>
      <c r="C219" s="165" t="s">
        <v>206</v>
      </c>
      <c r="D219" s="165" t="s">
        <v>210</v>
      </c>
      <c r="E219" s="165">
        <v>25.69</v>
      </c>
      <c r="F219" s="165"/>
      <c r="G219" s="165"/>
    </row>
    <row r="220" spans="1:7" x14ac:dyDescent="0.25">
      <c r="A220" s="165" t="s">
        <v>279</v>
      </c>
      <c r="B220" s="165" t="s">
        <v>897</v>
      </c>
      <c r="C220" s="165" t="s">
        <v>206</v>
      </c>
      <c r="D220" s="165" t="s">
        <v>210</v>
      </c>
      <c r="E220" s="165">
        <v>25.49</v>
      </c>
      <c r="F220" s="165"/>
      <c r="G220" s="165"/>
    </row>
    <row r="221" spans="1:7" x14ac:dyDescent="0.25">
      <c r="A221" s="165" t="s">
        <v>280</v>
      </c>
      <c r="B221" s="165" t="s">
        <v>897</v>
      </c>
      <c r="C221" s="165" t="s">
        <v>206</v>
      </c>
      <c r="D221" s="165" t="s">
        <v>210</v>
      </c>
      <c r="E221" s="165">
        <v>26.04</v>
      </c>
      <c r="F221" s="165"/>
      <c r="G221" s="165"/>
    </row>
    <row r="222" spans="1:7" x14ac:dyDescent="0.25">
      <c r="A222" s="165" t="s">
        <v>281</v>
      </c>
      <c r="B222" s="165" t="s">
        <v>897</v>
      </c>
      <c r="C222" s="165" t="s">
        <v>206</v>
      </c>
      <c r="D222" s="165" t="s">
        <v>210</v>
      </c>
      <c r="E222" s="165">
        <v>25.59</v>
      </c>
      <c r="F222" s="165"/>
      <c r="G222" s="165"/>
    </row>
    <row r="223" spans="1:7" x14ac:dyDescent="0.25">
      <c r="A223" s="165" t="s">
        <v>282</v>
      </c>
      <c r="B223" s="165" t="s">
        <v>897</v>
      </c>
      <c r="C223" s="165" t="s">
        <v>206</v>
      </c>
      <c r="D223" s="165" t="s">
        <v>210</v>
      </c>
      <c r="E223" s="165">
        <v>25.58</v>
      </c>
      <c r="F223" s="165"/>
      <c r="G223" s="165"/>
    </row>
    <row r="224" spans="1:7" x14ac:dyDescent="0.25">
      <c r="A224" s="165" t="s">
        <v>283</v>
      </c>
      <c r="B224" s="165" t="s">
        <v>897</v>
      </c>
      <c r="C224" s="165" t="s">
        <v>206</v>
      </c>
      <c r="D224" s="165" t="s">
        <v>210</v>
      </c>
      <c r="E224" s="165">
        <v>25.43</v>
      </c>
      <c r="F224" s="165"/>
      <c r="G224" s="165"/>
    </row>
    <row r="225" spans="1:7" x14ac:dyDescent="0.25">
      <c r="A225" s="165" t="s">
        <v>284</v>
      </c>
      <c r="B225" s="165" t="s">
        <v>897</v>
      </c>
      <c r="C225" s="165" t="s">
        <v>206</v>
      </c>
      <c r="D225" s="165" t="s">
        <v>210</v>
      </c>
      <c r="E225" s="165">
        <v>25.5</v>
      </c>
      <c r="F225" s="165"/>
      <c r="G225" s="165"/>
    </row>
    <row r="226" spans="1:7" x14ac:dyDescent="0.25">
      <c r="A226" s="165" t="s">
        <v>285</v>
      </c>
      <c r="B226" s="165" t="s">
        <v>897</v>
      </c>
      <c r="C226" s="165" t="s">
        <v>206</v>
      </c>
      <c r="D226" s="165" t="s">
        <v>210</v>
      </c>
      <c r="E226" s="165">
        <v>25.51</v>
      </c>
      <c r="F226" s="165"/>
      <c r="G226" s="165"/>
    </row>
    <row r="227" spans="1:7" x14ac:dyDescent="0.25">
      <c r="A227" s="165" t="s">
        <v>286</v>
      </c>
      <c r="B227" s="165" t="s">
        <v>897</v>
      </c>
      <c r="C227" s="165" t="s">
        <v>206</v>
      </c>
      <c r="D227" s="165" t="s">
        <v>210</v>
      </c>
      <c r="E227" s="165">
        <v>24.98</v>
      </c>
      <c r="F227" s="165">
        <f>AVERAGE(E228:E238)</f>
        <v>25.577272727272728</v>
      </c>
      <c r="G227" s="165">
        <f>STDEV(E228:E238)</f>
        <v>0.14933793282960001</v>
      </c>
    </row>
    <row r="228" spans="1:7" x14ac:dyDescent="0.25">
      <c r="A228" s="165" t="s">
        <v>287</v>
      </c>
      <c r="B228" s="165" t="s">
        <v>897</v>
      </c>
      <c r="C228" s="165" t="s">
        <v>206</v>
      </c>
      <c r="D228" s="165" t="s">
        <v>210</v>
      </c>
      <c r="E228" s="165">
        <v>25.76</v>
      </c>
      <c r="F228" s="165"/>
      <c r="G228" s="165"/>
    </row>
    <row r="229" spans="1:7" x14ac:dyDescent="0.25">
      <c r="A229" s="165" t="s">
        <v>288</v>
      </c>
      <c r="B229" s="165" t="s">
        <v>897</v>
      </c>
      <c r="C229" s="165" t="s">
        <v>206</v>
      </c>
      <c r="D229" s="165" t="s">
        <v>210</v>
      </c>
      <c r="E229" s="165">
        <v>25.57</v>
      </c>
      <c r="F229" s="165"/>
      <c r="G229" s="165"/>
    </row>
    <row r="230" spans="1:7" x14ac:dyDescent="0.25">
      <c r="A230" s="165" t="s">
        <v>289</v>
      </c>
      <c r="B230" s="165" t="s">
        <v>897</v>
      </c>
      <c r="C230" s="165" t="s">
        <v>206</v>
      </c>
      <c r="D230" s="165" t="s">
        <v>210</v>
      </c>
      <c r="E230" s="165">
        <v>25.72</v>
      </c>
      <c r="F230" s="165"/>
      <c r="G230" s="165"/>
    </row>
    <row r="231" spans="1:7" x14ac:dyDescent="0.25">
      <c r="A231" s="165" t="s">
        <v>290</v>
      </c>
      <c r="B231" s="165" t="s">
        <v>897</v>
      </c>
      <c r="C231" s="165" t="s">
        <v>206</v>
      </c>
      <c r="D231" s="165" t="s">
        <v>210</v>
      </c>
      <c r="E231" s="165">
        <v>25.49</v>
      </c>
      <c r="F231" s="165"/>
      <c r="G231" s="165"/>
    </row>
    <row r="232" spans="1:7" x14ac:dyDescent="0.25">
      <c r="A232" s="165" t="s">
        <v>291</v>
      </c>
      <c r="B232" s="165" t="s">
        <v>897</v>
      </c>
      <c r="C232" s="165" t="s">
        <v>206</v>
      </c>
      <c r="D232" s="165" t="s">
        <v>210</v>
      </c>
      <c r="E232" s="165">
        <v>25.39</v>
      </c>
      <c r="F232" s="165"/>
      <c r="G232" s="165"/>
    </row>
    <row r="233" spans="1:7" x14ac:dyDescent="0.25">
      <c r="A233" s="165" t="s">
        <v>292</v>
      </c>
      <c r="B233" s="165" t="s">
        <v>897</v>
      </c>
      <c r="C233" s="165" t="s">
        <v>206</v>
      </c>
      <c r="D233" s="165" t="s">
        <v>210</v>
      </c>
      <c r="E233" s="165">
        <v>25.69</v>
      </c>
      <c r="F233" s="165"/>
      <c r="G233" s="165"/>
    </row>
    <row r="234" spans="1:7" x14ac:dyDescent="0.25">
      <c r="A234" s="165" t="s">
        <v>293</v>
      </c>
      <c r="B234" s="165" t="s">
        <v>897</v>
      </c>
      <c r="C234" s="165" t="s">
        <v>206</v>
      </c>
      <c r="D234" s="165" t="s">
        <v>210</v>
      </c>
      <c r="E234" s="165">
        <v>25.53</v>
      </c>
      <c r="F234" s="165"/>
      <c r="G234" s="165"/>
    </row>
    <row r="235" spans="1:7" x14ac:dyDescent="0.25">
      <c r="A235" s="165" t="s">
        <v>294</v>
      </c>
      <c r="B235" s="165" t="s">
        <v>897</v>
      </c>
      <c r="C235" s="165" t="s">
        <v>206</v>
      </c>
      <c r="D235" s="165" t="s">
        <v>210</v>
      </c>
      <c r="E235" s="165">
        <v>25.83</v>
      </c>
      <c r="F235" s="165"/>
      <c r="G235" s="165"/>
    </row>
    <row r="236" spans="1:7" x14ac:dyDescent="0.25">
      <c r="A236" s="165" t="s">
        <v>295</v>
      </c>
      <c r="B236" s="165" t="s">
        <v>897</v>
      </c>
      <c r="C236" s="165" t="s">
        <v>206</v>
      </c>
      <c r="D236" s="165" t="s">
        <v>210</v>
      </c>
      <c r="E236" s="165">
        <v>25.46</v>
      </c>
      <c r="F236" s="165"/>
      <c r="G236" s="165"/>
    </row>
    <row r="237" spans="1:7" x14ac:dyDescent="0.25">
      <c r="A237" s="165" t="s">
        <v>296</v>
      </c>
      <c r="B237" s="165" t="s">
        <v>897</v>
      </c>
      <c r="C237" s="165" t="s">
        <v>206</v>
      </c>
      <c r="D237" s="165" t="s">
        <v>210</v>
      </c>
      <c r="E237" s="165">
        <v>25.5</v>
      </c>
      <c r="F237" s="165"/>
      <c r="G237" s="165"/>
    </row>
    <row r="238" spans="1:7" x14ac:dyDescent="0.25">
      <c r="A238" s="165" t="s">
        <v>297</v>
      </c>
      <c r="B238" s="165" t="s">
        <v>897</v>
      </c>
      <c r="C238" s="165" t="s">
        <v>206</v>
      </c>
      <c r="D238" s="165" t="s">
        <v>210</v>
      </c>
      <c r="E238" s="165">
        <v>25.41</v>
      </c>
      <c r="F238" s="165"/>
      <c r="G238" s="165"/>
    </row>
    <row r="239" spans="1:7" x14ac:dyDescent="0.25">
      <c r="A239" s="165" t="s">
        <v>298</v>
      </c>
      <c r="B239" s="165" t="s">
        <v>897</v>
      </c>
      <c r="C239" s="165" t="s">
        <v>206</v>
      </c>
      <c r="D239" s="165" t="s">
        <v>210</v>
      </c>
      <c r="E239" s="165" t="s">
        <v>220</v>
      </c>
      <c r="F239" s="165"/>
      <c r="G239" s="165"/>
    </row>
    <row r="240" spans="1:7" x14ac:dyDescent="0.25">
      <c r="A240" s="165" t="s">
        <v>299</v>
      </c>
      <c r="B240" s="165" t="s">
        <v>897</v>
      </c>
      <c r="C240" s="165" t="s">
        <v>206</v>
      </c>
      <c r="D240" s="165" t="s">
        <v>210</v>
      </c>
      <c r="E240" s="165" t="s">
        <v>220</v>
      </c>
      <c r="F240" s="165"/>
      <c r="G240" s="165"/>
    </row>
    <row r="241" spans="1:5" x14ac:dyDescent="0.25">
      <c r="A241" s="165" t="s">
        <v>300</v>
      </c>
      <c r="B241" s="165" t="s">
        <v>897</v>
      </c>
      <c r="C241" s="165" t="s">
        <v>206</v>
      </c>
      <c r="D241" s="165" t="s">
        <v>210</v>
      </c>
      <c r="E241" s="165" t="s">
        <v>220</v>
      </c>
    </row>
    <row r="242" spans="1:5" x14ac:dyDescent="0.25">
      <c r="A242" s="165" t="s">
        <v>301</v>
      </c>
      <c r="B242" s="165" t="s">
        <v>897</v>
      </c>
      <c r="C242" s="165" t="s">
        <v>206</v>
      </c>
      <c r="D242" s="165" t="s">
        <v>210</v>
      </c>
      <c r="E242" s="165" t="s">
        <v>220</v>
      </c>
    </row>
    <row r="243" spans="1:5" x14ac:dyDescent="0.25">
      <c r="A243" s="165" t="s">
        <v>302</v>
      </c>
      <c r="B243" s="165" t="s">
        <v>897</v>
      </c>
      <c r="C243" s="165" t="s">
        <v>206</v>
      </c>
      <c r="D243" s="165" t="s">
        <v>210</v>
      </c>
      <c r="E243" s="165" t="s">
        <v>220</v>
      </c>
    </row>
    <row r="244" spans="1:5" x14ac:dyDescent="0.25">
      <c r="A244" s="165" t="s">
        <v>303</v>
      </c>
      <c r="B244" s="165" t="s">
        <v>897</v>
      </c>
      <c r="C244" s="165" t="s">
        <v>206</v>
      </c>
      <c r="D244" s="165" t="s">
        <v>210</v>
      </c>
      <c r="E244" s="165" t="s">
        <v>220</v>
      </c>
    </row>
    <row r="245" spans="1:5" x14ac:dyDescent="0.25">
      <c r="A245" s="165" t="s">
        <v>304</v>
      </c>
      <c r="B245" s="165" t="s">
        <v>897</v>
      </c>
      <c r="C245" s="165" t="s">
        <v>206</v>
      </c>
      <c r="D245" s="165" t="s">
        <v>210</v>
      </c>
      <c r="E245" s="165" t="s">
        <v>220</v>
      </c>
    </row>
    <row r="246" spans="1:5" x14ac:dyDescent="0.25">
      <c r="A246" s="165" t="s">
        <v>305</v>
      </c>
      <c r="B246" s="165" t="s">
        <v>897</v>
      </c>
      <c r="C246" s="165" t="s">
        <v>206</v>
      </c>
      <c r="D246" s="165" t="s">
        <v>210</v>
      </c>
      <c r="E246" s="165" t="s">
        <v>220</v>
      </c>
    </row>
    <row r="247" spans="1:5" x14ac:dyDescent="0.25">
      <c r="A247" s="165" t="s">
        <v>306</v>
      </c>
      <c r="B247" s="165" t="s">
        <v>897</v>
      </c>
      <c r="C247" s="165" t="s">
        <v>206</v>
      </c>
      <c r="D247" s="165" t="s">
        <v>210</v>
      </c>
      <c r="E247" s="165" t="s">
        <v>220</v>
      </c>
    </row>
    <row r="248" spans="1:5" x14ac:dyDescent="0.25">
      <c r="A248" s="165" t="s">
        <v>307</v>
      </c>
      <c r="B248" s="165" t="s">
        <v>897</v>
      </c>
      <c r="C248" s="165" t="s">
        <v>206</v>
      </c>
      <c r="D248" s="165" t="s">
        <v>210</v>
      </c>
      <c r="E248" s="165" t="s">
        <v>220</v>
      </c>
    </row>
    <row r="249" spans="1:5" x14ac:dyDescent="0.25">
      <c r="A249" s="165" t="s">
        <v>308</v>
      </c>
      <c r="B249" s="165" t="s">
        <v>897</v>
      </c>
      <c r="C249" s="165" t="s">
        <v>206</v>
      </c>
      <c r="D249" s="165" t="s">
        <v>210</v>
      </c>
      <c r="E249" s="165" t="s">
        <v>220</v>
      </c>
    </row>
    <row r="250" spans="1:5" x14ac:dyDescent="0.25">
      <c r="A250" s="165" t="s">
        <v>309</v>
      </c>
      <c r="B250" s="165" t="s">
        <v>897</v>
      </c>
      <c r="C250" s="165" t="s">
        <v>206</v>
      </c>
      <c r="D250" s="165" t="s">
        <v>210</v>
      </c>
      <c r="E250" s="165" t="s">
        <v>220</v>
      </c>
    </row>
    <row r="251" spans="1:5" x14ac:dyDescent="0.25">
      <c r="A251" s="165" t="s">
        <v>310</v>
      </c>
      <c r="B251" s="165" t="s">
        <v>897</v>
      </c>
      <c r="C251" s="165" t="s">
        <v>206</v>
      </c>
      <c r="D251" s="165" t="s">
        <v>210</v>
      </c>
      <c r="E251" s="165" t="s">
        <v>220</v>
      </c>
    </row>
    <row r="252" spans="1:5" x14ac:dyDescent="0.25">
      <c r="A252" s="165" t="s">
        <v>311</v>
      </c>
      <c r="B252" s="165" t="s">
        <v>897</v>
      </c>
      <c r="C252" s="165" t="s">
        <v>206</v>
      </c>
      <c r="D252" s="165" t="s">
        <v>210</v>
      </c>
      <c r="E252" s="165" t="s">
        <v>220</v>
      </c>
    </row>
    <row r="253" spans="1:5" x14ac:dyDescent="0.25">
      <c r="A253" s="165" t="s">
        <v>312</v>
      </c>
      <c r="B253" s="165" t="s">
        <v>897</v>
      </c>
      <c r="C253" s="165" t="s">
        <v>206</v>
      </c>
      <c r="D253" s="165" t="s">
        <v>210</v>
      </c>
      <c r="E253" s="165" t="s">
        <v>220</v>
      </c>
    </row>
    <row r="254" spans="1:5" x14ac:dyDescent="0.25">
      <c r="A254" s="165" t="s">
        <v>313</v>
      </c>
      <c r="B254" s="165" t="s">
        <v>897</v>
      </c>
      <c r="C254" s="165" t="s">
        <v>206</v>
      </c>
      <c r="D254" s="165" t="s">
        <v>210</v>
      </c>
      <c r="E254" s="165" t="s">
        <v>220</v>
      </c>
    </row>
    <row r="255" spans="1:5" x14ac:dyDescent="0.25">
      <c r="A255" s="165" t="s">
        <v>314</v>
      </c>
      <c r="B255" s="165" t="s">
        <v>897</v>
      </c>
      <c r="C255" s="165" t="s">
        <v>206</v>
      </c>
      <c r="D255" s="165" t="s">
        <v>210</v>
      </c>
      <c r="E255" s="165" t="s">
        <v>220</v>
      </c>
    </row>
    <row r="256" spans="1:5" x14ac:dyDescent="0.25">
      <c r="A256" s="165" t="s">
        <v>315</v>
      </c>
      <c r="B256" s="165" t="s">
        <v>897</v>
      </c>
      <c r="C256" s="165" t="s">
        <v>206</v>
      </c>
      <c r="D256" s="165" t="s">
        <v>210</v>
      </c>
      <c r="E256" s="165" t="s">
        <v>220</v>
      </c>
    </row>
    <row r="257" spans="1:7" x14ac:dyDescent="0.25">
      <c r="A257" s="165" t="s">
        <v>316</v>
      </c>
      <c r="B257" s="165" t="s">
        <v>897</v>
      </c>
      <c r="C257" s="165" t="s">
        <v>206</v>
      </c>
      <c r="D257" s="165" t="s">
        <v>210</v>
      </c>
      <c r="E257" s="165" t="s">
        <v>220</v>
      </c>
      <c r="F257" s="165"/>
      <c r="G257" s="165"/>
    </row>
    <row r="258" spans="1:7" x14ac:dyDescent="0.25">
      <c r="A258" s="165" t="s">
        <v>317</v>
      </c>
      <c r="B258" s="165" t="s">
        <v>897</v>
      </c>
      <c r="C258" s="165" t="s">
        <v>206</v>
      </c>
      <c r="D258" s="165" t="s">
        <v>210</v>
      </c>
      <c r="E258" s="165" t="s">
        <v>220</v>
      </c>
      <c r="F258" s="165"/>
      <c r="G258" s="165"/>
    </row>
    <row r="259" spans="1:7" x14ac:dyDescent="0.25">
      <c r="A259" s="165" t="s">
        <v>318</v>
      </c>
      <c r="B259" s="165" t="s">
        <v>897</v>
      </c>
      <c r="C259" s="165" t="s">
        <v>206</v>
      </c>
      <c r="D259" s="165" t="s">
        <v>210</v>
      </c>
      <c r="E259" s="165" t="s">
        <v>220</v>
      </c>
      <c r="F259" s="165"/>
      <c r="G259" s="165"/>
    </row>
    <row r="260" spans="1:7" x14ac:dyDescent="0.25">
      <c r="A260" s="165" t="s">
        <v>319</v>
      </c>
      <c r="B260" s="165" t="s">
        <v>897</v>
      </c>
      <c r="C260" s="165" t="s">
        <v>206</v>
      </c>
      <c r="D260" s="165" t="s">
        <v>210</v>
      </c>
      <c r="E260" s="165" t="s">
        <v>220</v>
      </c>
      <c r="F260" s="165"/>
      <c r="G260" s="165"/>
    </row>
    <row r="261" spans="1:7" x14ac:dyDescent="0.25">
      <c r="A261" s="165" t="s">
        <v>321</v>
      </c>
      <c r="B261" s="165" t="s">
        <v>897</v>
      </c>
      <c r="C261" s="165" t="s">
        <v>206</v>
      </c>
      <c r="D261" s="165" t="s">
        <v>210</v>
      </c>
      <c r="E261" s="165" t="s">
        <v>220</v>
      </c>
      <c r="F261" s="165"/>
      <c r="G261" s="165"/>
    </row>
    <row r="262" spans="1:7" x14ac:dyDescent="0.25">
      <c r="A262" s="165" t="s">
        <v>322</v>
      </c>
      <c r="B262" s="165" t="s">
        <v>897</v>
      </c>
      <c r="C262" s="165" t="s">
        <v>206</v>
      </c>
      <c r="D262" s="165" t="s">
        <v>210</v>
      </c>
      <c r="E262" s="165" t="s">
        <v>220</v>
      </c>
      <c r="F262" s="165"/>
      <c r="G262" s="165"/>
    </row>
    <row r="263" spans="1:7" x14ac:dyDescent="0.25">
      <c r="A263" s="165" t="s">
        <v>204</v>
      </c>
      <c r="B263" s="165" t="s">
        <v>205</v>
      </c>
      <c r="C263" s="165" t="s">
        <v>206</v>
      </c>
      <c r="D263" s="165" t="s">
        <v>809</v>
      </c>
      <c r="E263" s="165">
        <v>25.17</v>
      </c>
      <c r="F263" s="165">
        <f>AVERAGE(E264:E274)</f>
        <v>26.076363636363634</v>
      </c>
      <c r="G263" s="165">
        <f>STDEV(E264:E274)</f>
        <v>0.11456637615572256</v>
      </c>
    </row>
    <row r="264" spans="1:7" x14ac:dyDescent="0.25">
      <c r="A264" s="165" t="s">
        <v>211</v>
      </c>
      <c r="B264" s="165" t="s">
        <v>205</v>
      </c>
      <c r="C264" s="165" t="s">
        <v>206</v>
      </c>
      <c r="D264" s="165" t="s">
        <v>809</v>
      </c>
      <c r="E264" s="165">
        <v>25.98</v>
      </c>
      <c r="F264" s="165"/>
      <c r="G264" s="165"/>
    </row>
    <row r="265" spans="1:7" x14ac:dyDescent="0.25">
      <c r="A265" s="165" t="s">
        <v>212</v>
      </c>
      <c r="B265" s="165" t="s">
        <v>205</v>
      </c>
      <c r="C265" s="165" t="s">
        <v>206</v>
      </c>
      <c r="D265" s="165" t="s">
        <v>809</v>
      </c>
      <c r="E265" s="165">
        <v>26.04</v>
      </c>
      <c r="F265" s="165"/>
      <c r="G265" s="165"/>
    </row>
    <row r="266" spans="1:7" x14ac:dyDescent="0.25">
      <c r="A266" s="165" t="s">
        <v>213</v>
      </c>
      <c r="B266" s="165" t="s">
        <v>205</v>
      </c>
      <c r="C266" s="165" t="s">
        <v>206</v>
      </c>
      <c r="D266" s="165" t="s">
        <v>809</v>
      </c>
      <c r="E266" s="165">
        <v>26.11</v>
      </c>
      <c r="F266" s="165"/>
      <c r="G266" s="165"/>
    </row>
    <row r="267" spans="1:7" x14ac:dyDescent="0.25">
      <c r="A267" s="165" t="s">
        <v>214</v>
      </c>
      <c r="B267" s="165" t="s">
        <v>205</v>
      </c>
      <c r="C267" s="165" t="s">
        <v>206</v>
      </c>
      <c r="D267" s="165" t="s">
        <v>809</v>
      </c>
      <c r="E267" s="165">
        <v>26.1</v>
      </c>
      <c r="F267" s="165"/>
      <c r="G267" s="165"/>
    </row>
    <row r="268" spans="1:7" x14ac:dyDescent="0.25">
      <c r="A268" s="165" t="s">
        <v>215</v>
      </c>
      <c r="B268" s="165" t="s">
        <v>205</v>
      </c>
      <c r="C268" s="165" t="s">
        <v>206</v>
      </c>
      <c r="D268" s="165" t="s">
        <v>809</v>
      </c>
      <c r="E268" s="165">
        <v>26.03</v>
      </c>
      <c r="F268" s="165"/>
      <c r="G268" s="165"/>
    </row>
    <row r="269" spans="1:7" x14ac:dyDescent="0.25">
      <c r="A269" s="165" t="s">
        <v>216</v>
      </c>
      <c r="B269" s="165" t="s">
        <v>205</v>
      </c>
      <c r="C269" s="165" t="s">
        <v>206</v>
      </c>
      <c r="D269" s="165" t="s">
        <v>809</v>
      </c>
      <c r="E269" s="165">
        <v>26.33</v>
      </c>
      <c r="F269" s="165"/>
      <c r="G269" s="165"/>
    </row>
    <row r="270" spans="1:7" x14ac:dyDescent="0.25">
      <c r="A270" s="165" t="s">
        <v>217</v>
      </c>
      <c r="B270" s="165" t="s">
        <v>205</v>
      </c>
      <c r="C270" s="165" t="s">
        <v>206</v>
      </c>
      <c r="D270" s="165" t="s">
        <v>809</v>
      </c>
      <c r="E270" s="165">
        <v>25.97</v>
      </c>
      <c r="F270" s="165"/>
      <c r="G270" s="165"/>
    </row>
    <row r="271" spans="1:7" x14ac:dyDescent="0.25">
      <c r="A271" s="165" t="s">
        <v>218</v>
      </c>
      <c r="B271" s="165" t="s">
        <v>205</v>
      </c>
      <c r="C271" s="165" t="s">
        <v>206</v>
      </c>
      <c r="D271" s="165" t="s">
        <v>809</v>
      </c>
      <c r="E271" s="165">
        <v>26.09</v>
      </c>
      <c r="F271" s="165"/>
      <c r="G271" s="165"/>
    </row>
    <row r="272" spans="1:7" x14ac:dyDescent="0.25">
      <c r="A272" s="165" t="s">
        <v>219</v>
      </c>
      <c r="B272" s="165" t="s">
        <v>205</v>
      </c>
      <c r="C272" s="165" t="s">
        <v>206</v>
      </c>
      <c r="D272" s="165" t="s">
        <v>809</v>
      </c>
      <c r="E272" s="165">
        <v>26.13</v>
      </c>
      <c r="F272" s="165"/>
      <c r="G272" s="165"/>
    </row>
    <row r="273" spans="1:7" x14ac:dyDescent="0.25">
      <c r="A273" s="165" t="s">
        <v>221</v>
      </c>
      <c r="B273" s="165" t="s">
        <v>205</v>
      </c>
      <c r="C273" s="165" t="s">
        <v>206</v>
      </c>
      <c r="D273" s="165" t="s">
        <v>809</v>
      </c>
      <c r="E273" s="165">
        <v>26.16</v>
      </c>
      <c r="F273" s="165"/>
      <c r="G273" s="165"/>
    </row>
    <row r="274" spans="1:7" x14ac:dyDescent="0.25">
      <c r="A274" s="165" t="s">
        <v>222</v>
      </c>
      <c r="B274" s="165" t="s">
        <v>205</v>
      </c>
      <c r="C274" s="165" t="s">
        <v>206</v>
      </c>
      <c r="D274" s="165" t="s">
        <v>809</v>
      </c>
      <c r="E274" s="165">
        <v>25.9</v>
      </c>
      <c r="F274" s="165"/>
      <c r="G274" s="165"/>
    </row>
    <row r="275" spans="1:7" x14ac:dyDescent="0.25">
      <c r="A275" s="165" t="s">
        <v>223</v>
      </c>
      <c r="B275" s="165" t="s">
        <v>205</v>
      </c>
      <c r="C275" s="165" t="s">
        <v>206</v>
      </c>
      <c r="D275" s="165" t="s">
        <v>809</v>
      </c>
      <c r="E275" s="165" t="s">
        <v>220</v>
      </c>
      <c r="F275" s="165" t="e">
        <f>AVERAGE(E276:E286)</f>
        <v>#DIV/0!</v>
      </c>
      <c r="G275" s="165" t="e">
        <f>STDEV(E276:E286)</f>
        <v>#DIV/0!</v>
      </c>
    </row>
    <row r="276" spans="1:7" x14ac:dyDescent="0.25">
      <c r="A276" s="165" t="s">
        <v>234</v>
      </c>
      <c r="B276" s="165" t="s">
        <v>205</v>
      </c>
      <c r="C276" s="165" t="s">
        <v>206</v>
      </c>
      <c r="D276" s="165" t="s">
        <v>809</v>
      </c>
      <c r="E276" s="165" t="s">
        <v>220</v>
      </c>
      <c r="F276" s="165"/>
      <c r="G276" s="165"/>
    </row>
    <row r="277" spans="1:7" x14ac:dyDescent="0.25">
      <c r="A277" s="165" t="s">
        <v>235</v>
      </c>
      <c r="B277" s="165" t="s">
        <v>205</v>
      </c>
      <c r="C277" s="165" t="s">
        <v>206</v>
      </c>
      <c r="D277" s="165" t="s">
        <v>809</v>
      </c>
      <c r="E277" s="165" t="s">
        <v>220</v>
      </c>
      <c r="F277" s="165"/>
      <c r="G277" s="165"/>
    </row>
    <row r="278" spans="1:7" x14ac:dyDescent="0.25">
      <c r="A278" s="165" t="s">
        <v>236</v>
      </c>
      <c r="B278" s="165" t="s">
        <v>205</v>
      </c>
      <c r="C278" s="165" t="s">
        <v>206</v>
      </c>
      <c r="D278" s="165" t="s">
        <v>809</v>
      </c>
      <c r="E278" s="165" t="s">
        <v>220</v>
      </c>
      <c r="F278" s="165"/>
      <c r="G278" s="165"/>
    </row>
    <row r="279" spans="1:7" x14ac:dyDescent="0.25">
      <c r="A279" s="165" t="s">
        <v>237</v>
      </c>
      <c r="B279" s="165" t="s">
        <v>205</v>
      </c>
      <c r="C279" s="165" t="s">
        <v>206</v>
      </c>
      <c r="D279" s="165" t="s">
        <v>809</v>
      </c>
      <c r="E279" s="165" t="s">
        <v>220</v>
      </c>
      <c r="F279" s="165"/>
      <c r="G279" s="165"/>
    </row>
    <row r="280" spans="1:7" x14ac:dyDescent="0.25">
      <c r="A280" s="165" t="s">
        <v>238</v>
      </c>
      <c r="B280" s="165" t="s">
        <v>205</v>
      </c>
      <c r="C280" s="165" t="s">
        <v>206</v>
      </c>
      <c r="D280" s="165" t="s">
        <v>809</v>
      </c>
      <c r="E280" s="165" t="s">
        <v>220</v>
      </c>
      <c r="F280" s="165"/>
      <c r="G280" s="165"/>
    </row>
    <row r="281" spans="1:7" x14ac:dyDescent="0.25">
      <c r="A281" s="165" t="s">
        <v>239</v>
      </c>
      <c r="B281" s="165" t="s">
        <v>205</v>
      </c>
      <c r="C281" s="165" t="s">
        <v>206</v>
      </c>
      <c r="D281" s="165" t="s">
        <v>809</v>
      </c>
      <c r="E281" s="165" t="s">
        <v>220</v>
      </c>
      <c r="F281" s="165"/>
      <c r="G281" s="165"/>
    </row>
    <row r="282" spans="1:7" x14ac:dyDescent="0.25">
      <c r="A282" s="165" t="s">
        <v>242</v>
      </c>
      <c r="B282" s="165" t="s">
        <v>205</v>
      </c>
      <c r="C282" s="165" t="s">
        <v>206</v>
      </c>
      <c r="D282" s="165" t="s">
        <v>809</v>
      </c>
      <c r="E282" s="165" t="s">
        <v>220</v>
      </c>
      <c r="F282" s="165"/>
      <c r="G282" s="165"/>
    </row>
    <row r="283" spans="1:7" x14ac:dyDescent="0.25">
      <c r="A283" s="165" t="s">
        <v>243</v>
      </c>
      <c r="B283" s="165" t="s">
        <v>205</v>
      </c>
      <c r="C283" s="165" t="s">
        <v>206</v>
      </c>
      <c r="D283" s="165" t="s">
        <v>809</v>
      </c>
      <c r="E283" s="165" t="s">
        <v>220</v>
      </c>
      <c r="F283" s="165"/>
      <c r="G283" s="165"/>
    </row>
    <row r="284" spans="1:7" x14ac:dyDescent="0.25">
      <c r="A284" s="165" t="s">
        <v>244</v>
      </c>
      <c r="B284" s="165" t="s">
        <v>205</v>
      </c>
      <c r="C284" s="165" t="s">
        <v>206</v>
      </c>
      <c r="D284" s="165" t="s">
        <v>809</v>
      </c>
      <c r="E284" s="165" t="s">
        <v>220</v>
      </c>
      <c r="F284" s="165"/>
      <c r="G284" s="165"/>
    </row>
    <row r="285" spans="1:7" x14ac:dyDescent="0.25">
      <c r="A285" s="165" t="s">
        <v>245</v>
      </c>
      <c r="B285" s="165" t="s">
        <v>205</v>
      </c>
      <c r="C285" s="165" t="s">
        <v>206</v>
      </c>
      <c r="D285" s="165" t="s">
        <v>809</v>
      </c>
      <c r="E285" s="165" t="s">
        <v>220</v>
      </c>
      <c r="F285" s="165"/>
      <c r="G285" s="165"/>
    </row>
    <row r="286" spans="1:7" x14ac:dyDescent="0.25">
      <c r="A286" s="165" t="s">
        <v>247</v>
      </c>
      <c r="B286" s="165" t="s">
        <v>205</v>
      </c>
      <c r="C286" s="165" t="s">
        <v>206</v>
      </c>
      <c r="D286" s="165" t="s">
        <v>809</v>
      </c>
      <c r="E286" s="165" t="s">
        <v>220</v>
      </c>
      <c r="F286" s="165"/>
      <c r="G286" s="165"/>
    </row>
    <row r="287" spans="1:7" x14ac:dyDescent="0.25">
      <c r="A287" s="165" t="s">
        <v>248</v>
      </c>
      <c r="B287" s="165" t="s">
        <v>205</v>
      </c>
      <c r="C287" s="165" t="s">
        <v>206</v>
      </c>
      <c r="D287" s="165" t="s">
        <v>809</v>
      </c>
      <c r="E287" s="165">
        <v>24.97</v>
      </c>
      <c r="F287" s="165">
        <f>AVERAGE(E288:E298)</f>
        <v>25.902727272727269</v>
      </c>
      <c r="G287" s="165">
        <f>STDEV(E288:E298)</f>
        <v>9.6962973251742537E-2</v>
      </c>
    </row>
    <row r="288" spans="1:7" x14ac:dyDescent="0.25">
      <c r="A288" s="165" t="s">
        <v>249</v>
      </c>
      <c r="B288" s="165" t="s">
        <v>205</v>
      </c>
      <c r="C288" s="165" t="s">
        <v>206</v>
      </c>
      <c r="D288" s="165" t="s">
        <v>809</v>
      </c>
      <c r="E288" s="165">
        <v>25.97</v>
      </c>
      <c r="F288" s="165"/>
      <c r="G288" s="165"/>
    </row>
    <row r="289" spans="1:7" x14ac:dyDescent="0.25">
      <c r="A289" s="165" t="s">
        <v>250</v>
      </c>
      <c r="B289" s="165" t="s">
        <v>205</v>
      </c>
      <c r="C289" s="165" t="s">
        <v>206</v>
      </c>
      <c r="D289" s="165" t="s">
        <v>809</v>
      </c>
      <c r="E289" s="165">
        <v>26.02</v>
      </c>
      <c r="F289" s="165"/>
      <c r="G289" s="165"/>
    </row>
    <row r="290" spans="1:7" x14ac:dyDescent="0.25">
      <c r="A290" s="165" t="s">
        <v>251</v>
      </c>
      <c r="B290" s="165" t="s">
        <v>205</v>
      </c>
      <c r="C290" s="165" t="s">
        <v>206</v>
      </c>
      <c r="D290" s="165" t="s">
        <v>809</v>
      </c>
      <c r="E290" s="165">
        <v>25.94</v>
      </c>
      <c r="F290" s="165"/>
      <c r="G290" s="165"/>
    </row>
    <row r="291" spans="1:7" x14ac:dyDescent="0.25">
      <c r="A291" s="165" t="s">
        <v>252</v>
      </c>
      <c r="B291" s="165" t="s">
        <v>205</v>
      </c>
      <c r="C291" s="165" t="s">
        <v>206</v>
      </c>
      <c r="D291" s="165" t="s">
        <v>809</v>
      </c>
      <c r="E291" s="165">
        <v>25.95</v>
      </c>
      <c r="F291" s="165"/>
      <c r="G291" s="165"/>
    </row>
    <row r="292" spans="1:7" x14ac:dyDescent="0.25">
      <c r="A292" s="165" t="s">
        <v>253</v>
      </c>
      <c r="B292" s="165" t="s">
        <v>205</v>
      </c>
      <c r="C292" s="165" t="s">
        <v>206</v>
      </c>
      <c r="D292" s="165" t="s">
        <v>809</v>
      </c>
      <c r="E292" s="165">
        <v>25.79</v>
      </c>
      <c r="F292" s="165"/>
      <c r="G292" s="165"/>
    </row>
    <row r="293" spans="1:7" x14ac:dyDescent="0.25">
      <c r="A293" s="165" t="s">
        <v>254</v>
      </c>
      <c r="B293" s="165" t="s">
        <v>205</v>
      </c>
      <c r="C293" s="165" t="s">
        <v>206</v>
      </c>
      <c r="D293" s="165" t="s">
        <v>809</v>
      </c>
      <c r="E293" s="165">
        <v>25.95</v>
      </c>
      <c r="F293" s="165"/>
      <c r="G293" s="165"/>
    </row>
    <row r="294" spans="1:7" x14ac:dyDescent="0.25">
      <c r="A294" s="165" t="s">
        <v>255</v>
      </c>
      <c r="B294" s="165" t="s">
        <v>205</v>
      </c>
      <c r="C294" s="165" t="s">
        <v>206</v>
      </c>
      <c r="D294" s="165" t="s">
        <v>809</v>
      </c>
      <c r="E294" s="165">
        <v>25.78</v>
      </c>
      <c r="F294" s="165"/>
      <c r="G294" s="165"/>
    </row>
    <row r="295" spans="1:7" x14ac:dyDescent="0.25">
      <c r="A295" s="165" t="s">
        <v>256</v>
      </c>
      <c r="B295" s="165" t="s">
        <v>205</v>
      </c>
      <c r="C295" s="165" t="s">
        <v>206</v>
      </c>
      <c r="D295" s="165" t="s">
        <v>809</v>
      </c>
      <c r="E295" s="165">
        <v>25.96</v>
      </c>
      <c r="F295" s="165"/>
      <c r="G295" s="165"/>
    </row>
    <row r="296" spans="1:7" x14ac:dyDescent="0.25">
      <c r="A296" s="165" t="s">
        <v>257</v>
      </c>
      <c r="B296" s="165" t="s">
        <v>205</v>
      </c>
      <c r="C296" s="165" t="s">
        <v>206</v>
      </c>
      <c r="D296" s="165" t="s">
        <v>809</v>
      </c>
      <c r="E296" s="165">
        <v>25.92</v>
      </c>
      <c r="F296" s="165"/>
      <c r="G296" s="165"/>
    </row>
    <row r="297" spans="1:7" x14ac:dyDescent="0.25">
      <c r="A297" s="165" t="s">
        <v>258</v>
      </c>
      <c r="B297" s="165" t="s">
        <v>205</v>
      </c>
      <c r="C297" s="165" t="s">
        <v>206</v>
      </c>
      <c r="D297" s="165" t="s">
        <v>809</v>
      </c>
      <c r="E297" s="165">
        <v>25.71</v>
      </c>
      <c r="F297" s="165"/>
      <c r="G297" s="165"/>
    </row>
    <row r="298" spans="1:7" x14ac:dyDescent="0.25">
      <c r="A298" s="165" t="s">
        <v>259</v>
      </c>
      <c r="B298" s="165" t="s">
        <v>205</v>
      </c>
      <c r="C298" s="165" t="s">
        <v>206</v>
      </c>
      <c r="D298" s="165" t="s">
        <v>809</v>
      </c>
      <c r="E298" s="165">
        <v>25.94</v>
      </c>
      <c r="F298" s="165"/>
      <c r="G298" s="165"/>
    </row>
    <row r="299" spans="1:7" x14ac:dyDescent="0.25">
      <c r="A299" s="165" t="s">
        <v>260</v>
      </c>
      <c r="B299" s="165" t="s">
        <v>205</v>
      </c>
      <c r="C299" s="165" t="s">
        <v>206</v>
      </c>
      <c r="D299" s="165" t="s">
        <v>809</v>
      </c>
      <c r="E299" s="165">
        <v>26.3</v>
      </c>
      <c r="F299" s="165">
        <f>AVERAGE(E300:E310)</f>
        <v>26.904545454545453</v>
      </c>
      <c r="G299" s="165">
        <f>STDEV(E300:E310)</f>
        <v>0.17557697094799421</v>
      </c>
    </row>
    <row r="300" spans="1:7" x14ac:dyDescent="0.25">
      <c r="A300" s="165" t="s">
        <v>261</v>
      </c>
      <c r="B300" s="165" t="s">
        <v>205</v>
      </c>
      <c r="C300" s="165" t="s">
        <v>206</v>
      </c>
      <c r="D300" s="165" t="s">
        <v>809</v>
      </c>
      <c r="E300" s="165">
        <v>27.14</v>
      </c>
      <c r="F300" s="165"/>
      <c r="G300" s="165"/>
    </row>
    <row r="301" spans="1:7" x14ac:dyDescent="0.25">
      <c r="A301" s="165" t="s">
        <v>262</v>
      </c>
      <c r="B301" s="165" t="s">
        <v>205</v>
      </c>
      <c r="C301" s="165" t="s">
        <v>206</v>
      </c>
      <c r="D301" s="165" t="s">
        <v>809</v>
      </c>
      <c r="E301" s="165">
        <v>26.73</v>
      </c>
      <c r="F301" s="165"/>
      <c r="G301" s="165"/>
    </row>
    <row r="302" spans="1:7" x14ac:dyDescent="0.25">
      <c r="A302" s="165" t="s">
        <v>263</v>
      </c>
      <c r="B302" s="165" t="s">
        <v>205</v>
      </c>
      <c r="C302" s="165" t="s">
        <v>206</v>
      </c>
      <c r="D302" s="165" t="s">
        <v>809</v>
      </c>
      <c r="E302" s="165">
        <v>27.01</v>
      </c>
      <c r="F302" s="165"/>
      <c r="G302" s="165"/>
    </row>
    <row r="303" spans="1:7" x14ac:dyDescent="0.25">
      <c r="A303" s="165" t="s">
        <v>264</v>
      </c>
      <c r="B303" s="165" t="s">
        <v>205</v>
      </c>
      <c r="C303" s="165" t="s">
        <v>206</v>
      </c>
      <c r="D303" s="165" t="s">
        <v>809</v>
      </c>
      <c r="E303" s="165">
        <v>26.69</v>
      </c>
      <c r="F303" s="165"/>
      <c r="G303" s="165"/>
    </row>
    <row r="304" spans="1:7" x14ac:dyDescent="0.25">
      <c r="A304" s="165" t="s">
        <v>265</v>
      </c>
      <c r="B304" s="165" t="s">
        <v>205</v>
      </c>
      <c r="C304" s="165" t="s">
        <v>206</v>
      </c>
      <c r="D304" s="165" t="s">
        <v>809</v>
      </c>
      <c r="E304" s="165">
        <v>26.79</v>
      </c>
      <c r="F304" s="165"/>
      <c r="G304" s="165"/>
    </row>
    <row r="305" spans="1:7" x14ac:dyDescent="0.25">
      <c r="A305" s="165" t="s">
        <v>266</v>
      </c>
      <c r="B305" s="165" t="s">
        <v>205</v>
      </c>
      <c r="C305" s="165" t="s">
        <v>206</v>
      </c>
      <c r="D305" s="165" t="s">
        <v>809</v>
      </c>
      <c r="E305" s="165">
        <v>26.8</v>
      </c>
      <c r="F305" s="165"/>
      <c r="G305" s="165"/>
    </row>
    <row r="306" spans="1:7" x14ac:dyDescent="0.25">
      <c r="A306" s="165" t="s">
        <v>267</v>
      </c>
      <c r="B306" s="165" t="s">
        <v>205</v>
      </c>
      <c r="C306" s="165" t="s">
        <v>206</v>
      </c>
      <c r="D306" s="165" t="s">
        <v>809</v>
      </c>
      <c r="E306" s="165">
        <v>26.83</v>
      </c>
      <c r="F306" s="165"/>
      <c r="G306" s="165"/>
    </row>
    <row r="307" spans="1:7" x14ac:dyDescent="0.25">
      <c r="A307" s="165" t="s">
        <v>268</v>
      </c>
      <c r="B307" s="165" t="s">
        <v>205</v>
      </c>
      <c r="C307" s="165" t="s">
        <v>206</v>
      </c>
      <c r="D307" s="165" t="s">
        <v>809</v>
      </c>
      <c r="E307" s="165">
        <v>26.79</v>
      </c>
      <c r="F307" s="165"/>
      <c r="G307" s="165"/>
    </row>
    <row r="308" spans="1:7" x14ac:dyDescent="0.25">
      <c r="A308" s="165" t="s">
        <v>270</v>
      </c>
      <c r="B308" s="165" t="s">
        <v>205</v>
      </c>
      <c r="C308" s="165" t="s">
        <v>206</v>
      </c>
      <c r="D308" s="165" t="s">
        <v>809</v>
      </c>
      <c r="E308" s="165">
        <v>26.87</v>
      </c>
      <c r="F308" s="165"/>
      <c r="G308" s="165"/>
    </row>
    <row r="309" spans="1:7" x14ac:dyDescent="0.25">
      <c r="A309" s="165" t="s">
        <v>272</v>
      </c>
      <c r="B309" s="165" t="s">
        <v>205</v>
      </c>
      <c r="C309" s="165" t="s">
        <v>206</v>
      </c>
      <c r="D309" s="165" t="s">
        <v>809</v>
      </c>
      <c r="E309" s="165">
        <v>27.17</v>
      </c>
      <c r="F309" s="165"/>
      <c r="G309" s="165"/>
    </row>
    <row r="310" spans="1:7" x14ac:dyDescent="0.25">
      <c r="A310" s="165" t="s">
        <v>273</v>
      </c>
      <c r="B310" s="165" t="s">
        <v>205</v>
      </c>
      <c r="C310" s="165" t="s">
        <v>206</v>
      </c>
      <c r="D310" s="165" t="s">
        <v>809</v>
      </c>
      <c r="E310" s="165">
        <v>27.13</v>
      </c>
      <c r="F310" s="165"/>
      <c r="G310" s="165"/>
    </row>
    <row r="311" spans="1:7" x14ac:dyDescent="0.25">
      <c r="A311" s="165" t="s">
        <v>274</v>
      </c>
      <c r="B311" s="165" t="s">
        <v>205</v>
      </c>
      <c r="C311" s="165" t="s">
        <v>206</v>
      </c>
      <c r="D311" s="165" t="s">
        <v>809</v>
      </c>
      <c r="E311" s="165">
        <v>25.97</v>
      </c>
      <c r="F311" s="165">
        <f>AVERAGE(E312:E322)</f>
        <v>26.855454545454542</v>
      </c>
      <c r="G311" s="165">
        <f>STDEV(E312:E322)</f>
        <v>0.21379259277924653</v>
      </c>
    </row>
    <row r="312" spans="1:7" x14ac:dyDescent="0.25">
      <c r="A312" s="165" t="s">
        <v>275</v>
      </c>
      <c r="B312" s="165" t="s">
        <v>205</v>
      </c>
      <c r="C312" s="165" t="s">
        <v>206</v>
      </c>
      <c r="D312" s="165" t="s">
        <v>809</v>
      </c>
      <c r="E312" s="165">
        <v>27.01</v>
      </c>
      <c r="F312" s="165"/>
      <c r="G312" s="165"/>
    </row>
    <row r="313" spans="1:7" x14ac:dyDescent="0.25">
      <c r="A313" s="165" t="s">
        <v>276</v>
      </c>
      <c r="B313" s="165" t="s">
        <v>205</v>
      </c>
      <c r="C313" s="165" t="s">
        <v>206</v>
      </c>
      <c r="D313" s="165" t="s">
        <v>809</v>
      </c>
      <c r="E313" s="165">
        <v>27.04</v>
      </c>
      <c r="F313" s="165"/>
      <c r="G313" s="165"/>
    </row>
    <row r="314" spans="1:7" x14ac:dyDescent="0.25">
      <c r="A314" s="165" t="s">
        <v>277</v>
      </c>
      <c r="B314" s="165" t="s">
        <v>205</v>
      </c>
      <c r="C314" s="165" t="s">
        <v>206</v>
      </c>
      <c r="D314" s="165" t="s">
        <v>809</v>
      </c>
      <c r="E314" s="165">
        <v>26.9</v>
      </c>
      <c r="F314" s="165"/>
      <c r="G314" s="165"/>
    </row>
    <row r="315" spans="1:7" x14ac:dyDescent="0.25">
      <c r="A315" s="165" t="s">
        <v>278</v>
      </c>
      <c r="B315" s="165" t="s">
        <v>205</v>
      </c>
      <c r="C315" s="165" t="s">
        <v>206</v>
      </c>
      <c r="D315" s="165" t="s">
        <v>809</v>
      </c>
      <c r="E315" s="165">
        <v>26.9</v>
      </c>
      <c r="F315" s="165"/>
      <c r="G315" s="165"/>
    </row>
    <row r="316" spans="1:7" x14ac:dyDescent="0.25">
      <c r="A316" s="165" t="s">
        <v>279</v>
      </c>
      <c r="B316" s="165" t="s">
        <v>205</v>
      </c>
      <c r="C316" s="165" t="s">
        <v>206</v>
      </c>
      <c r="D316" s="165" t="s">
        <v>809</v>
      </c>
      <c r="E316" s="165">
        <v>26.66</v>
      </c>
      <c r="F316" s="165"/>
      <c r="G316" s="165"/>
    </row>
    <row r="317" spans="1:7" x14ac:dyDescent="0.25">
      <c r="A317" s="165" t="s">
        <v>280</v>
      </c>
      <c r="B317" s="165" t="s">
        <v>205</v>
      </c>
      <c r="C317" s="165" t="s">
        <v>206</v>
      </c>
      <c r="D317" s="165" t="s">
        <v>809</v>
      </c>
      <c r="E317" s="165">
        <v>27.3</v>
      </c>
      <c r="F317" s="165"/>
      <c r="G317" s="165"/>
    </row>
    <row r="318" spans="1:7" x14ac:dyDescent="0.25">
      <c r="A318" s="165" t="s">
        <v>281</v>
      </c>
      <c r="B318" s="165" t="s">
        <v>205</v>
      </c>
      <c r="C318" s="165" t="s">
        <v>206</v>
      </c>
      <c r="D318" s="165" t="s">
        <v>809</v>
      </c>
      <c r="E318" s="165">
        <v>26.81</v>
      </c>
      <c r="F318" s="165"/>
      <c r="G318" s="165"/>
    </row>
    <row r="319" spans="1:7" x14ac:dyDescent="0.25">
      <c r="A319" s="165" t="s">
        <v>282</v>
      </c>
      <c r="B319" s="165" t="s">
        <v>205</v>
      </c>
      <c r="C319" s="165" t="s">
        <v>206</v>
      </c>
      <c r="D319" s="165" t="s">
        <v>809</v>
      </c>
      <c r="E319" s="165">
        <v>26.85</v>
      </c>
      <c r="F319" s="165"/>
      <c r="G319" s="165"/>
    </row>
    <row r="320" spans="1:7" x14ac:dyDescent="0.25">
      <c r="A320" s="165" t="s">
        <v>283</v>
      </c>
      <c r="B320" s="165" t="s">
        <v>205</v>
      </c>
      <c r="C320" s="165" t="s">
        <v>206</v>
      </c>
      <c r="D320" s="165" t="s">
        <v>809</v>
      </c>
      <c r="E320" s="165">
        <v>26.65</v>
      </c>
      <c r="F320" s="165"/>
      <c r="G320" s="165"/>
    </row>
    <row r="321" spans="1:7" x14ac:dyDescent="0.25">
      <c r="A321" s="165" t="s">
        <v>284</v>
      </c>
      <c r="B321" s="165" t="s">
        <v>205</v>
      </c>
      <c r="C321" s="165" t="s">
        <v>206</v>
      </c>
      <c r="D321" s="165" t="s">
        <v>809</v>
      </c>
      <c r="E321" s="165">
        <v>26.53</v>
      </c>
      <c r="F321" s="165"/>
      <c r="G321" s="165"/>
    </row>
    <row r="322" spans="1:7" x14ac:dyDescent="0.25">
      <c r="A322" s="165" t="s">
        <v>285</v>
      </c>
      <c r="B322" s="165" t="s">
        <v>205</v>
      </c>
      <c r="C322" s="165" t="s">
        <v>206</v>
      </c>
      <c r="D322" s="165" t="s">
        <v>809</v>
      </c>
      <c r="E322" s="165">
        <v>26.76</v>
      </c>
      <c r="F322" s="165"/>
      <c r="G322" s="165"/>
    </row>
    <row r="323" spans="1:7" x14ac:dyDescent="0.25">
      <c r="A323" s="165" t="s">
        <v>286</v>
      </c>
      <c r="B323" s="165" t="s">
        <v>205</v>
      </c>
      <c r="C323" s="165" t="s">
        <v>206</v>
      </c>
      <c r="D323" s="165" t="s">
        <v>809</v>
      </c>
      <c r="E323" s="165">
        <v>26.27</v>
      </c>
      <c r="F323" s="165">
        <f>AVERAGE(E324:E334)</f>
        <v>26.868181818181821</v>
      </c>
      <c r="G323" s="165">
        <f>STDEV(E324:E334)</f>
        <v>0.14427877056713434</v>
      </c>
    </row>
    <row r="324" spans="1:7" x14ac:dyDescent="0.25">
      <c r="A324" s="165" t="s">
        <v>287</v>
      </c>
      <c r="B324" s="165" t="s">
        <v>205</v>
      </c>
      <c r="C324" s="165" t="s">
        <v>206</v>
      </c>
      <c r="D324" s="165" t="s">
        <v>809</v>
      </c>
      <c r="E324" s="165">
        <v>27.1</v>
      </c>
      <c r="F324" s="165"/>
      <c r="G324" s="165"/>
    </row>
    <row r="325" spans="1:7" x14ac:dyDescent="0.25">
      <c r="A325" s="165" t="s">
        <v>288</v>
      </c>
      <c r="B325" s="165" t="s">
        <v>205</v>
      </c>
      <c r="C325" s="165" t="s">
        <v>206</v>
      </c>
      <c r="D325" s="165" t="s">
        <v>809</v>
      </c>
      <c r="E325" s="165">
        <v>26.89</v>
      </c>
      <c r="F325" s="165"/>
      <c r="G325" s="165"/>
    </row>
    <row r="326" spans="1:7" x14ac:dyDescent="0.25">
      <c r="A326" s="165" t="s">
        <v>289</v>
      </c>
      <c r="B326" s="165" t="s">
        <v>205</v>
      </c>
      <c r="C326" s="165" t="s">
        <v>206</v>
      </c>
      <c r="D326" s="165" t="s">
        <v>809</v>
      </c>
      <c r="E326" s="165">
        <v>26.92</v>
      </c>
      <c r="F326" s="165"/>
      <c r="G326" s="165"/>
    </row>
    <row r="327" spans="1:7" x14ac:dyDescent="0.25">
      <c r="A327" s="165" t="s">
        <v>290</v>
      </c>
      <c r="B327" s="165" t="s">
        <v>205</v>
      </c>
      <c r="C327" s="165" t="s">
        <v>206</v>
      </c>
      <c r="D327" s="165" t="s">
        <v>809</v>
      </c>
      <c r="E327" s="165">
        <v>26.75</v>
      </c>
      <c r="F327" s="165"/>
      <c r="G327" s="165"/>
    </row>
    <row r="328" spans="1:7" x14ac:dyDescent="0.25">
      <c r="A328" s="165" t="s">
        <v>291</v>
      </c>
      <c r="B328" s="165" t="s">
        <v>205</v>
      </c>
      <c r="C328" s="165" t="s">
        <v>206</v>
      </c>
      <c r="D328" s="165" t="s">
        <v>809</v>
      </c>
      <c r="E328" s="165">
        <v>26.71</v>
      </c>
      <c r="F328" s="165"/>
      <c r="G328" s="165"/>
    </row>
    <row r="329" spans="1:7" x14ac:dyDescent="0.25">
      <c r="A329" s="165" t="s">
        <v>292</v>
      </c>
      <c r="B329" s="165" t="s">
        <v>205</v>
      </c>
      <c r="C329" s="165" t="s">
        <v>206</v>
      </c>
      <c r="D329" s="165" t="s">
        <v>809</v>
      </c>
      <c r="E329" s="165">
        <v>27.07</v>
      </c>
      <c r="F329" s="165"/>
      <c r="G329" s="165"/>
    </row>
    <row r="330" spans="1:7" x14ac:dyDescent="0.25">
      <c r="A330" s="165" t="s">
        <v>293</v>
      </c>
      <c r="B330" s="165" t="s">
        <v>205</v>
      </c>
      <c r="C330" s="165" t="s">
        <v>206</v>
      </c>
      <c r="D330" s="165" t="s">
        <v>809</v>
      </c>
      <c r="E330" s="165">
        <v>26.74</v>
      </c>
      <c r="F330" s="165"/>
      <c r="G330" s="165"/>
    </row>
    <row r="331" spans="1:7" x14ac:dyDescent="0.25">
      <c r="A331" s="165" t="s">
        <v>294</v>
      </c>
      <c r="B331" s="165" t="s">
        <v>205</v>
      </c>
      <c r="C331" s="165" t="s">
        <v>206</v>
      </c>
      <c r="D331" s="165" t="s">
        <v>809</v>
      </c>
      <c r="E331" s="165">
        <v>27.03</v>
      </c>
      <c r="F331" s="165"/>
      <c r="G331" s="165"/>
    </row>
    <row r="332" spans="1:7" x14ac:dyDescent="0.25">
      <c r="A332" s="165" t="s">
        <v>295</v>
      </c>
      <c r="B332" s="165" t="s">
        <v>205</v>
      </c>
      <c r="C332" s="165" t="s">
        <v>206</v>
      </c>
      <c r="D332" s="165" t="s">
        <v>809</v>
      </c>
      <c r="E332" s="165">
        <v>26.76</v>
      </c>
      <c r="F332" s="165"/>
      <c r="G332" s="165"/>
    </row>
    <row r="333" spans="1:7" x14ac:dyDescent="0.25">
      <c r="A333" s="165" t="s">
        <v>296</v>
      </c>
      <c r="B333" s="165" t="s">
        <v>205</v>
      </c>
      <c r="C333" s="165" t="s">
        <v>206</v>
      </c>
      <c r="D333" s="165" t="s">
        <v>809</v>
      </c>
      <c r="E333" s="165">
        <v>26.84</v>
      </c>
      <c r="F333" s="165"/>
      <c r="G333" s="165"/>
    </row>
    <row r="334" spans="1:7" x14ac:dyDescent="0.25">
      <c r="A334" s="165" t="s">
        <v>297</v>
      </c>
      <c r="B334" s="165" t="s">
        <v>205</v>
      </c>
      <c r="C334" s="165" t="s">
        <v>206</v>
      </c>
      <c r="D334" s="165" t="s">
        <v>809</v>
      </c>
      <c r="E334" s="165">
        <v>26.74</v>
      </c>
      <c r="F334" s="165"/>
      <c r="G334" s="165"/>
    </row>
    <row r="335" spans="1:7" x14ac:dyDescent="0.25">
      <c r="A335" s="165" t="s">
        <v>298</v>
      </c>
      <c r="B335" s="165" t="s">
        <v>205</v>
      </c>
      <c r="C335" s="165" t="s">
        <v>206</v>
      </c>
      <c r="D335" s="165" t="s">
        <v>809</v>
      </c>
      <c r="E335" s="165" t="s">
        <v>220</v>
      </c>
      <c r="F335" s="165"/>
      <c r="G335" s="165"/>
    </row>
    <row r="336" spans="1:7" x14ac:dyDescent="0.25">
      <c r="A336" s="165" t="s">
        <v>299</v>
      </c>
      <c r="B336" s="165" t="s">
        <v>205</v>
      </c>
      <c r="C336" s="165" t="s">
        <v>206</v>
      </c>
      <c r="D336" s="165" t="s">
        <v>809</v>
      </c>
      <c r="E336" s="165" t="s">
        <v>220</v>
      </c>
      <c r="F336" s="165"/>
      <c r="G336" s="165"/>
    </row>
    <row r="337" spans="1:5" x14ac:dyDescent="0.25">
      <c r="A337" s="165" t="s">
        <v>300</v>
      </c>
      <c r="B337" s="165" t="s">
        <v>205</v>
      </c>
      <c r="C337" s="165" t="s">
        <v>206</v>
      </c>
      <c r="D337" s="165" t="s">
        <v>809</v>
      </c>
      <c r="E337" s="165" t="s">
        <v>220</v>
      </c>
    </row>
    <row r="338" spans="1:5" x14ac:dyDescent="0.25">
      <c r="A338" s="165" t="s">
        <v>301</v>
      </c>
      <c r="B338" s="165" t="s">
        <v>205</v>
      </c>
      <c r="C338" s="165" t="s">
        <v>206</v>
      </c>
      <c r="D338" s="165" t="s">
        <v>809</v>
      </c>
      <c r="E338" s="165" t="s">
        <v>220</v>
      </c>
    </row>
    <row r="339" spans="1:5" x14ac:dyDescent="0.25">
      <c r="A339" s="165" t="s">
        <v>302</v>
      </c>
      <c r="B339" s="165" t="s">
        <v>205</v>
      </c>
      <c r="C339" s="165" t="s">
        <v>206</v>
      </c>
      <c r="D339" s="165" t="s">
        <v>809</v>
      </c>
      <c r="E339" s="165" t="s">
        <v>220</v>
      </c>
    </row>
    <row r="340" spans="1:5" x14ac:dyDescent="0.25">
      <c r="A340" s="165" t="s">
        <v>303</v>
      </c>
      <c r="B340" s="165" t="s">
        <v>205</v>
      </c>
      <c r="C340" s="165" t="s">
        <v>206</v>
      </c>
      <c r="D340" s="165" t="s">
        <v>809</v>
      </c>
      <c r="E340" s="165" t="s">
        <v>220</v>
      </c>
    </row>
    <row r="341" spans="1:5" x14ac:dyDescent="0.25">
      <c r="A341" s="165" t="s">
        <v>304</v>
      </c>
      <c r="B341" s="165" t="s">
        <v>205</v>
      </c>
      <c r="C341" s="165" t="s">
        <v>206</v>
      </c>
      <c r="D341" s="165" t="s">
        <v>809</v>
      </c>
      <c r="E341" s="165" t="s">
        <v>220</v>
      </c>
    </row>
    <row r="342" spans="1:5" x14ac:dyDescent="0.25">
      <c r="A342" s="165" t="s">
        <v>305</v>
      </c>
      <c r="B342" s="165" t="s">
        <v>205</v>
      </c>
      <c r="C342" s="165" t="s">
        <v>206</v>
      </c>
      <c r="D342" s="165" t="s">
        <v>809</v>
      </c>
      <c r="E342" s="165" t="s">
        <v>220</v>
      </c>
    </row>
    <row r="343" spans="1:5" x14ac:dyDescent="0.25">
      <c r="A343" s="165" t="s">
        <v>306</v>
      </c>
      <c r="B343" s="165" t="s">
        <v>205</v>
      </c>
      <c r="C343" s="165" t="s">
        <v>206</v>
      </c>
      <c r="D343" s="165" t="s">
        <v>809</v>
      </c>
      <c r="E343" s="165" t="s">
        <v>220</v>
      </c>
    </row>
    <row r="344" spans="1:5" x14ac:dyDescent="0.25">
      <c r="A344" s="165" t="s">
        <v>307</v>
      </c>
      <c r="B344" s="165" t="s">
        <v>205</v>
      </c>
      <c r="C344" s="165" t="s">
        <v>206</v>
      </c>
      <c r="D344" s="165" t="s">
        <v>809</v>
      </c>
      <c r="E344" s="165" t="s">
        <v>220</v>
      </c>
    </row>
    <row r="345" spans="1:5" x14ac:dyDescent="0.25">
      <c r="A345" s="165" t="s">
        <v>308</v>
      </c>
      <c r="B345" s="165" t="s">
        <v>205</v>
      </c>
      <c r="C345" s="165" t="s">
        <v>206</v>
      </c>
      <c r="D345" s="165" t="s">
        <v>809</v>
      </c>
      <c r="E345" s="165" t="s">
        <v>220</v>
      </c>
    </row>
    <row r="346" spans="1:5" x14ac:dyDescent="0.25">
      <c r="A346" s="165" t="s">
        <v>309</v>
      </c>
      <c r="B346" s="165" t="s">
        <v>205</v>
      </c>
      <c r="C346" s="165" t="s">
        <v>206</v>
      </c>
      <c r="D346" s="165" t="s">
        <v>809</v>
      </c>
      <c r="E346" s="165" t="s">
        <v>220</v>
      </c>
    </row>
    <row r="347" spans="1:5" x14ac:dyDescent="0.25">
      <c r="A347" s="165" t="s">
        <v>310</v>
      </c>
      <c r="B347" s="165" t="s">
        <v>205</v>
      </c>
      <c r="C347" s="165" t="s">
        <v>206</v>
      </c>
      <c r="D347" s="165" t="s">
        <v>809</v>
      </c>
      <c r="E347" s="165" t="s">
        <v>220</v>
      </c>
    </row>
    <row r="348" spans="1:5" x14ac:dyDescent="0.25">
      <c r="A348" s="165" t="s">
        <v>311</v>
      </c>
      <c r="B348" s="165" t="s">
        <v>205</v>
      </c>
      <c r="C348" s="165" t="s">
        <v>206</v>
      </c>
      <c r="D348" s="165" t="s">
        <v>809</v>
      </c>
      <c r="E348" s="165" t="s">
        <v>220</v>
      </c>
    </row>
    <row r="349" spans="1:5" x14ac:dyDescent="0.25">
      <c r="A349" s="165" t="s">
        <v>312</v>
      </c>
      <c r="B349" s="165" t="s">
        <v>205</v>
      </c>
      <c r="C349" s="165" t="s">
        <v>206</v>
      </c>
      <c r="D349" s="165" t="s">
        <v>809</v>
      </c>
      <c r="E349" s="165" t="s">
        <v>220</v>
      </c>
    </row>
    <row r="350" spans="1:5" x14ac:dyDescent="0.25">
      <c r="A350" s="165" t="s">
        <v>313</v>
      </c>
      <c r="B350" s="165" t="s">
        <v>205</v>
      </c>
      <c r="C350" s="165" t="s">
        <v>206</v>
      </c>
      <c r="D350" s="165" t="s">
        <v>809</v>
      </c>
      <c r="E350" s="165" t="s">
        <v>220</v>
      </c>
    </row>
    <row r="351" spans="1:5" x14ac:dyDescent="0.25">
      <c r="A351" s="165" t="s">
        <v>314</v>
      </c>
      <c r="B351" s="165" t="s">
        <v>205</v>
      </c>
      <c r="C351" s="165" t="s">
        <v>206</v>
      </c>
      <c r="D351" s="165" t="s">
        <v>809</v>
      </c>
      <c r="E351" s="165" t="s">
        <v>220</v>
      </c>
    </row>
    <row r="352" spans="1:5" x14ac:dyDescent="0.25">
      <c r="A352" s="165" t="s">
        <v>315</v>
      </c>
      <c r="B352" s="165" t="s">
        <v>205</v>
      </c>
      <c r="C352" s="165" t="s">
        <v>206</v>
      </c>
      <c r="D352" s="165" t="s">
        <v>809</v>
      </c>
      <c r="E352" s="165" t="s">
        <v>220</v>
      </c>
    </row>
    <row r="353" spans="1:5" x14ac:dyDescent="0.25">
      <c r="A353" s="165" t="s">
        <v>316</v>
      </c>
      <c r="B353" s="165" t="s">
        <v>205</v>
      </c>
      <c r="C353" s="165" t="s">
        <v>206</v>
      </c>
      <c r="D353" s="165" t="s">
        <v>809</v>
      </c>
      <c r="E353" s="165" t="s">
        <v>220</v>
      </c>
    </row>
    <row r="354" spans="1:5" x14ac:dyDescent="0.25">
      <c r="A354" s="165" t="s">
        <v>317</v>
      </c>
      <c r="B354" s="165" t="s">
        <v>205</v>
      </c>
      <c r="C354" s="165" t="s">
        <v>206</v>
      </c>
      <c r="D354" s="165" t="s">
        <v>809</v>
      </c>
      <c r="E354" s="165" t="s">
        <v>220</v>
      </c>
    </row>
    <row r="355" spans="1:5" x14ac:dyDescent="0.25">
      <c r="A355" s="165" t="s">
        <v>318</v>
      </c>
      <c r="B355" s="165" t="s">
        <v>205</v>
      </c>
      <c r="C355" s="165" t="s">
        <v>206</v>
      </c>
      <c r="D355" s="165" t="s">
        <v>809</v>
      </c>
      <c r="E355" s="165" t="s">
        <v>220</v>
      </c>
    </row>
    <row r="356" spans="1:5" x14ac:dyDescent="0.25">
      <c r="A356" s="165" t="s">
        <v>319</v>
      </c>
      <c r="B356" s="165" t="s">
        <v>205</v>
      </c>
      <c r="C356" s="165" t="s">
        <v>206</v>
      </c>
      <c r="D356" s="165" t="s">
        <v>809</v>
      </c>
      <c r="E356" s="165" t="s">
        <v>220</v>
      </c>
    </row>
    <row r="357" spans="1:5" x14ac:dyDescent="0.25">
      <c r="A357" s="165" t="s">
        <v>321</v>
      </c>
      <c r="B357" s="165" t="s">
        <v>205</v>
      </c>
      <c r="C357" s="165" t="s">
        <v>206</v>
      </c>
      <c r="D357" s="165" t="s">
        <v>809</v>
      </c>
      <c r="E357" s="165" t="s">
        <v>220</v>
      </c>
    </row>
    <row r="358" spans="1:5" x14ac:dyDescent="0.25">
      <c r="A358" s="165" t="s">
        <v>322</v>
      </c>
      <c r="B358" s="165" t="s">
        <v>205</v>
      </c>
      <c r="C358" s="165" t="s">
        <v>206</v>
      </c>
      <c r="D358" s="165" t="s">
        <v>809</v>
      </c>
      <c r="E358" s="165" t="s">
        <v>220</v>
      </c>
    </row>
  </sheetData>
  <sortState xmlns:xlrd2="http://schemas.microsoft.com/office/spreadsheetml/2017/richdata2" ref="A167:E358">
    <sortCondition ref="B167:B358"/>
    <sortCondition ref="A167:A358"/>
  </sortState>
  <mergeCells count="4">
    <mergeCell ref="D4:F4"/>
    <mergeCell ref="E5:G5"/>
    <mergeCell ref="F14:G14"/>
    <mergeCell ref="P34:T34"/>
  </mergeCells>
  <phoneticPr fontId="12" type="noConversion"/>
  <pageMargins left="0.7" right="0.7" top="0.75" bottom="0.75" header="0.3" footer="0.3"/>
  <pageSetup scale="10" orientation="landscape" horizontalDpi="300" verticalDpi="300" r:id="rId1"/>
  <drawing r:id="rId2"/>
  <legacyDrawing r:id="rId3"/>
  <tableParts count="1">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5FB2C-F5E2-4279-B234-1AADB292F727}">
  <sheetPr codeName="Sheet20"/>
  <dimension ref="A3:AH123"/>
  <sheetViews>
    <sheetView topLeftCell="A61" workbookViewId="0">
      <selection activeCell="A13" sqref="A13"/>
    </sheetView>
  </sheetViews>
  <sheetFormatPr defaultColWidth="9.140625" defaultRowHeight="12.75" x14ac:dyDescent="0.2"/>
  <cols>
    <col min="1" max="1" width="17.28515625" style="107" bestFit="1" customWidth="1"/>
    <col min="2" max="33" width="10" style="107" bestFit="1" customWidth="1"/>
    <col min="34" max="34" width="11.140625" style="107" bestFit="1" customWidth="1"/>
    <col min="35" max="98" width="7" style="107" bestFit="1" customWidth="1"/>
    <col min="99" max="99" width="10.5703125" style="107" bestFit="1" customWidth="1"/>
    <col min="100" max="16384" width="9.140625" style="107"/>
  </cols>
  <sheetData>
    <row r="3" spans="1:34" ht="15" x14ac:dyDescent="0.25">
      <c r="A3" s="146" t="s">
        <v>921</v>
      </c>
      <c r="B3" s="146" t="s">
        <v>198</v>
      </c>
      <c r="C3" s="147"/>
      <c r="D3" s="147"/>
      <c r="E3" s="147"/>
      <c r="F3" s="147"/>
      <c r="G3" s="147"/>
      <c r="H3" s="147"/>
      <c r="I3" s="147"/>
      <c r="J3" s="147"/>
      <c r="K3" s="147"/>
      <c r="L3" s="147"/>
      <c r="M3" s="147"/>
      <c r="N3" s="147"/>
      <c r="O3" s="147"/>
      <c r="P3" s="147"/>
      <c r="Q3" s="147"/>
      <c r="R3" s="147"/>
      <c r="S3" s="147"/>
      <c r="T3" s="147"/>
      <c r="U3" s="147"/>
      <c r="V3" s="147"/>
      <c r="W3" s="147"/>
      <c r="X3" s="147"/>
      <c r="Y3" s="147"/>
      <c r="Z3" s="147"/>
      <c r="AA3" s="147"/>
      <c r="AB3" s="147"/>
      <c r="AC3" s="147"/>
      <c r="AD3" s="147"/>
      <c r="AE3" s="147"/>
      <c r="AF3" s="147"/>
      <c r="AG3" s="147"/>
      <c r="AH3" s="148"/>
    </row>
    <row r="4" spans="1:34" ht="15" x14ac:dyDescent="0.25">
      <c r="A4" s="146" t="s">
        <v>922</v>
      </c>
      <c r="B4" s="149" t="s">
        <v>211</v>
      </c>
      <c r="C4" s="150" t="s">
        <v>212</v>
      </c>
      <c r="D4" s="150" t="s">
        <v>213</v>
      </c>
      <c r="E4" s="150" t="s">
        <v>214</v>
      </c>
      <c r="F4" s="150" t="s">
        <v>215</v>
      </c>
      <c r="G4" s="150" t="s">
        <v>216</v>
      </c>
      <c r="H4" s="150" t="s">
        <v>217</v>
      </c>
      <c r="I4" s="150" t="s">
        <v>218</v>
      </c>
      <c r="J4" s="150" t="s">
        <v>219</v>
      </c>
      <c r="K4" s="150" t="s">
        <v>221</v>
      </c>
      <c r="L4" s="150" t="s">
        <v>234</v>
      </c>
      <c r="M4" s="150" t="s">
        <v>235</v>
      </c>
      <c r="N4" s="150" t="s">
        <v>236</v>
      </c>
      <c r="O4" s="150" t="s">
        <v>237</v>
      </c>
      <c r="P4" s="150" t="s">
        <v>238</v>
      </c>
      <c r="Q4" s="150" t="s">
        <v>239</v>
      </c>
      <c r="R4" s="150" t="s">
        <v>242</v>
      </c>
      <c r="S4" s="150" t="s">
        <v>243</v>
      </c>
      <c r="T4" s="150" t="s">
        <v>244</v>
      </c>
      <c r="U4" s="150" t="s">
        <v>245</v>
      </c>
      <c r="V4" s="150" t="s">
        <v>247</v>
      </c>
      <c r="W4" s="150" t="s">
        <v>249</v>
      </c>
      <c r="X4" s="150" t="s">
        <v>250</v>
      </c>
      <c r="Y4" s="150" t="s">
        <v>251</v>
      </c>
      <c r="Z4" s="150" t="s">
        <v>252</v>
      </c>
      <c r="AA4" s="150" t="s">
        <v>253</v>
      </c>
      <c r="AB4" s="150" t="s">
        <v>254</v>
      </c>
      <c r="AC4" s="150" t="s">
        <v>255</v>
      </c>
      <c r="AD4" s="150" t="s">
        <v>256</v>
      </c>
      <c r="AE4" s="150" t="s">
        <v>257</v>
      </c>
      <c r="AF4" s="150" t="s">
        <v>258</v>
      </c>
      <c r="AG4" s="150" t="s">
        <v>259</v>
      </c>
      <c r="AH4" s="151" t="s">
        <v>923</v>
      </c>
    </row>
    <row r="5" spans="1:34" ht="15" x14ac:dyDescent="0.25">
      <c r="A5" s="149">
        <v>1</v>
      </c>
      <c r="B5" s="152">
        <v>224.8</v>
      </c>
      <c r="C5" s="153">
        <v>225.31</v>
      </c>
      <c r="D5" s="153">
        <v>183.89</v>
      </c>
      <c r="E5" s="153">
        <v>206.62</v>
      </c>
      <c r="F5" s="153">
        <v>210.79</v>
      </c>
      <c r="G5" s="153">
        <v>141.44999999999999</v>
      </c>
      <c r="H5" s="153">
        <v>245.55</v>
      </c>
      <c r="I5" s="153">
        <v>159.49</v>
      </c>
      <c r="J5" s="153">
        <v>160.71</v>
      </c>
      <c r="K5" s="153">
        <v>152.55000000000001</v>
      </c>
      <c r="L5" s="153">
        <v>113.99</v>
      </c>
      <c r="M5" s="153">
        <v>163.56</v>
      </c>
      <c r="N5" s="153">
        <v>159.63999999999999</v>
      </c>
      <c r="O5" s="153">
        <v>136.74</v>
      </c>
      <c r="P5" s="153">
        <v>171.61</v>
      </c>
      <c r="Q5" s="153">
        <v>168.2</v>
      </c>
      <c r="R5" s="153">
        <v>222.93</v>
      </c>
      <c r="S5" s="153">
        <v>198.37</v>
      </c>
      <c r="T5" s="153">
        <v>173.25</v>
      </c>
      <c r="U5" s="153">
        <v>153.5</v>
      </c>
      <c r="V5" s="153">
        <v>61.07</v>
      </c>
      <c r="W5" s="153">
        <v>234.77</v>
      </c>
      <c r="X5" s="153">
        <v>234.68</v>
      </c>
      <c r="Y5" s="153">
        <v>148.41999999999999</v>
      </c>
      <c r="Z5" s="153">
        <v>219.54</v>
      </c>
      <c r="AA5" s="153">
        <v>300.91000000000003</v>
      </c>
      <c r="AB5" s="153">
        <v>269.08999999999997</v>
      </c>
      <c r="AC5" s="153">
        <v>307.91000000000003</v>
      </c>
      <c r="AD5" s="153">
        <v>235.35</v>
      </c>
      <c r="AE5" s="153">
        <v>250.62</v>
      </c>
      <c r="AF5" s="153">
        <v>287</v>
      </c>
      <c r="AG5" s="153">
        <v>170.47</v>
      </c>
      <c r="AH5" s="154">
        <v>6292.7800000000007</v>
      </c>
    </row>
    <row r="6" spans="1:34" ht="15" x14ac:dyDescent="0.25">
      <c r="A6" s="155">
        <v>2</v>
      </c>
      <c r="B6" s="156">
        <v>226.99</v>
      </c>
      <c r="C6" s="157">
        <v>227.5</v>
      </c>
      <c r="D6" s="157">
        <v>186.02</v>
      </c>
      <c r="E6" s="157">
        <v>208.68</v>
      </c>
      <c r="F6" s="157">
        <v>212.91</v>
      </c>
      <c r="G6" s="157">
        <v>143.32</v>
      </c>
      <c r="H6" s="157">
        <v>247.85</v>
      </c>
      <c r="I6" s="157">
        <v>161.5</v>
      </c>
      <c r="J6" s="157">
        <v>162.75</v>
      </c>
      <c r="K6" s="157">
        <v>154.51</v>
      </c>
      <c r="L6" s="157">
        <v>114.58</v>
      </c>
      <c r="M6" s="157">
        <v>164.56</v>
      </c>
      <c r="N6" s="157">
        <v>160.91999999999999</v>
      </c>
      <c r="O6" s="157">
        <v>137.61000000000001</v>
      </c>
      <c r="P6" s="157">
        <v>173.03</v>
      </c>
      <c r="Q6" s="157">
        <v>169.52</v>
      </c>
      <c r="R6" s="157">
        <v>224.56</v>
      </c>
      <c r="S6" s="157">
        <v>199.9</v>
      </c>
      <c r="T6" s="157">
        <v>174.66</v>
      </c>
      <c r="U6" s="157">
        <v>154.68</v>
      </c>
      <c r="V6" s="157">
        <v>61.99</v>
      </c>
      <c r="W6" s="157">
        <v>237.26</v>
      </c>
      <c r="X6" s="157">
        <v>237.02</v>
      </c>
      <c r="Y6" s="157">
        <v>150.22</v>
      </c>
      <c r="Z6" s="157">
        <v>221.83</v>
      </c>
      <c r="AA6" s="157">
        <v>303.72000000000003</v>
      </c>
      <c r="AB6" s="157">
        <v>271.68</v>
      </c>
      <c r="AC6" s="157">
        <v>310.69</v>
      </c>
      <c r="AD6" s="157">
        <v>237.56</v>
      </c>
      <c r="AE6" s="157">
        <v>253.14</v>
      </c>
      <c r="AF6" s="157">
        <v>289.82</v>
      </c>
      <c r="AG6" s="157">
        <v>172.55</v>
      </c>
      <c r="AH6" s="158">
        <v>6353.5300000000016</v>
      </c>
    </row>
    <row r="7" spans="1:34" ht="15" x14ac:dyDescent="0.25">
      <c r="A7" s="155">
        <v>3</v>
      </c>
      <c r="B7" s="156">
        <v>229.81</v>
      </c>
      <c r="C7" s="157">
        <v>230.33</v>
      </c>
      <c r="D7" s="157">
        <v>188.88</v>
      </c>
      <c r="E7" s="157">
        <v>211.34</v>
      </c>
      <c r="F7" s="157">
        <v>215.67</v>
      </c>
      <c r="G7" s="157">
        <v>145.88999999999999</v>
      </c>
      <c r="H7" s="157">
        <v>250.79</v>
      </c>
      <c r="I7" s="157">
        <v>164.24</v>
      </c>
      <c r="J7" s="157">
        <v>165.51</v>
      </c>
      <c r="K7" s="157">
        <v>157.18</v>
      </c>
      <c r="L7" s="157">
        <v>115.24</v>
      </c>
      <c r="M7" s="157">
        <v>165.7</v>
      </c>
      <c r="N7" s="157">
        <v>162.54</v>
      </c>
      <c r="O7" s="157">
        <v>138.63999999999999</v>
      </c>
      <c r="P7" s="157">
        <v>174.82</v>
      </c>
      <c r="Q7" s="157">
        <v>171.18</v>
      </c>
      <c r="R7" s="157">
        <v>226.55</v>
      </c>
      <c r="S7" s="157">
        <v>201.8</v>
      </c>
      <c r="T7" s="157">
        <v>176.45</v>
      </c>
      <c r="U7" s="157">
        <v>156.16</v>
      </c>
      <c r="V7" s="157">
        <v>63.35</v>
      </c>
      <c r="W7" s="157">
        <v>240.52</v>
      </c>
      <c r="X7" s="157">
        <v>240.05</v>
      </c>
      <c r="Y7" s="157">
        <v>152.65</v>
      </c>
      <c r="Z7" s="157">
        <v>224.82</v>
      </c>
      <c r="AA7" s="157">
        <v>307.29000000000002</v>
      </c>
      <c r="AB7" s="157">
        <v>275</v>
      </c>
      <c r="AC7" s="157">
        <v>314.19</v>
      </c>
      <c r="AD7" s="157">
        <v>240.39</v>
      </c>
      <c r="AE7" s="157">
        <v>256.39999999999998</v>
      </c>
      <c r="AF7" s="157">
        <v>293.45</v>
      </c>
      <c r="AG7" s="157">
        <v>175.36</v>
      </c>
      <c r="AH7" s="158">
        <v>6432.1899999999978</v>
      </c>
    </row>
    <row r="8" spans="1:34" ht="15" x14ac:dyDescent="0.25">
      <c r="A8" s="155">
        <v>4</v>
      </c>
      <c r="B8" s="156">
        <v>232.88</v>
      </c>
      <c r="C8" s="157">
        <v>233.39</v>
      </c>
      <c r="D8" s="157">
        <v>192</v>
      </c>
      <c r="E8" s="157">
        <v>214.24</v>
      </c>
      <c r="F8" s="157">
        <v>218.66</v>
      </c>
      <c r="G8" s="157">
        <v>148.72</v>
      </c>
      <c r="H8" s="157">
        <v>253.96</v>
      </c>
      <c r="I8" s="157">
        <v>167.24</v>
      </c>
      <c r="J8" s="157">
        <v>168.54</v>
      </c>
      <c r="K8" s="157">
        <v>160.11000000000001</v>
      </c>
      <c r="L8" s="157">
        <v>115.99</v>
      </c>
      <c r="M8" s="157">
        <v>166.95</v>
      </c>
      <c r="N8" s="157">
        <v>164.37</v>
      </c>
      <c r="O8" s="157">
        <v>139.79</v>
      </c>
      <c r="P8" s="157">
        <v>176.84</v>
      </c>
      <c r="Q8" s="157">
        <v>173.04</v>
      </c>
      <c r="R8" s="157">
        <v>228.73</v>
      </c>
      <c r="S8" s="157">
        <v>203.92</v>
      </c>
      <c r="T8" s="157">
        <v>178.46</v>
      </c>
      <c r="U8" s="157">
        <v>157.82</v>
      </c>
      <c r="V8" s="157">
        <v>64.989999999999995</v>
      </c>
      <c r="W8" s="157">
        <v>244.07</v>
      </c>
      <c r="X8" s="157">
        <v>243.33</v>
      </c>
      <c r="Y8" s="157">
        <v>155.32</v>
      </c>
      <c r="Z8" s="157">
        <v>228.07</v>
      </c>
      <c r="AA8" s="157">
        <v>311.13</v>
      </c>
      <c r="AB8" s="157">
        <v>278.58999999999997</v>
      </c>
      <c r="AC8" s="157">
        <v>317.95999999999998</v>
      </c>
      <c r="AD8" s="157">
        <v>243.44</v>
      </c>
      <c r="AE8" s="157">
        <v>259.93</v>
      </c>
      <c r="AF8" s="157">
        <v>297.37</v>
      </c>
      <c r="AG8" s="157">
        <v>178.44</v>
      </c>
      <c r="AH8" s="158">
        <v>6518.2899999999991</v>
      </c>
    </row>
    <row r="9" spans="1:34" ht="15" x14ac:dyDescent="0.25">
      <c r="A9" s="155">
        <v>5</v>
      </c>
      <c r="B9" s="156">
        <v>236.09</v>
      </c>
      <c r="C9" s="157">
        <v>236.6</v>
      </c>
      <c r="D9" s="157">
        <v>195.3</v>
      </c>
      <c r="E9" s="157">
        <v>217.28</v>
      </c>
      <c r="F9" s="157">
        <v>221.81</v>
      </c>
      <c r="G9" s="157">
        <v>151.72</v>
      </c>
      <c r="H9" s="157">
        <v>257.27999999999997</v>
      </c>
      <c r="I9" s="157">
        <v>170.42</v>
      </c>
      <c r="J9" s="157">
        <v>171.75</v>
      </c>
      <c r="K9" s="157">
        <v>163.22</v>
      </c>
      <c r="L9" s="157">
        <v>116.84</v>
      </c>
      <c r="M9" s="157">
        <v>168.3</v>
      </c>
      <c r="N9" s="157">
        <v>166.37</v>
      </c>
      <c r="O9" s="157">
        <v>141.04</v>
      </c>
      <c r="P9" s="157">
        <v>179.05</v>
      </c>
      <c r="Q9" s="157">
        <v>175.07</v>
      </c>
      <c r="R9" s="157">
        <v>231.08</v>
      </c>
      <c r="S9" s="157">
        <v>206.23</v>
      </c>
      <c r="T9" s="157">
        <v>180.67</v>
      </c>
      <c r="U9" s="157">
        <v>159.65</v>
      </c>
      <c r="V9" s="157">
        <v>66.89</v>
      </c>
      <c r="W9" s="157">
        <v>247.81</v>
      </c>
      <c r="X9" s="157">
        <v>246.77</v>
      </c>
      <c r="Y9" s="157">
        <v>158.15</v>
      </c>
      <c r="Z9" s="157">
        <v>231.48</v>
      </c>
      <c r="AA9" s="157">
        <v>315.14999999999998</v>
      </c>
      <c r="AB9" s="157">
        <v>282.33999999999997</v>
      </c>
      <c r="AC9" s="157">
        <v>321.89999999999998</v>
      </c>
      <c r="AD9" s="157">
        <v>246.63</v>
      </c>
      <c r="AE9" s="157">
        <v>263.63</v>
      </c>
      <c r="AF9" s="157">
        <v>301.49</v>
      </c>
      <c r="AG9" s="157">
        <v>181.7</v>
      </c>
      <c r="AH9" s="158">
        <v>6609.7099999999991</v>
      </c>
    </row>
    <row r="10" spans="1:34" ht="15" x14ac:dyDescent="0.25">
      <c r="A10" s="155">
        <v>6</v>
      </c>
      <c r="B10" s="156">
        <v>239.47</v>
      </c>
      <c r="C10" s="157">
        <v>239.97</v>
      </c>
      <c r="D10" s="157">
        <v>198.78</v>
      </c>
      <c r="E10" s="157">
        <v>220.49</v>
      </c>
      <c r="F10" s="157">
        <v>225.12</v>
      </c>
      <c r="G10" s="157">
        <v>154.9</v>
      </c>
      <c r="H10" s="157">
        <v>260.76</v>
      </c>
      <c r="I10" s="157">
        <v>173.79</v>
      </c>
      <c r="J10" s="157">
        <v>175.14</v>
      </c>
      <c r="K10" s="157">
        <v>166.52</v>
      </c>
      <c r="L10" s="157">
        <v>117.83</v>
      </c>
      <c r="M10" s="157">
        <v>169.76</v>
      </c>
      <c r="N10" s="157">
        <v>168.56</v>
      </c>
      <c r="O10" s="157">
        <v>142.41999999999999</v>
      </c>
      <c r="P10" s="157">
        <v>181.48</v>
      </c>
      <c r="Q10" s="157">
        <v>177.3</v>
      </c>
      <c r="R10" s="157">
        <v>233.61</v>
      </c>
      <c r="S10" s="157">
        <v>208.74</v>
      </c>
      <c r="T10" s="157">
        <v>183.1</v>
      </c>
      <c r="U10" s="157">
        <v>161.68</v>
      </c>
      <c r="V10" s="157">
        <v>69.099999999999994</v>
      </c>
      <c r="W10" s="157">
        <v>251.74</v>
      </c>
      <c r="X10" s="157">
        <v>250.39</v>
      </c>
      <c r="Y10" s="157">
        <v>161.16</v>
      </c>
      <c r="Z10" s="157">
        <v>235.06</v>
      </c>
      <c r="AA10" s="157">
        <v>319.33999999999997</v>
      </c>
      <c r="AB10" s="157">
        <v>286.27</v>
      </c>
      <c r="AC10" s="157">
        <v>326</v>
      </c>
      <c r="AD10" s="157">
        <v>249.96</v>
      </c>
      <c r="AE10" s="157">
        <v>267.5</v>
      </c>
      <c r="AF10" s="157">
        <v>305.8</v>
      </c>
      <c r="AG10" s="157">
        <v>185.15</v>
      </c>
      <c r="AH10" s="158">
        <v>6706.8900000000012</v>
      </c>
    </row>
    <row r="11" spans="1:34" ht="15" x14ac:dyDescent="0.25">
      <c r="A11" s="155">
        <v>7</v>
      </c>
      <c r="B11" s="156">
        <v>243.02</v>
      </c>
      <c r="C11" s="157">
        <v>243.51</v>
      </c>
      <c r="D11" s="157">
        <v>202.45</v>
      </c>
      <c r="E11" s="157">
        <v>223.85</v>
      </c>
      <c r="F11" s="157">
        <v>228.6</v>
      </c>
      <c r="G11" s="157">
        <v>158.28</v>
      </c>
      <c r="H11" s="157">
        <v>264.41000000000003</v>
      </c>
      <c r="I11" s="157">
        <v>177.35</v>
      </c>
      <c r="J11" s="157">
        <v>178.73</v>
      </c>
      <c r="K11" s="157">
        <v>170.01</v>
      </c>
      <c r="L11" s="157">
        <v>118.96</v>
      </c>
      <c r="M11" s="157">
        <v>171.35</v>
      </c>
      <c r="N11" s="157">
        <v>170.98</v>
      </c>
      <c r="O11" s="157">
        <v>143.94</v>
      </c>
      <c r="P11" s="157">
        <v>184.15</v>
      </c>
      <c r="Q11" s="157">
        <v>179.74</v>
      </c>
      <c r="R11" s="157">
        <v>236.35</v>
      </c>
      <c r="S11" s="157">
        <v>211.49</v>
      </c>
      <c r="T11" s="157">
        <v>185.78</v>
      </c>
      <c r="U11" s="157">
        <v>163.91</v>
      </c>
      <c r="V11" s="157">
        <v>71.650000000000006</v>
      </c>
      <c r="W11" s="157">
        <v>255.87</v>
      </c>
      <c r="X11" s="157">
        <v>254.17</v>
      </c>
      <c r="Y11" s="157">
        <v>164.34</v>
      </c>
      <c r="Z11" s="157">
        <v>238.82</v>
      </c>
      <c r="AA11" s="157">
        <v>323.70999999999998</v>
      </c>
      <c r="AB11" s="157">
        <v>290.38</v>
      </c>
      <c r="AC11" s="157">
        <v>330.29</v>
      </c>
      <c r="AD11" s="157">
        <v>253.45</v>
      </c>
      <c r="AE11" s="157">
        <v>271.55</v>
      </c>
      <c r="AF11" s="157">
        <v>310.32</v>
      </c>
      <c r="AG11" s="157">
        <v>188.81</v>
      </c>
      <c r="AH11" s="158">
        <v>6810.22</v>
      </c>
    </row>
    <row r="12" spans="1:34" ht="15" x14ac:dyDescent="0.25">
      <c r="A12" s="155">
        <v>8</v>
      </c>
      <c r="B12" s="156">
        <v>246.74</v>
      </c>
      <c r="C12" s="157">
        <v>247.23</v>
      </c>
      <c r="D12" s="157">
        <v>206.33</v>
      </c>
      <c r="E12" s="157">
        <v>227.39</v>
      </c>
      <c r="F12" s="157">
        <v>232.27</v>
      </c>
      <c r="G12" s="157">
        <v>161.86000000000001</v>
      </c>
      <c r="H12" s="157">
        <v>268.23</v>
      </c>
      <c r="I12" s="157">
        <v>181.12</v>
      </c>
      <c r="J12" s="157">
        <v>182.52</v>
      </c>
      <c r="K12" s="157">
        <v>173.71</v>
      </c>
      <c r="L12" s="157">
        <v>120.27</v>
      </c>
      <c r="M12" s="157">
        <v>173.07</v>
      </c>
      <c r="N12" s="157">
        <v>173.64</v>
      </c>
      <c r="O12" s="157">
        <v>145.61000000000001</v>
      </c>
      <c r="P12" s="157">
        <v>187.1</v>
      </c>
      <c r="Q12" s="157">
        <v>182.43</v>
      </c>
      <c r="R12" s="157">
        <v>239.3</v>
      </c>
      <c r="S12" s="157">
        <v>214.51</v>
      </c>
      <c r="T12" s="157">
        <v>188.73</v>
      </c>
      <c r="U12" s="157">
        <v>166.39</v>
      </c>
      <c r="V12" s="157">
        <v>74.599999999999994</v>
      </c>
      <c r="W12" s="157">
        <v>260.22000000000003</v>
      </c>
      <c r="X12" s="157">
        <v>258.14999999999998</v>
      </c>
      <c r="Y12" s="157">
        <v>167.72</v>
      </c>
      <c r="Z12" s="157">
        <v>242.78</v>
      </c>
      <c r="AA12" s="157">
        <v>328.28</v>
      </c>
      <c r="AB12" s="157">
        <v>294.68</v>
      </c>
      <c r="AC12" s="157">
        <v>334.75</v>
      </c>
      <c r="AD12" s="157">
        <v>257.11</v>
      </c>
      <c r="AE12" s="157">
        <v>275.8</v>
      </c>
      <c r="AF12" s="157">
        <v>315.04000000000002</v>
      </c>
      <c r="AG12" s="157">
        <v>192.67</v>
      </c>
      <c r="AH12" s="158">
        <v>6920.2499999999991</v>
      </c>
    </row>
    <row r="13" spans="1:34" ht="15" x14ac:dyDescent="0.25">
      <c r="A13" s="155">
        <v>9</v>
      </c>
      <c r="B13" s="156">
        <v>250.66</v>
      </c>
      <c r="C13" s="157">
        <v>251.14</v>
      </c>
      <c r="D13" s="157">
        <v>210.42</v>
      </c>
      <c r="E13" s="157">
        <v>231.12</v>
      </c>
      <c r="F13" s="157">
        <v>236.13</v>
      </c>
      <c r="G13" s="157">
        <v>165.67</v>
      </c>
      <c r="H13" s="157">
        <v>272.23</v>
      </c>
      <c r="I13" s="157">
        <v>185.11</v>
      </c>
      <c r="J13" s="157">
        <v>186.52</v>
      </c>
      <c r="K13" s="157">
        <v>177.62</v>
      </c>
      <c r="L13" s="157">
        <v>121.8</v>
      </c>
      <c r="M13" s="157">
        <v>174.94</v>
      </c>
      <c r="N13" s="157">
        <v>176.57</v>
      </c>
      <c r="O13" s="157">
        <v>147.46</v>
      </c>
      <c r="P13" s="157">
        <v>190.34</v>
      </c>
      <c r="Q13" s="157">
        <v>185.39</v>
      </c>
      <c r="R13" s="157">
        <v>242.49</v>
      </c>
      <c r="S13" s="157">
        <v>217.81</v>
      </c>
      <c r="T13" s="157">
        <v>192.01</v>
      </c>
      <c r="U13" s="157">
        <v>169.15</v>
      </c>
      <c r="V13" s="157">
        <v>77.989999999999995</v>
      </c>
      <c r="W13" s="157">
        <v>264.79000000000002</v>
      </c>
      <c r="X13" s="157">
        <v>262.32</v>
      </c>
      <c r="Y13" s="157">
        <v>171.3</v>
      </c>
      <c r="Z13" s="157">
        <v>246.93</v>
      </c>
      <c r="AA13" s="157">
        <v>333.05</v>
      </c>
      <c r="AB13" s="157">
        <v>299.18</v>
      </c>
      <c r="AC13" s="157">
        <v>339.42</v>
      </c>
      <c r="AD13" s="157">
        <v>260.92</v>
      </c>
      <c r="AE13" s="157">
        <v>280.25</v>
      </c>
      <c r="AF13" s="157">
        <v>320</v>
      </c>
      <c r="AG13" s="157">
        <v>196.76</v>
      </c>
      <c r="AH13" s="158">
        <v>7037.4900000000016</v>
      </c>
    </row>
    <row r="14" spans="1:34" ht="15" x14ac:dyDescent="0.25">
      <c r="A14" s="155">
        <v>10</v>
      </c>
      <c r="B14" s="156">
        <v>254.78</v>
      </c>
      <c r="C14" s="157">
        <v>255.24</v>
      </c>
      <c r="D14" s="157">
        <v>214.74</v>
      </c>
      <c r="E14" s="157">
        <v>235.04</v>
      </c>
      <c r="F14" s="157">
        <v>240.19</v>
      </c>
      <c r="G14" s="157">
        <v>169.7</v>
      </c>
      <c r="H14" s="157">
        <v>276.43</v>
      </c>
      <c r="I14" s="157">
        <v>189.33</v>
      </c>
      <c r="J14" s="157">
        <v>190.76</v>
      </c>
      <c r="K14" s="157">
        <v>181.76</v>
      </c>
      <c r="L14" s="157">
        <v>123.58</v>
      </c>
      <c r="M14" s="157">
        <v>176.98</v>
      </c>
      <c r="N14" s="157">
        <v>179.82</v>
      </c>
      <c r="O14" s="157">
        <v>149.51</v>
      </c>
      <c r="P14" s="157">
        <v>193.93</v>
      </c>
      <c r="Q14" s="157">
        <v>188.67</v>
      </c>
      <c r="R14" s="157">
        <v>245.96</v>
      </c>
      <c r="S14" s="157">
        <v>221.45</v>
      </c>
      <c r="T14" s="157">
        <v>195.63</v>
      </c>
      <c r="U14" s="157">
        <v>172.21</v>
      </c>
      <c r="V14" s="157">
        <v>81.900000000000006</v>
      </c>
      <c r="W14" s="157">
        <v>269.60000000000002</v>
      </c>
      <c r="X14" s="157">
        <v>266.69</v>
      </c>
      <c r="Y14" s="157">
        <v>175.08</v>
      </c>
      <c r="Z14" s="157">
        <v>251.28</v>
      </c>
      <c r="AA14" s="157">
        <v>338.02</v>
      </c>
      <c r="AB14" s="157">
        <v>303.89</v>
      </c>
      <c r="AC14" s="157">
        <v>344.28</v>
      </c>
      <c r="AD14" s="157">
        <v>264.92</v>
      </c>
      <c r="AE14" s="157">
        <v>284.91000000000003</v>
      </c>
      <c r="AF14" s="157">
        <v>325.19</v>
      </c>
      <c r="AG14" s="157">
        <v>201.09</v>
      </c>
      <c r="AH14" s="158">
        <v>7162.56</v>
      </c>
    </row>
    <row r="15" spans="1:34" ht="15" x14ac:dyDescent="0.25">
      <c r="A15" s="155">
        <v>11</v>
      </c>
      <c r="B15" s="156">
        <v>259.11</v>
      </c>
      <c r="C15" s="157">
        <v>259.55</v>
      </c>
      <c r="D15" s="157">
        <v>219.29</v>
      </c>
      <c r="E15" s="157">
        <v>239.16</v>
      </c>
      <c r="F15" s="157">
        <v>244.46</v>
      </c>
      <c r="G15" s="157">
        <v>173.97</v>
      </c>
      <c r="H15" s="157">
        <v>280.83</v>
      </c>
      <c r="I15" s="157">
        <v>193.8</v>
      </c>
      <c r="J15" s="157">
        <v>195.23</v>
      </c>
      <c r="K15" s="157">
        <v>186.15</v>
      </c>
      <c r="L15" s="157">
        <v>125.68</v>
      </c>
      <c r="M15" s="157">
        <v>179.22</v>
      </c>
      <c r="N15" s="157">
        <v>183.41</v>
      </c>
      <c r="O15" s="157">
        <v>151.79</v>
      </c>
      <c r="P15" s="157">
        <v>197.9</v>
      </c>
      <c r="Q15" s="157">
        <v>192.29</v>
      </c>
      <c r="R15" s="157">
        <v>249.73</v>
      </c>
      <c r="S15" s="157">
        <v>225.45</v>
      </c>
      <c r="T15" s="157">
        <v>199.66</v>
      </c>
      <c r="U15" s="157">
        <v>175.63</v>
      </c>
      <c r="V15" s="157">
        <v>86.4</v>
      </c>
      <c r="W15" s="157">
        <v>274.66000000000003</v>
      </c>
      <c r="X15" s="157">
        <v>271.27999999999997</v>
      </c>
      <c r="Y15" s="157">
        <v>179.1</v>
      </c>
      <c r="Z15" s="157">
        <v>255.86</v>
      </c>
      <c r="AA15" s="157">
        <v>343.21</v>
      </c>
      <c r="AB15" s="157">
        <v>308.82</v>
      </c>
      <c r="AC15" s="157">
        <v>349.36</v>
      </c>
      <c r="AD15" s="157">
        <v>269.10000000000002</v>
      </c>
      <c r="AE15" s="157">
        <v>289.79000000000002</v>
      </c>
      <c r="AF15" s="157">
        <v>330.63</v>
      </c>
      <c r="AG15" s="157">
        <v>205.66</v>
      </c>
      <c r="AH15" s="158">
        <v>7296.1799999999976</v>
      </c>
    </row>
    <row r="16" spans="1:34" ht="15" x14ac:dyDescent="0.25">
      <c r="A16" s="155">
        <v>12</v>
      </c>
      <c r="B16" s="156">
        <v>263.66000000000003</v>
      </c>
      <c r="C16" s="157">
        <v>264.08</v>
      </c>
      <c r="D16" s="157">
        <v>224.1</v>
      </c>
      <c r="E16" s="157">
        <v>243.5</v>
      </c>
      <c r="F16" s="157">
        <v>248.96</v>
      </c>
      <c r="G16" s="157">
        <v>178.5</v>
      </c>
      <c r="H16" s="157">
        <v>285.44</v>
      </c>
      <c r="I16" s="157">
        <v>198.53</v>
      </c>
      <c r="J16" s="157">
        <v>199.95</v>
      </c>
      <c r="K16" s="157">
        <v>190.79</v>
      </c>
      <c r="L16" s="157">
        <v>128.15</v>
      </c>
      <c r="M16" s="157">
        <v>181.67</v>
      </c>
      <c r="N16" s="157">
        <v>187.4</v>
      </c>
      <c r="O16" s="157">
        <v>154.32</v>
      </c>
      <c r="P16" s="157">
        <v>202.31</v>
      </c>
      <c r="Q16" s="157">
        <v>196.3</v>
      </c>
      <c r="R16" s="157">
        <v>253.83</v>
      </c>
      <c r="S16" s="157">
        <v>229.88</v>
      </c>
      <c r="T16" s="157">
        <v>204.14</v>
      </c>
      <c r="U16" s="157">
        <v>179.45</v>
      </c>
      <c r="V16" s="157">
        <v>91.58</v>
      </c>
      <c r="W16" s="157">
        <v>279.98</v>
      </c>
      <c r="X16" s="157">
        <v>276.08999999999997</v>
      </c>
      <c r="Y16" s="157">
        <v>183.35</v>
      </c>
      <c r="Z16" s="157">
        <v>260.67</v>
      </c>
      <c r="AA16" s="157">
        <v>348.63</v>
      </c>
      <c r="AB16" s="157">
        <v>313.98</v>
      </c>
      <c r="AC16" s="157">
        <v>354.65</v>
      </c>
      <c r="AD16" s="157">
        <v>273.47000000000003</v>
      </c>
      <c r="AE16" s="157">
        <v>294.89999999999998</v>
      </c>
      <c r="AF16" s="157">
        <v>336.32</v>
      </c>
      <c r="AG16" s="157">
        <v>210.5</v>
      </c>
      <c r="AH16" s="158">
        <v>7439.0800000000008</v>
      </c>
    </row>
    <row r="17" spans="1:34" ht="15" x14ac:dyDescent="0.25">
      <c r="A17" s="155">
        <v>13</v>
      </c>
      <c r="B17" s="156">
        <v>268.45</v>
      </c>
      <c r="C17" s="157">
        <v>268.83</v>
      </c>
      <c r="D17" s="157">
        <v>229.16</v>
      </c>
      <c r="E17" s="157">
        <v>248.07</v>
      </c>
      <c r="F17" s="157">
        <v>253.69</v>
      </c>
      <c r="G17" s="157">
        <v>183.31</v>
      </c>
      <c r="H17" s="157">
        <v>290.27999999999997</v>
      </c>
      <c r="I17" s="157">
        <v>203.53</v>
      </c>
      <c r="J17" s="157">
        <v>204.94</v>
      </c>
      <c r="K17" s="157">
        <v>195.71</v>
      </c>
      <c r="L17" s="157">
        <v>131.09</v>
      </c>
      <c r="M17" s="157">
        <v>184.39</v>
      </c>
      <c r="N17" s="157">
        <v>191.83</v>
      </c>
      <c r="O17" s="157">
        <v>157.16999999999999</v>
      </c>
      <c r="P17" s="157">
        <v>207.22</v>
      </c>
      <c r="Q17" s="157">
        <v>200.76</v>
      </c>
      <c r="R17" s="157">
        <v>258.3</v>
      </c>
      <c r="S17" s="157">
        <v>234.77</v>
      </c>
      <c r="T17" s="157">
        <v>209.13</v>
      </c>
      <c r="U17" s="157">
        <v>183.74</v>
      </c>
      <c r="V17" s="157">
        <v>97.56</v>
      </c>
      <c r="W17" s="157">
        <v>285.57</v>
      </c>
      <c r="X17" s="157">
        <v>281.13</v>
      </c>
      <c r="Y17" s="157">
        <v>187.85</v>
      </c>
      <c r="Z17" s="157">
        <v>265.70999999999998</v>
      </c>
      <c r="AA17" s="157">
        <v>354.28</v>
      </c>
      <c r="AB17" s="157">
        <v>319.37</v>
      </c>
      <c r="AC17" s="157">
        <v>360.18</v>
      </c>
      <c r="AD17" s="157">
        <v>278.02999999999997</v>
      </c>
      <c r="AE17" s="157">
        <v>300.24</v>
      </c>
      <c r="AF17" s="157">
        <v>342.28</v>
      </c>
      <c r="AG17" s="157">
        <v>215.61</v>
      </c>
      <c r="AH17" s="158">
        <v>7592.1799999999985</v>
      </c>
    </row>
    <row r="18" spans="1:34" ht="15" x14ac:dyDescent="0.25">
      <c r="A18" s="155">
        <v>14</v>
      </c>
      <c r="B18" s="156">
        <v>273.48</v>
      </c>
      <c r="C18" s="157">
        <v>273.83</v>
      </c>
      <c r="D18" s="157">
        <v>234.51</v>
      </c>
      <c r="E18" s="157">
        <v>252.87</v>
      </c>
      <c r="F18" s="157">
        <v>258.68</v>
      </c>
      <c r="G18" s="157">
        <v>188.4</v>
      </c>
      <c r="H18" s="157">
        <v>295.35000000000002</v>
      </c>
      <c r="I18" s="157">
        <v>208.81</v>
      </c>
      <c r="J18" s="157">
        <v>210.2</v>
      </c>
      <c r="K18" s="157">
        <v>200.91</v>
      </c>
      <c r="L18" s="157">
        <v>134.6</v>
      </c>
      <c r="M18" s="157">
        <v>187.39</v>
      </c>
      <c r="N18" s="157">
        <v>196.77</v>
      </c>
      <c r="O18" s="157">
        <v>160.37</v>
      </c>
      <c r="P18" s="157">
        <v>212.68</v>
      </c>
      <c r="Q18" s="157">
        <v>205.74</v>
      </c>
      <c r="R18" s="157">
        <v>263.19</v>
      </c>
      <c r="S18" s="157">
        <v>240.2</v>
      </c>
      <c r="T18" s="157">
        <v>214.71</v>
      </c>
      <c r="U18" s="157">
        <v>188.55</v>
      </c>
      <c r="V18" s="157">
        <v>104.44</v>
      </c>
      <c r="W18" s="157">
        <v>291.45</v>
      </c>
      <c r="X18" s="157">
        <v>286.42</v>
      </c>
      <c r="Y18" s="157">
        <v>192.61</v>
      </c>
      <c r="Z18" s="157">
        <v>271</v>
      </c>
      <c r="AA18" s="157">
        <v>360.18</v>
      </c>
      <c r="AB18" s="157">
        <v>325.01</v>
      </c>
      <c r="AC18" s="157">
        <v>365.94</v>
      </c>
      <c r="AD18" s="157">
        <v>282.81</v>
      </c>
      <c r="AE18" s="157">
        <v>305.83999999999997</v>
      </c>
      <c r="AF18" s="157">
        <v>348.52</v>
      </c>
      <c r="AG18" s="157">
        <v>221.01</v>
      </c>
      <c r="AH18" s="158">
        <v>7756.4699999999993</v>
      </c>
    </row>
    <row r="19" spans="1:34" ht="15" x14ac:dyDescent="0.25">
      <c r="A19" s="155">
        <v>15</v>
      </c>
      <c r="B19" s="156">
        <v>278.77</v>
      </c>
      <c r="C19" s="157">
        <v>279.08</v>
      </c>
      <c r="D19" s="157">
        <v>240.14</v>
      </c>
      <c r="E19" s="157">
        <v>257.93</v>
      </c>
      <c r="F19" s="157">
        <v>263.92</v>
      </c>
      <c r="G19" s="157">
        <v>193.79</v>
      </c>
      <c r="H19" s="157">
        <v>300.67</v>
      </c>
      <c r="I19" s="157">
        <v>214.4</v>
      </c>
      <c r="J19" s="157">
        <v>215.76</v>
      </c>
      <c r="K19" s="157">
        <v>206.41</v>
      </c>
      <c r="L19" s="157">
        <v>138.81</v>
      </c>
      <c r="M19" s="157">
        <v>190.75</v>
      </c>
      <c r="N19" s="157">
        <v>202.29</v>
      </c>
      <c r="O19" s="157">
        <v>164</v>
      </c>
      <c r="P19" s="157">
        <v>218.78</v>
      </c>
      <c r="Q19" s="157">
        <v>211.28</v>
      </c>
      <c r="R19" s="157">
        <v>268.54000000000002</v>
      </c>
      <c r="S19" s="157">
        <v>246.23</v>
      </c>
      <c r="T19" s="157">
        <v>220.96</v>
      </c>
      <c r="U19" s="157">
        <v>193.98</v>
      </c>
      <c r="V19" s="157">
        <v>112.37</v>
      </c>
      <c r="W19" s="157">
        <v>297.63</v>
      </c>
      <c r="X19" s="157">
        <v>291.95999999999998</v>
      </c>
      <c r="Y19" s="157">
        <v>197.66</v>
      </c>
      <c r="Z19" s="157">
        <v>276.55</v>
      </c>
      <c r="AA19" s="157">
        <v>366.32</v>
      </c>
      <c r="AB19" s="157">
        <v>330.9</v>
      </c>
      <c r="AC19" s="157">
        <v>371.94</v>
      </c>
      <c r="AD19" s="157">
        <v>287.8</v>
      </c>
      <c r="AE19" s="157">
        <v>311.68</v>
      </c>
      <c r="AF19" s="157">
        <v>355.05</v>
      </c>
      <c r="AG19" s="157">
        <v>226.72</v>
      </c>
      <c r="AH19" s="158">
        <v>7933.07</v>
      </c>
    </row>
    <row r="20" spans="1:34" ht="15" x14ac:dyDescent="0.25">
      <c r="A20" s="155">
        <v>16</v>
      </c>
      <c r="B20" s="156">
        <v>284.33</v>
      </c>
      <c r="C20" s="157">
        <v>284.60000000000002</v>
      </c>
      <c r="D20" s="157">
        <v>246.07</v>
      </c>
      <c r="E20" s="157">
        <v>263.25</v>
      </c>
      <c r="F20" s="157">
        <v>269.44</v>
      </c>
      <c r="G20" s="157">
        <v>199.5</v>
      </c>
      <c r="H20" s="157">
        <v>306.23</v>
      </c>
      <c r="I20" s="157">
        <v>220.3</v>
      </c>
      <c r="J20" s="157">
        <v>221.61</v>
      </c>
      <c r="K20" s="157">
        <v>212.22</v>
      </c>
      <c r="L20" s="157">
        <v>143.88</v>
      </c>
      <c r="M20" s="157">
        <v>194.52</v>
      </c>
      <c r="N20" s="157">
        <v>208.46</v>
      </c>
      <c r="O20" s="157">
        <v>168.13</v>
      </c>
      <c r="P20" s="157">
        <v>225.59</v>
      </c>
      <c r="Q20" s="157">
        <v>217.48</v>
      </c>
      <c r="R20" s="157">
        <v>274.41000000000003</v>
      </c>
      <c r="S20" s="157">
        <v>252.94</v>
      </c>
      <c r="T20" s="157">
        <v>227.95</v>
      </c>
      <c r="U20" s="157">
        <v>200.1</v>
      </c>
      <c r="V20" s="157">
        <v>121.48</v>
      </c>
      <c r="W20" s="157">
        <v>304.13</v>
      </c>
      <c r="X20" s="157">
        <v>297.76</v>
      </c>
      <c r="Y20" s="157">
        <v>202.99</v>
      </c>
      <c r="Z20" s="157">
        <v>282.37</v>
      </c>
      <c r="AA20" s="157">
        <v>372.71</v>
      </c>
      <c r="AB20" s="157">
        <v>337.06</v>
      </c>
      <c r="AC20" s="157">
        <v>378.2</v>
      </c>
      <c r="AD20" s="157">
        <v>293</v>
      </c>
      <c r="AE20" s="157">
        <v>317.79000000000002</v>
      </c>
      <c r="AF20" s="157">
        <v>361.87</v>
      </c>
      <c r="AG20" s="157">
        <v>232.75</v>
      </c>
      <c r="AH20" s="158">
        <v>8123.12</v>
      </c>
    </row>
    <row r="21" spans="1:34" ht="15" x14ac:dyDescent="0.25">
      <c r="A21" s="155">
        <v>17</v>
      </c>
      <c r="B21" s="156">
        <v>290.17</v>
      </c>
      <c r="C21" s="157">
        <v>290.38</v>
      </c>
      <c r="D21" s="157">
        <v>252.32</v>
      </c>
      <c r="E21" s="157">
        <v>268.85000000000002</v>
      </c>
      <c r="F21" s="157">
        <v>275.24</v>
      </c>
      <c r="G21" s="157">
        <v>205.55</v>
      </c>
      <c r="H21" s="157">
        <v>312.07</v>
      </c>
      <c r="I21" s="157">
        <v>226.53</v>
      </c>
      <c r="J21" s="157">
        <v>227.78</v>
      </c>
      <c r="K21" s="157">
        <v>218.37</v>
      </c>
      <c r="L21" s="157">
        <v>150</v>
      </c>
      <c r="M21" s="157">
        <v>198.79</v>
      </c>
      <c r="N21" s="157">
        <v>215.38</v>
      </c>
      <c r="O21" s="157">
        <v>172.87</v>
      </c>
      <c r="P21" s="157">
        <v>233.23</v>
      </c>
      <c r="Q21" s="157">
        <v>224.42</v>
      </c>
      <c r="R21" s="157">
        <v>280.86</v>
      </c>
      <c r="S21" s="157">
        <v>260.41000000000003</v>
      </c>
      <c r="T21" s="157">
        <v>235.79</v>
      </c>
      <c r="U21" s="157">
        <v>207.02</v>
      </c>
      <c r="V21" s="157">
        <v>131.96</v>
      </c>
      <c r="W21" s="157">
        <v>310.95</v>
      </c>
      <c r="X21" s="157">
        <v>303.83999999999997</v>
      </c>
      <c r="Y21" s="157">
        <v>208.63</v>
      </c>
      <c r="Z21" s="157">
        <v>288.45999999999998</v>
      </c>
      <c r="AA21" s="157">
        <v>379.37</v>
      </c>
      <c r="AB21" s="157">
        <v>343.49</v>
      </c>
      <c r="AC21" s="157">
        <v>384.71</v>
      </c>
      <c r="AD21" s="157">
        <v>298.44</v>
      </c>
      <c r="AE21" s="157">
        <v>324.18</v>
      </c>
      <c r="AF21" s="157">
        <v>369.01</v>
      </c>
      <c r="AG21" s="157">
        <v>239.11</v>
      </c>
      <c r="AH21" s="158">
        <v>8328.18</v>
      </c>
    </row>
    <row r="22" spans="1:34" ht="15" x14ac:dyDescent="0.25">
      <c r="A22" s="155">
        <v>18</v>
      </c>
      <c r="B22" s="156">
        <v>296.3</v>
      </c>
      <c r="C22" s="157">
        <v>296.45</v>
      </c>
      <c r="D22" s="157">
        <v>258.89999999999998</v>
      </c>
      <c r="E22" s="157">
        <v>274.73</v>
      </c>
      <c r="F22" s="157">
        <v>281.33999999999997</v>
      </c>
      <c r="G22" s="157">
        <v>211.94</v>
      </c>
      <c r="H22" s="157">
        <v>318.17</v>
      </c>
      <c r="I22" s="157">
        <v>233.1</v>
      </c>
      <c r="J22" s="157">
        <v>234.27</v>
      </c>
      <c r="K22" s="157">
        <v>224.85</v>
      </c>
      <c r="L22" s="157">
        <v>157.38</v>
      </c>
      <c r="M22" s="157">
        <v>203.66</v>
      </c>
      <c r="N22" s="157">
        <v>223.15</v>
      </c>
      <c r="O22" s="157">
        <v>178.33</v>
      </c>
      <c r="P22" s="157">
        <v>241.78</v>
      </c>
      <c r="Q22" s="157">
        <v>232.2</v>
      </c>
      <c r="R22" s="157">
        <v>287.95999999999998</v>
      </c>
      <c r="S22" s="157">
        <v>268.74</v>
      </c>
      <c r="T22" s="157">
        <v>244.58</v>
      </c>
      <c r="U22" s="157">
        <v>214.85</v>
      </c>
      <c r="V22" s="157">
        <v>143.97</v>
      </c>
      <c r="W22" s="157">
        <v>318.11</v>
      </c>
      <c r="X22" s="157">
        <v>310.2</v>
      </c>
      <c r="Y22" s="157">
        <v>214.6</v>
      </c>
      <c r="Z22" s="157">
        <v>294.83999999999997</v>
      </c>
      <c r="AA22" s="157">
        <v>386.29</v>
      </c>
      <c r="AB22" s="157">
        <v>350.19</v>
      </c>
      <c r="AC22" s="157">
        <v>391.49</v>
      </c>
      <c r="AD22" s="157">
        <v>304.11</v>
      </c>
      <c r="AE22" s="157">
        <v>330.84</v>
      </c>
      <c r="AF22" s="157">
        <v>376.45</v>
      </c>
      <c r="AG22" s="157">
        <v>245.82</v>
      </c>
      <c r="AH22" s="158">
        <v>8549.59</v>
      </c>
    </row>
    <row r="23" spans="1:34" ht="15" x14ac:dyDescent="0.25">
      <c r="A23" s="155">
        <v>19</v>
      </c>
      <c r="B23" s="156">
        <v>302.74</v>
      </c>
      <c r="C23" s="157">
        <v>302.82</v>
      </c>
      <c r="D23" s="157">
        <v>265.81</v>
      </c>
      <c r="E23" s="157">
        <v>280.89999999999998</v>
      </c>
      <c r="F23" s="157">
        <v>287.75</v>
      </c>
      <c r="G23" s="157">
        <v>218.69</v>
      </c>
      <c r="H23" s="157">
        <v>324.56</v>
      </c>
      <c r="I23" s="157">
        <v>240.02</v>
      </c>
      <c r="J23" s="157">
        <v>241.1</v>
      </c>
      <c r="K23" s="157">
        <v>231.7</v>
      </c>
      <c r="L23" s="157">
        <v>166.3</v>
      </c>
      <c r="M23" s="157">
        <v>209.29</v>
      </c>
      <c r="N23" s="157">
        <v>231.87</v>
      </c>
      <c r="O23" s="157">
        <v>184.68</v>
      </c>
      <c r="P23" s="157">
        <v>251.38</v>
      </c>
      <c r="Q23" s="157">
        <v>240.93</v>
      </c>
      <c r="R23" s="157">
        <v>295.8</v>
      </c>
      <c r="S23" s="157">
        <v>278.02999999999997</v>
      </c>
      <c r="T23" s="157">
        <v>254.43</v>
      </c>
      <c r="U23" s="157">
        <v>223.71</v>
      </c>
      <c r="V23" s="157">
        <v>157.69999999999999</v>
      </c>
      <c r="W23" s="157">
        <v>325.61</v>
      </c>
      <c r="X23" s="157">
        <v>316.83999999999997</v>
      </c>
      <c r="Y23" s="157">
        <v>220.9</v>
      </c>
      <c r="Z23" s="157">
        <v>301.51</v>
      </c>
      <c r="AA23" s="157">
        <v>393.48</v>
      </c>
      <c r="AB23" s="157">
        <v>357.19</v>
      </c>
      <c r="AC23" s="157">
        <v>398.53</v>
      </c>
      <c r="AD23" s="157">
        <v>310.01</v>
      </c>
      <c r="AE23" s="157">
        <v>337.78</v>
      </c>
      <c r="AF23" s="157">
        <v>384.22</v>
      </c>
      <c r="AG23" s="157">
        <v>252.89</v>
      </c>
      <c r="AH23" s="158">
        <v>8789.1699999999983</v>
      </c>
    </row>
    <row r="24" spans="1:34" ht="15" x14ac:dyDescent="0.25">
      <c r="A24" s="155">
        <v>20</v>
      </c>
      <c r="B24" s="156">
        <v>309.49</v>
      </c>
      <c r="C24" s="157">
        <v>309.49</v>
      </c>
      <c r="D24" s="157">
        <v>273.06</v>
      </c>
      <c r="E24" s="157">
        <v>287.38</v>
      </c>
      <c r="F24" s="157">
        <v>294.48</v>
      </c>
      <c r="G24" s="157">
        <v>225.82</v>
      </c>
      <c r="H24" s="157">
        <v>331.23</v>
      </c>
      <c r="I24" s="157">
        <v>247.31</v>
      </c>
      <c r="J24" s="157">
        <v>248.28</v>
      </c>
      <c r="K24" s="157">
        <v>238.91</v>
      </c>
      <c r="L24" s="157">
        <v>177.04</v>
      </c>
      <c r="M24" s="157">
        <v>215.83</v>
      </c>
      <c r="N24" s="157">
        <v>241.68</v>
      </c>
      <c r="O24" s="157">
        <v>192.11</v>
      </c>
      <c r="P24" s="157">
        <v>262.14</v>
      </c>
      <c r="Q24" s="157">
        <v>250.72</v>
      </c>
      <c r="R24" s="157">
        <v>304.45999999999998</v>
      </c>
      <c r="S24" s="157">
        <v>288.39</v>
      </c>
      <c r="T24" s="157">
        <v>265.47000000000003</v>
      </c>
      <c r="U24" s="157">
        <v>233.74</v>
      </c>
      <c r="V24" s="157">
        <v>173.33</v>
      </c>
      <c r="W24" s="157">
        <v>333.48</v>
      </c>
      <c r="X24" s="157">
        <v>323.77999999999997</v>
      </c>
      <c r="Y24" s="157">
        <v>227.55</v>
      </c>
      <c r="Z24" s="157">
        <v>308.48</v>
      </c>
      <c r="AA24" s="157">
        <v>400.94</v>
      </c>
      <c r="AB24" s="157">
        <v>364.47</v>
      </c>
      <c r="AC24" s="157">
        <v>405.84</v>
      </c>
      <c r="AD24" s="157">
        <v>316.16000000000003</v>
      </c>
      <c r="AE24" s="157">
        <v>345.01</v>
      </c>
      <c r="AF24" s="157">
        <v>392.32</v>
      </c>
      <c r="AG24" s="157">
        <v>260.33999999999997</v>
      </c>
      <c r="AH24" s="158">
        <v>9048.73</v>
      </c>
    </row>
    <row r="25" spans="1:34" ht="15" x14ac:dyDescent="0.25">
      <c r="A25" s="155">
        <v>21</v>
      </c>
      <c r="B25" s="156">
        <v>316.56</v>
      </c>
      <c r="C25" s="157">
        <v>316.45999999999998</v>
      </c>
      <c r="D25" s="157">
        <v>280.68</v>
      </c>
      <c r="E25" s="157">
        <v>294.18</v>
      </c>
      <c r="F25" s="157">
        <v>301.52999999999997</v>
      </c>
      <c r="G25" s="157">
        <v>233.34</v>
      </c>
      <c r="H25" s="157">
        <v>338.2</v>
      </c>
      <c r="I25" s="157">
        <v>254.97</v>
      </c>
      <c r="J25" s="157">
        <v>255.81</v>
      </c>
      <c r="K25" s="157">
        <v>246.5</v>
      </c>
      <c r="L25" s="157">
        <v>189.9</v>
      </c>
      <c r="M25" s="157">
        <v>223.53</v>
      </c>
      <c r="N25" s="157">
        <v>252.71</v>
      </c>
      <c r="O25" s="157">
        <v>200.83</v>
      </c>
      <c r="P25" s="157">
        <v>274.20999999999998</v>
      </c>
      <c r="Q25" s="157">
        <v>261.7</v>
      </c>
      <c r="R25" s="157">
        <v>314.06</v>
      </c>
      <c r="S25" s="157">
        <v>299.94</v>
      </c>
      <c r="T25" s="157">
        <v>277.81</v>
      </c>
      <c r="U25" s="157">
        <v>245.06</v>
      </c>
      <c r="V25" s="157">
        <v>191.03</v>
      </c>
      <c r="W25" s="157">
        <v>341.71</v>
      </c>
      <c r="X25" s="157">
        <v>331.02</v>
      </c>
      <c r="Y25" s="157">
        <v>234.58</v>
      </c>
      <c r="Z25" s="157">
        <v>315.76</v>
      </c>
      <c r="AA25" s="157">
        <v>408.67</v>
      </c>
      <c r="AB25" s="157">
        <v>372.04</v>
      </c>
      <c r="AC25" s="157">
        <v>413.43</v>
      </c>
      <c r="AD25" s="157">
        <v>322.55</v>
      </c>
      <c r="AE25" s="157">
        <v>352.53</v>
      </c>
      <c r="AF25" s="157">
        <v>400.74</v>
      </c>
      <c r="AG25" s="157">
        <v>268.17</v>
      </c>
      <c r="AH25" s="158">
        <v>9330.2100000000009</v>
      </c>
    </row>
    <row r="26" spans="1:34" ht="15" x14ac:dyDescent="0.25">
      <c r="A26" s="155">
        <v>22</v>
      </c>
      <c r="B26" s="156">
        <v>323.95</v>
      </c>
      <c r="C26" s="157">
        <v>323.76</v>
      </c>
      <c r="D26" s="157">
        <v>288.64999999999998</v>
      </c>
      <c r="E26" s="157">
        <v>301.3</v>
      </c>
      <c r="F26" s="157">
        <v>308.92</v>
      </c>
      <c r="G26" s="157">
        <v>241.25</v>
      </c>
      <c r="H26" s="157">
        <v>345.47</v>
      </c>
      <c r="I26" s="157">
        <v>263.02</v>
      </c>
      <c r="J26" s="157">
        <v>263.69</v>
      </c>
      <c r="K26" s="157">
        <v>254.49</v>
      </c>
      <c r="L26" s="157">
        <v>205.18</v>
      </c>
      <c r="M26" s="157">
        <v>232.67</v>
      </c>
      <c r="N26" s="157">
        <v>265.08999999999997</v>
      </c>
      <c r="O26" s="157">
        <v>211.15</v>
      </c>
      <c r="P26" s="157">
        <v>287.73</v>
      </c>
      <c r="Q26" s="157">
        <v>274.01</v>
      </c>
      <c r="R26" s="157">
        <v>324.70999999999998</v>
      </c>
      <c r="S26" s="157">
        <v>312.77999999999997</v>
      </c>
      <c r="T26" s="157">
        <v>291.57</v>
      </c>
      <c r="U26" s="157">
        <v>257.83</v>
      </c>
      <c r="V26" s="157">
        <v>210.92</v>
      </c>
      <c r="W26" s="157">
        <v>350.32</v>
      </c>
      <c r="X26" s="157">
        <v>338.57</v>
      </c>
      <c r="Y26" s="157">
        <v>241.98</v>
      </c>
      <c r="Z26" s="157">
        <v>323.33999999999997</v>
      </c>
      <c r="AA26" s="157">
        <v>416.67</v>
      </c>
      <c r="AB26" s="157">
        <v>379.91</v>
      </c>
      <c r="AC26" s="157">
        <v>421.28</v>
      </c>
      <c r="AD26" s="157">
        <v>329.18</v>
      </c>
      <c r="AE26" s="157">
        <v>360.33</v>
      </c>
      <c r="AF26" s="157">
        <v>409.5</v>
      </c>
      <c r="AG26" s="157">
        <v>276.39</v>
      </c>
      <c r="AH26" s="158">
        <v>9635.6099999999988</v>
      </c>
    </row>
    <row r="27" spans="1:34" ht="15" x14ac:dyDescent="0.25">
      <c r="A27" s="155">
        <v>23</v>
      </c>
      <c r="B27" s="156">
        <v>331.68</v>
      </c>
      <c r="C27" s="157">
        <v>331.37</v>
      </c>
      <c r="D27" s="157">
        <v>296.98</v>
      </c>
      <c r="E27" s="157">
        <v>308.74</v>
      </c>
      <c r="F27" s="157">
        <v>316.64999999999998</v>
      </c>
      <c r="G27" s="157">
        <v>249.57</v>
      </c>
      <c r="H27" s="157">
        <v>353.04</v>
      </c>
      <c r="I27" s="157">
        <v>271.45</v>
      </c>
      <c r="J27" s="157">
        <v>271.93</v>
      </c>
      <c r="K27" s="157">
        <v>262.88</v>
      </c>
      <c r="L27" s="157">
        <v>223.17</v>
      </c>
      <c r="M27" s="157">
        <v>243.61</v>
      </c>
      <c r="N27" s="157">
        <v>278.99</v>
      </c>
      <c r="O27" s="157">
        <v>223.38</v>
      </c>
      <c r="P27" s="157">
        <v>302.83</v>
      </c>
      <c r="Q27" s="157">
        <v>287.77999999999997</v>
      </c>
      <c r="R27" s="157">
        <v>336.55</v>
      </c>
      <c r="S27" s="157">
        <v>327.04000000000002</v>
      </c>
      <c r="T27" s="157">
        <v>306.87</v>
      </c>
      <c r="U27" s="157">
        <v>272.17</v>
      </c>
      <c r="V27" s="157">
        <v>233.1</v>
      </c>
      <c r="W27" s="157">
        <v>359.3</v>
      </c>
      <c r="X27" s="157">
        <v>346.43</v>
      </c>
      <c r="Y27" s="157">
        <v>249.79</v>
      </c>
      <c r="Z27" s="157">
        <v>331.23</v>
      </c>
      <c r="AA27" s="157">
        <v>424.92</v>
      </c>
      <c r="AB27" s="157">
        <v>388.07</v>
      </c>
      <c r="AC27" s="157">
        <v>429.39</v>
      </c>
      <c r="AD27" s="157">
        <v>336.05</v>
      </c>
      <c r="AE27" s="157">
        <v>368.43</v>
      </c>
      <c r="AF27" s="157">
        <v>418.59</v>
      </c>
      <c r="AG27" s="157">
        <v>285.02</v>
      </c>
      <c r="AH27" s="158">
        <v>9967</v>
      </c>
    </row>
    <row r="28" spans="1:34" ht="15" x14ac:dyDescent="0.25">
      <c r="A28" s="155">
        <v>24</v>
      </c>
      <c r="B28" s="156">
        <v>339.75</v>
      </c>
      <c r="C28" s="157">
        <v>339.3</v>
      </c>
      <c r="D28" s="157">
        <v>305.67</v>
      </c>
      <c r="E28" s="157">
        <v>316.51</v>
      </c>
      <c r="F28" s="157">
        <v>324.72000000000003</v>
      </c>
      <c r="G28" s="157">
        <v>258.31</v>
      </c>
      <c r="H28" s="157">
        <v>360.9</v>
      </c>
      <c r="I28" s="157">
        <v>280.27</v>
      </c>
      <c r="J28" s="157">
        <v>280.52999999999997</v>
      </c>
      <c r="K28" s="157">
        <v>271.67</v>
      </c>
      <c r="L28" s="157">
        <v>244.06</v>
      </c>
      <c r="M28" s="157">
        <v>256.79000000000002</v>
      </c>
      <c r="N28" s="157">
        <v>294.52999999999997</v>
      </c>
      <c r="O28" s="157">
        <v>237.93</v>
      </c>
      <c r="P28" s="157">
        <v>319.66000000000003</v>
      </c>
      <c r="Q28" s="157">
        <v>303.14999999999998</v>
      </c>
      <c r="R28" s="157">
        <v>349.74</v>
      </c>
      <c r="S28" s="157">
        <v>342.83</v>
      </c>
      <c r="T28" s="157">
        <v>323.8</v>
      </c>
      <c r="U28" s="157">
        <v>288.2</v>
      </c>
      <c r="V28" s="157">
        <v>257.60000000000002</v>
      </c>
      <c r="W28" s="157">
        <v>368.67</v>
      </c>
      <c r="X28" s="157">
        <v>354.59</v>
      </c>
      <c r="Y28" s="157">
        <v>258</v>
      </c>
      <c r="Z28" s="157">
        <v>339.42</v>
      </c>
      <c r="AA28" s="157">
        <v>433.44</v>
      </c>
      <c r="AB28" s="157">
        <v>396.52</v>
      </c>
      <c r="AC28" s="157">
        <v>437.77</v>
      </c>
      <c r="AD28" s="157">
        <v>343.16</v>
      </c>
      <c r="AE28" s="157">
        <v>376.8</v>
      </c>
      <c r="AF28" s="157">
        <v>427.99</v>
      </c>
      <c r="AG28" s="157">
        <v>294.05</v>
      </c>
      <c r="AH28" s="158">
        <v>10326.329999999998</v>
      </c>
    </row>
    <row r="29" spans="1:34" ht="15" x14ac:dyDescent="0.25">
      <c r="A29" s="155">
        <v>25</v>
      </c>
      <c r="B29" s="156">
        <v>348.14</v>
      </c>
      <c r="C29" s="157">
        <v>347.55</v>
      </c>
      <c r="D29" s="157">
        <v>314.73</v>
      </c>
      <c r="E29" s="157">
        <v>324.62</v>
      </c>
      <c r="F29" s="157">
        <v>333.13</v>
      </c>
      <c r="G29" s="157">
        <v>267.45999999999998</v>
      </c>
      <c r="H29" s="157">
        <v>369.06</v>
      </c>
      <c r="I29" s="157">
        <v>289.48</v>
      </c>
      <c r="J29" s="157">
        <v>289.48</v>
      </c>
      <c r="K29" s="157">
        <v>280.87</v>
      </c>
      <c r="L29" s="157">
        <v>267.98</v>
      </c>
      <c r="M29" s="157">
        <v>272.74</v>
      </c>
      <c r="N29" s="157">
        <v>311.87</v>
      </c>
      <c r="O29" s="157">
        <v>255.23</v>
      </c>
      <c r="P29" s="157">
        <v>338.37</v>
      </c>
      <c r="Q29" s="157">
        <v>320.26</v>
      </c>
      <c r="R29" s="157">
        <v>364.45</v>
      </c>
      <c r="S29" s="157">
        <v>360.25</v>
      </c>
      <c r="T29" s="157">
        <v>342.45</v>
      </c>
      <c r="U29" s="157">
        <v>306.04000000000002</v>
      </c>
      <c r="V29" s="157">
        <v>284.38</v>
      </c>
      <c r="W29" s="157">
        <v>378.42</v>
      </c>
      <c r="X29" s="157">
        <v>363.05</v>
      </c>
      <c r="Y29" s="157">
        <v>266.64</v>
      </c>
      <c r="Z29" s="157">
        <v>347.92</v>
      </c>
      <c r="AA29" s="157">
        <v>442.19</v>
      </c>
      <c r="AB29" s="157">
        <v>405.25</v>
      </c>
      <c r="AC29" s="157">
        <v>446.39</v>
      </c>
      <c r="AD29" s="157">
        <v>350.5</v>
      </c>
      <c r="AE29" s="157">
        <v>385.45</v>
      </c>
      <c r="AF29" s="157">
        <v>437.71</v>
      </c>
      <c r="AG29" s="157">
        <v>303.5</v>
      </c>
      <c r="AH29" s="158">
        <v>10715.56</v>
      </c>
    </row>
    <row r="30" spans="1:34" ht="15" x14ac:dyDescent="0.25">
      <c r="A30" s="155">
        <v>26</v>
      </c>
      <c r="B30" s="156">
        <v>356.87</v>
      </c>
      <c r="C30" s="157">
        <v>356.11</v>
      </c>
      <c r="D30" s="157">
        <v>324.12</v>
      </c>
      <c r="E30" s="157">
        <v>333.04</v>
      </c>
      <c r="F30" s="157">
        <v>341.88</v>
      </c>
      <c r="G30" s="157">
        <v>277.02</v>
      </c>
      <c r="H30" s="157">
        <v>377.51</v>
      </c>
      <c r="I30" s="157">
        <v>299.06</v>
      </c>
      <c r="J30" s="157">
        <v>298.77</v>
      </c>
      <c r="K30" s="157">
        <v>290.47000000000003</v>
      </c>
      <c r="L30" s="157">
        <v>294.89999999999998</v>
      </c>
      <c r="M30" s="157">
        <v>292.05</v>
      </c>
      <c r="N30" s="157">
        <v>331.12</v>
      </c>
      <c r="O30" s="157">
        <v>275.77</v>
      </c>
      <c r="P30" s="157">
        <v>359.1</v>
      </c>
      <c r="Q30" s="157">
        <v>339.26</v>
      </c>
      <c r="R30" s="157">
        <v>380.88</v>
      </c>
      <c r="S30" s="157">
        <v>379.42</v>
      </c>
      <c r="T30" s="157">
        <v>362.9</v>
      </c>
      <c r="U30" s="157">
        <v>325.77999999999997</v>
      </c>
      <c r="V30" s="157">
        <v>313.31</v>
      </c>
      <c r="W30" s="157">
        <v>388.54</v>
      </c>
      <c r="X30" s="157">
        <v>371.82</v>
      </c>
      <c r="Y30" s="157">
        <v>275.72000000000003</v>
      </c>
      <c r="Z30" s="157">
        <v>356.7</v>
      </c>
      <c r="AA30" s="157">
        <v>451.17</v>
      </c>
      <c r="AB30" s="157">
        <v>414.26</v>
      </c>
      <c r="AC30" s="157">
        <v>455.25</v>
      </c>
      <c r="AD30" s="157">
        <v>358.06</v>
      </c>
      <c r="AE30" s="157">
        <v>394.35</v>
      </c>
      <c r="AF30" s="157">
        <v>447.73</v>
      </c>
      <c r="AG30" s="157">
        <v>313.33999999999997</v>
      </c>
      <c r="AH30" s="158">
        <v>11136.28</v>
      </c>
    </row>
    <row r="31" spans="1:34" ht="15" x14ac:dyDescent="0.25">
      <c r="A31" s="155">
        <v>27</v>
      </c>
      <c r="B31" s="156">
        <v>365.91</v>
      </c>
      <c r="C31" s="157">
        <v>364.97</v>
      </c>
      <c r="D31" s="157">
        <v>333.85</v>
      </c>
      <c r="E31" s="157">
        <v>341.78</v>
      </c>
      <c r="F31" s="157">
        <v>350.96</v>
      </c>
      <c r="G31" s="157">
        <v>286.98</v>
      </c>
      <c r="H31" s="157">
        <v>386.22</v>
      </c>
      <c r="I31" s="157">
        <v>309.01</v>
      </c>
      <c r="J31" s="157">
        <v>308.39</v>
      </c>
      <c r="K31" s="157">
        <v>300.45999999999998</v>
      </c>
      <c r="L31" s="157">
        <v>324.66000000000003</v>
      </c>
      <c r="M31" s="157">
        <v>315.38</v>
      </c>
      <c r="N31" s="157">
        <v>352.4</v>
      </c>
      <c r="O31" s="157">
        <v>300.06</v>
      </c>
      <c r="P31" s="157">
        <v>381.99</v>
      </c>
      <c r="Q31" s="157">
        <v>360.27</v>
      </c>
      <c r="R31" s="157">
        <v>399.22</v>
      </c>
      <c r="S31" s="157">
        <v>400.42</v>
      </c>
      <c r="T31" s="157">
        <v>385.22</v>
      </c>
      <c r="U31" s="157">
        <v>347.52</v>
      </c>
      <c r="V31" s="157">
        <v>344.22</v>
      </c>
      <c r="W31" s="157">
        <v>399.03</v>
      </c>
      <c r="X31" s="157">
        <v>380.87</v>
      </c>
      <c r="Y31" s="157">
        <v>285.24</v>
      </c>
      <c r="Z31" s="157">
        <v>365.76</v>
      </c>
      <c r="AA31" s="157">
        <v>460.35</v>
      </c>
      <c r="AB31" s="157">
        <v>423.52</v>
      </c>
      <c r="AC31" s="157">
        <v>464.32</v>
      </c>
      <c r="AD31" s="157">
        <v>365.83</v>
      </c>
      <c r="AE31" s="157">
        <v>403.5</v>
      </c>
      <c r="AF31" s="157">
        <v>458.03</v>
      </c>
      <c r="AG31" s="157">
        <v>323.58</v>
      </c>
      <c r="AH31" s="158">
        <v>11589.920000000004</v>
      </c>
    </row>
    <row r="32" spans="1:34" ht="15" x14ac:dyDescent="0.25">
      <c r="A32" s="155">
        <v>28</v>
      </c>
      <c r="B32" s="156">
        <v>375.25</v>
      </c>
      <c r="C32" s="157">
        <v>374.11</v>
      </c>
      <c r="D32" s="157">
        <v>343.89</v>
      </c>
      <c r="E32" s="157">
        <v>350.82</v>
      </c>
      <c r="F32" s="157">
        <v>360.35</v>
      </c>
      <c r="G32" s="157">
        <v>297.32</v>
      </c>
      <c r="H32" s="157">
        <v>395.19</v>
      </c>
      <c r="I32" s="157">
        <v>319.3</v>
      </c>
      <c r="J32" s="157">
        <v>318.3</v>
      </c>
      <c r="K32" s="157">
        <v>310.83999999999997</v>
      </c>
      <c r="L32" s="157">
        <v>356.99</v>
      </c>
      <c r="M32" s="157">
        <v>343.4</v>
      </c>
      <c r="N32" s="157">
        <v>375.79</v>
      </c>
      <c r="O32" s="157">
        <v>328.6</v>
      </c>
      <c r="P32" s="157">
        <v>407.18</v>
      </c>
      <c r="Q32" s="157">
        <v>383.45</v>
      </c>
      <c r="R32" s="157">
        <v>419.73</v>
      </c>
      <c r="S32" s="157">
        <v>423.38</v>
      </c>
      <c r="T32" s="157">
        <v>409.47</v>
      </c>
      <c r="U32" s="157">
        <v>371.34</v>
      </c>
      <c r="V32" s="157">
        <v>376.87</v>
      </c>
      <c r="W32" s="157">
        <v>409.86</v>
      </c>
      <c r="X32" s="157">
        <v>390.2</v>
      </c>
      <c r="Y32" s="157">
        <v>295.20999999999998</v>
      </c>
      <c r="Z32" s="157">
        <v>375.08</v>
      </c>
      <c r="AA32" s="157">
        <v>469.71</v>
      </c>
      <c r="AB32" s="157">
        <v>433.01</v>
      </c>
      <c r="AC32" s="157">
        <v>473.59</v>
      </c>
      <c r="AD32" s="157">
        <v>373.78</v>
      </c>
      <c r="AE32" s="157">
        <v>412.86</v>
      </c>
      <c r="AF32" s="157">
        <v>468.58</v>
      </c>
      <c r="AG32" s="157">
        <v>334.2</v>
      </c>
      <c r="AH32" s="158">
        <v>12077.650000000001</v>
      </c>
    </row>
    <row r="33" spans="1:34" ht="15" x14ac:dyDescent="0.25">
      <c r="A33" s="155">
        <v>29</v>
      </c>
      <c r="B33" s="156">
        <v>384.87</v>
      </c>
      <c r="C33" s="157">
        <v>383.5</v>
      </c>
      <c r="D33" s="157">
        <v>354.2</v>
      </c>
      <c r="E33" s="157">
        <v>360.14</v>
      </c>
      <c r="F33" s="157">
        <v>370.04</v>
      </c>
      <c r="G33" s="157">
        <v>308.02999999999997</v>
      </c>
      <c r="H33" s="157">
        <v>404.39</v>
      </c>
      <c r="I33" s="157">
        <v>329.91</v>
      </c>
      <c r="J33" s="157">
        <v>328.49</v>
      </c>
      <c r="K33" s="157">
        <v>321.57</v>
      </c>
      <c r="L33" s="157">
        <v>391.55</v>
      </c>
      <c r="M33" s="157">
        <v>376.68</v>
      </c>
      <c r="N33" s="157">
        <v>401.38</v>
      </c>
      <c r="O33" s="157">
        <v>361.85</v>
      </c>
      <c r="P33" s="157">
        <v>434.84</v>
      </c>
      <c r="Q33" s="157">
        <v>408.93</v>
      </c>
      <c r="R33" s="157">
        <v>442.66</v>
      </c>
      <c r="S33" s="157">
        <v>448.42</v>
      </c>
      <c r="T33" s="157">
        <v>435.72</v>
      </c>
      <c r="U33" s="157">
        <v>397.36</v>
      </c>
      <c r="V33" s="157">
        <v>411.02</v>
      </c>
      <c r="W33" s="157">
        <v>421.02</v>
      </c>
      <c r="X33" s="157">
        <v>399.79</v>
      </c>
      <c r="Y33" s="157">
        <v>305.63</v>
      </c>
      <c r="Z33" s="157">
        <v>384.63</v>
      </c>
      <c r="AA33" s="157">
        <v>479.24</v>
      </c>
      <c r="AB33" s="157">
        <v>442.72</v>
      </c>
      <c r="AC33" s="157">
        <v>483.02</v>
      </c>
      <c r="AD33" s="157">
        <v>381.91</v>
      </c>
      <c r="AE33" s="157">
        <v>422.43</v>
      </c>
      <c r="AF33" s="157">
        <v>479.35</v>
      </c>
      <c r="AG33" s="157">
        <v>345.18</v>
      </c>
      <c r="AH33" s="158">
        <v>12600.470000000001</v>
      </c>
    </row>
    <row r="34" spans="1:34" ht="15" x14ac:dyDescent="0.25">
      <c r="A34" s="155">
        <v>30</v>
      </c>
      <c r="B34" s="156">
        <v>394.74</v>
      </c>
      <c r="C34" s="157">
        <v>393.12</v>
      </c>
      <c r="D34" s="157">
        <v>364.76</v>
      </c>
      <c r="E34" s="157">
        <v>369.7</v>
      </c>
      <c r="F34" s="157">
        <v>379.99</v>
      </c>
      <c r="G34" s="157">
        <v>319.08</v>
      </c>
      <c r="H34" s="157">
        <v>413.78</v>
      </c>
      <c r="I34" s="157">
        <v>340.79</v>
      </c>
      <c r="J34" s="157">
        <v>338.9</v>
      </c>
      <c r="K34" s="157">
        <v>332.63</v>
      </c>
      <c r="L34" s="157">
        <v>428.05</v>
      </c>
      <c r="M34" s="157">
        <v>415.65</v>
      </c>
      <c r="N34" s="157">
        <v>429.24</v>
      </c>
      <c r="O34" s="157">
        <v>400.11</v>
      </c>
      <c r="P34" s="157">
        <v>465.17</v>
      </c>
      <c r="Q34" s="157">
        <v>436.9</v>
      </c>
      <c r="R34" s="157">
        <v>468.33</v>
      </c>
      <c r="S34" s="157">
        <v>475.73</v>
      </c>
      <c r="T34" s="157">
        <v>464.1</v>
      </c>
      <c r="U34" s="157">
        <v>425.73</v>
      </c>
      <c r="V34" s="157">
        <v>446.48</v>
      </c>
      <c r="W34" s="157">
        <v>432.48</v>
      </c>
      <c r="X34" s="157">
        <v>409.62</v>
      </c>
      <c r="Y34" s="157">
        <v>316.51</v>
      </c>
      <c r="Z34" s="157">
        <v>394.39</v>
      </c>
      <c r="AA34" s="157">
        <v>488.88</v>
      </c>
      <c r="AB34" s="157">
        <v>452.62</v>
      </c>
      <c r="AC34" s="157">
        <v>492.59</v>
      </c>
      <c r="AD34" s="157">
        <v>390.18</v>
      </c>
      <c r="AE34" s="157">
        <v>432.15</v>
      </c>
      <c r="AF34" s="157">
        <v>490.32</v>
      </c>
      <c r="AG34" s="157">
        <v>356.49</v>
      </c>
      <c r="AH34" s="158">
        <v>13159.21</v>
      </c>
    </row>
    <row r="35" spans="1:34" ht="15" x14ac:dyDescent="0.25">
      <c r="A35" s="155">
        <v>31</v>
      </c>
      <c r="B35" s="156">
        <v>404.83</v>
      </c>
      <c r="C35" s="157">
        <v>402.93</v>
      </c>
      <c r="D35" s="157">
        <v>375.51</v>
      </c>
      <c r="E35" s="157">
        <v>379.49</v>
      </c>
      <c r="F35" s="157">
        <v>390.17</v>
      </c>
      <c r="G35" s="157">
        <v>330.42</v>
      </c>
      <c r="H35" s="157">
        <v>423.33</v>
      </c>
      <c r="I35" s="157">
        <v>351.91</v>
      </c>
      <c r="J35" s="157">
        <v>349.5</v>
      </c>
      <c r="K35" s="157">
        <v>343.99</v>
      </c>
      <c r="L35" s="157">
        <v>466.41</v>
      </c>
      <c r="M35" s="157">
        <v>460.42</v>
      </c>
      <c r="N35" s="157">
        <v>459.49</v>
      </c>
      <c r="O35" s="157">
        <v>443.5</v>
      </c>
      <c r="P35" s="157">
        <v>498.45</v>
      </c>
      <c r="Q35" s="157">
        <v>467.58</v>
      </c>
      <c r="R35" s="157">
        <v>497.09</v>
      </c>
      <c r="S35" s="157">
        <v>505.55</v>
      </c>
      <c r="T35" s="157">
        <v>494.76</v>
      </c>
      <c r="U35" s="157">
        <v>456.71</v>
      </c>
      <c r="V35" s="157">
        <v>483.17</v>
      </c>
      <c r="W35" s="157">
        <v>444.2</v>
      </c>
      <c r="X35" s="157">
        <v>419.66</v>
      </c>
      <c r="Y35" s="157">
        <v>327.85</v>
      </c>
      <c r="Z35" s="157">
        <v>404.33</v>
      </c>
      <c r="AA35" s="157">
        <v>498.61</v>
      </c>
      <c r="AB35" s="157">
        <v>462.66</v>
      </c>
      <c r="AC35" s="157">
        <v>502.26</v>
      </c>
      <c r="AD35" s="157">
        <v>398.56</v>
      </c>
      <c r="AE35" s="157">
        <v>442</v>
      </c>
      <c r="AF35" s="157">
        <v>501.43</v>
      </c>
      <c r="AG35" s="157">
        <v>368.1</v>
      </c>
      <c r="AH35" s="158">
        <v>13754.87</v>
      </c>
    </row>
    <row r="36" spans="1:34" ht="15" x14ac:dyDescent="0.25">
      <c r="A36" s="155">
        <v>32</v>
      </c>
      <c r="B36" s="156">
        <v>415.09</v>
      </c>
      <c r="C36" s="157">
        <v>412.89</v>
      </c>
      <c r="D36" s="157">
        <v>386.39</v>
      </c>
      <c r="E36" s="157">
        <v>389.45</v>
      </c>
      <c r="F36" s="157">
        <v>400.54</v>
      </c>
      <c r="G36" s="157">
        <v>342</v>
      </c>
      <c r="H36" s="157">
        <v>433</v>
      </c>
      <c r="I36" s="157">
        <v>363.22</v>
      </c>
      <c r="J36" s="157">
        <v>360.23</v>
      </c>
      <c r="K36" s="157">
        <v>355.59</v>
      </c>
      <c r="L36" s="157">
        <v>506.81</v>
      </c>
      <c r="M36" s="157">
        <v>510.73</v>
      </c>
      <c r="N36" s="157">
        <v>492.37</v>
      </c>
      <c r="O36" s="157">
        <v>491.89</v>
      </c>
      <c r="P36" s="157">
        <v>535.04999999999995</v>
      </c>
      <c r="Q36" s="157">
        <v>501.29</v>
      </c>
      <c r="R36" s="157">
        <v>529.41999999999996</v>
      </c>
      <c r="S36" s="157">
        <v>538.26</v>
      </c>
      <c r="T36" s="157">
        <v>527.98</v>
      </c>
      <c r="U36" s="157">
        <v>490.66</v>
      </c>
      <c r="V36" s="157">
        <v>521.23</v>
      </c>
      <c r="W36" s="157">
        <v>456.14</v>
      </c>
      <c r="X36" s="157">
        <v>429.88</v>
      </c>
      <c r="Y36" s="157">
        <v>339.63</v>
      </c>
      <c r="Z36" s="157">
        <v>414.4</v>
      </c>
      <c r="AA36" s="157">
        <v>508.39</v>
      </c>
      <c r="AB36" s="157">
        <v>472.83</v>
      </c>
      <c r="AC36" s="157">
        <v>511.99</v>
      </c>
      <c r="AD36" s="157">
        <v>407.02</v>
      </c>
      <c r="AE36" s="157">
        <v>451.94</v>
      </c>
      <c r="AF36" s="157">
        <v>512.64</v>
      </c>
      <c r="AG36" s="157">
        <v>379.95</v>
      </c>
      <c r="AH36" s="158">
        <v>14388.899999999998</v>
      </c>
    </row>
    <row r="37" spans="1:34" ht="15" x14ac:dyDescent="0.25">
      <c r="A37" s="155">
        <v>33</v>
      </c>
      <c r="B37" s="156">
        <v>425.46</v>
      </c>
      <c r="C37" s="157">
        <v>422.94</v>
      </c>
      <c r="D37" s="157">
        <v>397.35</v>
      </c>
      <c r="E37" s="157">
        <v>399.53</v>
      </c>
      <c r="F37" s="157">
        <v>411.04</v>
      </c>
      <c r="G37" s="157">
        <v>353.78</v>
      </c>
      <c r="H37" s="157">
        <v>442.73</v>
      </c>
      <c r="I37" s="157">
        <v>374.64</v>
      </c>
      <c r="J37" s="157">
        <v>371.03</v>
      </c>
      <c r="K37" s="157">
        <v>367.39</v>
      </c>
      <c r="L37" s="157">
        <v>549.84</v>
      </c>
      <c r="M37" s="157">
        <v>565.95000000000005</v>
      </c>
      <c r="N37" s="157">
        <v>528.35</v>
      </c>
      <c r="O37" s="157">
        <v>544.9</v>
      </c>
      <c r="P37" s="157">
        <v>575.52</v>
      </c>
      <c r="Q37" s="157">
        <v>538.48</v>
      </c>
      <c r="R37" s="157">
        <v>565.89</v>
      </c>
      <c r="S37" s="157">
        <v>574.37</v>
      </c>
      <c r="T37" s="157">
        <v>564.20000000000005</v>
      </c>
      <c r="U37" s="157">
        <v>528.11</v>
      </c>
      <c r="V37" s="157">
        <v>561.04999999999995</v>
      </c>
      <c r="W37" s="157">
        <v>468.26</v>
      </c>
      <c r="X37" s="157">
        <v>440.25</v>
      </c>
      <c r="Y37" s="157">
        <v>351.86</v>
      </c>
      <c r="Z37" s="157">
        <v>424.57</v>
      </c>
      <c r="AA37" s="157">
        <v>518.17999999999995</v>
      </c>
      <c r="AB37" s="157">
        <v>483.08</v>
      </c>
      <c r="AC37" s="157">
        <v>521.74</v>
      </c>
      <c r="AD37" s="157">
        <v>415.53</v>
      </c>
      <c r="AE37" s="157">
        <v>461.93</v>
      </c>
      <c r="AF37" s="157">
        <v>523.9</v>
      </c>
      <c r="AG37" s="157">
        <v>392.01</v>
      </c>
      <c r="AH37" s="158">
        <v>15063.86</v>
      </c>
    </row>
    <row r="38" spans="1:34" ht="15" x14ac:dyDescent="0.25">
      <c r="A38" s="155">
        <v>34</v>
      </c>
      <c r="B38" s="156">
        <v>435.9</v>
      </c>
      <c r="C38" s="157">
        <v>433.03</v>
      </c>
      <c r="D38" s="157">
        <v>408.32</v>
      </c>
      <c r="E38" s="157">
        <v>409.68</v>
      </c>
      <c r="F38" s="157">
        <v>421.63</v>
      </c>
      <c r="G38" s="157">
        <v>365.67</v>
      </c>
      <c r="H38" s="157">
        <v>452.47</v>
      </c>
      <c r="I38" s="157">
        <v>386.11</v>
      </c>
      <c r="J38" s="157">
        <v>381.84</v>
      </c>
      <c r="K38" s="157">
        <v>379.31</v>
      </c>
      <c r="L38" s="157">
        <v>596.41999999999996</v>
      </c>
      <c r="M38" s="157">
        <v>625.32000000000005</v>
      </c>
      <c r="N38" s="157">
        <v>568.26</v>
      </c>
      <c r="O38" s="157">
        <v>602.07000000000005</v>
      </c>
      <c r="P38" s="157">
        <v>620.6</v>
      </c>
      <c r="Q38" s="157">
        <v>579.83000000000004</v>
      </c>
      <c r="R38" s="157">
        <v>607.27</v>
      </c>
      <c r="S38" s="157">
        <v>614.61</v>
      </c>
      <c r="T38" s="157">
        <v>604.04</v>
      </c>
      <c r="U38" s="157">
        <v>569.78</v>
      </c>
      <c r="V38" s="157">
        <v>603.38</v>
      </c>
      <c r="W38" s="157">
        <v>480.49</v>
      </c>
      <c r="X38" s="157">
        <v>450.74</v>
      </c>
      <c r="Y38" s="157">
        <v>364.52</v>
      </c>
      <c r="Z38" s="157">
        <v>434.78</v>
      </c>
      <c r="AA38" s="157">
        <v>527.92999999999995</v>
      </c>
      <c r="AB38" s="157">
        <v>493.36</v>
      </c>
      <c r="AC38" s="157">
        <v>531.46</v>
      </c>
      <c r="AD38" s="157">
        <v>424.04</v>
      </c>
      <c r="AE38" s="157">
        <v>471.91</v>
      </c>
      <c r="AF38" s="157">
        <v>535.16</v>
      </c>
      <c r="AG38" s="157">
        <v>404.2</v>
      </c>
      <c r="AH38" s="158">
        <v>15784.130000000005</v>
      </c>
    </row>
    <row r="39" spans="1:34" ht="15" x14ac:dyDescent="0.25">
      <c r="A39" s="155">
        <v>35</v>
      </c>
      <c r="B39" s="156">
        <v>446.34</v>
      </c>
      <c r="C39" s="157">
        <v>443.09</v>
      </c>
      <c r="D39" s="157">
        <v>419.22</v>
      </c>
      <c r="E39" s="157">
        <v>419.83</v>
      </c>
      <c r="F39" s="157">
        <v>432.24</v>
      </c>
      <c r="G39" s="157">
        <v>377.61</v>
      </c>
      <c r="H39" s="157">
        <v>462.16</v>
      </c>
      <c r="I39" s="157">
        <v>397.57</v>
      </c>
      <c r="J39" s="157">
        <v>392.57</v>
      </c>
      <c r="K39" s="157">
        <v>391.3</v>
      </c>
      <c r="L39" s="157">
        <v>647.75</v>
      </c>
      <c r="M39" s="157">
        <v>688.37</v>
      </c>
      <c r="N39" s="157">
        <v>613.62</v>
      </c>
      <c r="O39" s="157">
        <v>663.14</v>
      </c>
      <c r="P39" s="157">
        <v>671.33</v>
      </c>
      <c r="Q39" s="157">
        <v>626.21</v>
      </c>
      <c r="R39" s="157">
        <v>654.59</v>
      </c>
      <c r="S39" s="157">
        <v>659.99</v>
      </c>
      <c r="T39" s="157">
        <v>648.4</v>
      </c>
      <c r="U39" s="157">
        <v>616.63</v>
      </c>
      <c r="V39" s="157">
        <v>649.38</v>
      </c>
      <c r="W39" s="157">
        <v>492.77</v>
      </c>
      <c r="X39" s="157">
        <v>461.3</v>
      </c>
      <c r="Y39" s="157">
        <v>377.6</v>
      </c>
      <c r="Z39" s="157">
        <v>445</v>
      </c>
      <c r="AA39" s="157">
        <v>537.62</v>
      </c>
      <c r="AB39" s="157">
        <v>503.64</v>
      </c>
      <c r="AC39" s="157">
        <v>541.12</v>
      </c>
      <c r="AD39" s="157">
        <v>432.52</v>
      </c>
      <c r="AE39" s="157">
        <v>481.85</v>
      </c>
      <c r="AF39" s="157">
        <v>546.35</v>
      </c>
      <c r="AG39" s="157">
        <v>416.46</v>
      </c>
      <c r="AH39" s="158">
        <v>16557.57</v>
      </c>
    </row>
    <row r="40" spans="1:34" ht="15" x14ac:dyDescent="0.25">
      <c r="A40" s="155">
        <v>36</v>
      </c>
      <c r="B40" s="156">
        <v>456.7</v>
      </c>
      <c r="C40" s="157">
        <v>453.05</v>
      </c>
      <c r="D40" s="157">
        <v>429.96</v>
      </c>
      <c r="E40" s="157">
        <v>429.92</v>
      </c>
      <c r="F40" s="157">
        <v>442.8</v>
      </c>
      <c r="G40" s="157">
        <v>389.53</v>
      </c>
      <c r="H40" s="157">
        <v>471.73</v>
      </c>
      <c r="I40" s="157">
        <v>408.92</v>
      </c>
      <c r="J40" s="157">
        <v>403.17</v>
      </c>
      <c r="K40" s="157">
        <v>403.28</v>
      </c>
      <c r="L40" s="157">
        <v>705.24</v>
      </c>
      <c r="M40" s="157">
        <v>755.48</v>
      </c>
      <c r="N40" s="157">
        <v>666.87</v>
      </c>
      <c r="O40" s="157">
        <v>728.46</v>
      </c>
      <c r="P40" s="157">
        <v>729.09</v>
      </c>
      <c r="Q40" s="157">
        <v>678.82</v>
      </c>
      <c r="R40" s="157">
        <v>709.16</v>
      </c>
      <c r="S40" s="157">
        <v>711.8</v>
      </c>
      <c r="T40" s="157">
        <v>698.53</v>
      </c>
      <c r="U40" s="157">
        <v>669.93</v>
      </c>
      <c r="V40" s="157">
        <v>700.64</v>
      </c>
      <c r="W40" s="157">
        <v>505.05</v>
      </c>
      <c r="X40" s="157">
        <v>471.91</v>
      </c>
      <c r="Y40" s="157">
        <v>391.07</v>
      </c>
      <c r="Z40" s="157">
        <v>455.18</v>
      </c>
      <c r="AA40" s="157">
        <v>547.19000000000005</v>
      </c>
      <c r="AB40" s="157">
        <v>513.87</v>
      </c>
      <c r="AC40" s="157">
        <v>550.66999999999996</v>
      </c>
      <c r="AD40" s="157">
        <v>440.94</v>
      </c>
      <c r="AE40" s="157">
        <v>491.7</v>
      </c>
      <c r="AF40" s="157">
        <v>557.44000000000005</v>
      </c>
      <c r="AG40" s="157">
        <v>428.72</v>
      </c>
      <c r="AH40" s="158">
        <v>17396.82</v>
      </c>
    </row>
    <row r="41" spans="1:34" ht="15" x14ac:dyDescent="0.25">
      <c r="A41" s="155">
        <v>37</v>
      </c>
      <c r="B41" s="156">
        <v>466.92</v>
      </c>
      <c r="C41" s="157">
        <v>462.85</v>
      </c>
      <c r="D41" s="157">
        <v>440.47</v>
      </c>
      <c r="E41" s="157">
        <v>439.88</v>
      </c>
      <c r="F41" s="157">
        <v>453.25</v>
      </c>
      <c r="G41" s="157">
        <v>401.33</v>
      </c>
      <c r="H41" s="157">
        <v>481.12</v>
      </c>
      <c r="I41" s="157">
        <v>420.1</v>
      </c>
      <c r="J41" s="157">
        <v>413.55</v>
      </c>
      <c r="K41" s="157">
        <v>415.17</v>
      </c>
      <c r="L41" s="157">
        <v>770.48</v>
      </c>
      <c r="M41" s="157">
        <v>828.37</v>
      </c>
      <c r="N41" s="157">
        <v>731.65</v>
      </c>
      <c r="O41" s="157">
        <v>799.29</v>
      </c>
      <c r="P41" s="157">
        <v>795.6</v>
      </c>
      <c r="Q41" s="157">
        <v>739.13</v>
      </c>
      <c r="R41" s="157">
        <v>772.65</v>
      </c>
      <c r="S41" s="157">
        <v>771.71</v>
      </c>
      <c r="T41" s="157">
        <v>756.04</v>
      </c>
      <c r="U41" s="157">
        <v>731.23</v>
      </c>
      <c r="V41" s="157">
        <v>759.19</v>
      </c>
      <c r="W41" s="157">
        <v>517.24</v>
      </c>
      <c r="X41" s="157">
        <v>482.52</v>
      </c>
      <c r="Y41" s="157">
        <v>404.93</v>
      </c>
      <c r="Z41" s="157">
        <v>465.27</v>
      </c>
      <c r="AA41" s="157">
        <v>556.62</v>
      </c>
      <c r="AB41" s="157">
        <v>524.02</v>
      </c>
      <c r="AC41" s="157">
        <v>560.07000000000005</v>
      </c>
      <c r="AD41" s="157">
        <v>449.24</v>
      </c>
      <c r="AE41" s="157">
        <v>501.41</v>
      </c>
      <c r="AF41" s="157">
        <v>568.35</v>
      </c>
      <c r="AG41" s="157">
        <v>440.91</v>
      </c>
      <c r="AH41" s="158">
        <v>18320.559999999998</v>
      </c>
    </row>
    <row r="42" spans="1:34" ht="15" x14ac:dyDescent="0.25">
      <c r="A42" s="155">
        <v>38</v>
      </c>
      <c r="B42" s="156">
        <v>476.93</v>
      </c>
      <c r="C42" s="157">
        <v>472.41</v>
      </c>
      <c r="D42" s="157">
        <v>450.68</v>
      </c>
      <c r="E42" s="157">
        <v>449.64</v>
      </c>
      <c r="F42" s="157">
        <v>463.51</v>
      </c>
      <c r="G42" s="157">
        <v>412.94</v>
      </c>
      <c r="H42" s="157">
        <v>490.26</v>
      </c>
      <c r="I42" s="157">
        <v>431.04</v>
      </c>
      <c r="J42" s="157">
        <v>423.66</v>
      </c>
      <c r="K42" s="157">
        <v>426.9</v>
      </c>
      <c r="L42" s="157">
        <v>845.21</v>
      </c>
      <c r="M42" s="157">
        <v>909.86</v>
      </c>
      <c r="N42" s="157">
        <v>812.77</v>
      </c>
      <c r="O42" s="157">
        <v>877.81</v>
      </c>
      <c r="P42" s="157">
        <v>872.85</v>
      </c>
      <c r="Q42" s="157">
        <v>808.86</v>
      </c>
      <c r="R42" s="157">
        <v>846.98</v>
      </c>
      <c r="S42" s="157">
        <v>841.73</v>
      </c>
      <c r="T42" s="157">
        <v>822.99</v>
      </c>
      <c r="U42" s="157">
        <v>802.44</v>
      </c>
      <c r="V42" s="157">
        <v>827.48</v>
      </c>
      <c r="W42" s="157">
        <v>529.29</v>
      </c>
      <c r="X42" s="157">
        <v>493.1</v>
      </c>
      <c r="Y42" s="157">
        <v>419.14</v>
      </c>
      <c r="Z42" s="157">
        <v>475.22</v>
      </c>
      <c r="AA42" s="157">
        <v>565.89</v>
      </c>
      <c r="AB42" s="157">
        <v>534.04</v>
      </c>
      <c r="AC42" s="157">
        <v>569.29</v>
      </c>
      <c r="AD42" s="157">
        <v>457.4</v>
      </c>
      <c r="AE42" s="157">
        <v>510.96</v>
      </c>
      <c r="AF42" s="157">
        <v>579.05999999999995</v>
      </c>
      <c r="AG42" s="157">
        <v>452.96</v>
      </c>
      <c r="AH42" s="158">
        <v>19353.3</v>
      </c>
    </row>
    <row r="43" spans="1:34" ht="15" x14ac:dyDescent="0.25">
      <c r="A43" s="155">
        <v>39</v>
      </c>
      <c r="B43" s="156">
        <v>486.66</v>
      </c>
      <c r="C43" s="157">
        <v>481.68</v>
      </c>
      <c r="D43" s="157">
        <v>460.51</v>
      </c>
      <c r="E43" s="157">
        <v>459.13</v>
      </c>
      <c r="F43" s="157">
        <v>473.53</v>
      </c>
      <c r="G43" s="157">
        <v>424.29</v>
      </c>
      <c r="H43" s="157">
        <v>499.11</v>
      </c>
      <c r="I43" s="157">
        <v>441.67</v>
      </c>
      <c r="J43" s="157">
        <v>433.44</v>
      </c>
      <c r="K43" s="157">
        <v>438.39</v>
      </c>
      <c r="L43" s="157">
        <v>931.23</v>
      </c>
      <c r="M43" s="157">
        <v>1003.14</v>
      </c>
      <c r="N43" s="157">
        <v>915.3</v>
      </c>
      <c r="O43" s="157">
        <v>966.6</v>
      </c>
      <c r="P43" s="157">
        <v>962.92</v>
      </c>
      <c r="Q43" s="157">
        <v>889.77</v>
      </c>
      <c r="R43" s="157">
        <v>934.17</v>
      </c>
      <c r="S43" s="157">
        <v>924.15</v>
      </c>
      <c r="T43" s="157">
        <v>901.72</v>
      </c>
      <c r="U43" s="157">
        <v>885.75</v>
      </c>
      <c r="V43" s="157">
        <v>908.33</v>
      </c>
      <c r="W43" s="157">
        <v>541.13</v>
      </c>
      <c r="X43" s="157">
        <v>503.63</v>
      </c>
      <c r="Y43" s="157">
        <v>433.7</v>
      </c>
      <c r="Z43" s="157">
        <v>485.01</v>
      </c>
      <c r="AA43" s="157">
        <v>574.99</v>
      </c>
      <c r="AB43" s="157">
        <v>543.91</v>
      </c>
      <c r="AC43" s="157">
        <v>578.30999999999995</v>
      </c>
      <c r="AD43" s="157">
        <v>465.39</v>
      </c>
      <c r="AE43" s="157">
        <v>520.30999999999995</v>
      </c>
      <c r="AF43" s="157">
        <v>589.52</v>
      </c>
      <c r="AG43" s="157">
        <v>464.81</v>
      </c>
      <c r="AH43" s="158">
        <v>20522.200000000004</v>
      </c>
    </row>
    <row r="44" spans="1:34" ht="15" x14ac:dyDescent="0.25">
      <c r="A44" s="155">
        <v>40</v>
      </c>
      <c r="B44" s="156">
        <v>496.05</v>
      </c>
      <c r="C44" s="157">
        <v>490.61</v>
      </c>
      <c r="D44" s="157">
        <v>469.91</v>
      </c>
      <c r="E44" s="157">
        <v>468.3</v>
      </c>
      <c r="F44" s="157">
        <v>483.25</v>
      </c>
      <c r="G44" s="157">
        <v>435.31</v>
      </c>
      <c r="H44" s="157">
        <v>507.61</v>
      </c>
      <c r="I44" s="157">
        <v>451.94</v>
      </c>
      <c r="J44" s="157">
        <v>442.85</v>
      </c>
      <c r="K44" s="157">
        <v>449.6</v>
      </c>
      <c r="L44" s="157">
        <v>1030</v>
      </c>
      <c r="M44" s="157">
        <v>1110.46</v>
      </c>
      <c r="N44" s="157">
        <v>1042.48</v>
      </c>
      <c r="O44" s="157">
        <v>1068.01</v>
      </c>
      <c r="P44" s="157">
        <v>1067.58</v>
      </c>
      <c r="Q44" s="157">
        <v>983.39</v>
      </c>
      <c r="R44" s="157">
        <v>1035.95</v>
      </c>
      <c r="S44" s="157">
        <v>1021.33</v>
      </c>
      <c r="T44" s="157">
        <v>994.67</v>
      </c>
      <c r="U44" s="157">
        <v>983.48</v>
      </c>
      <c r="V44" s="157">
        <v>1004.76</v>
      </c>
      <c r="W44" s="157">
        <v>552.69000000000005</v>
      </c>
      <c r="X44" s="157">
        <v>514.08000000000004</v>
      </c>
      <c r="Y44" s="157">
        <v>448.58</v>
      </c>
      <c r="Z44" s="157">
        <v>494.61</v>
      </c>
      <c r="AA44" s="157">
        <v>583.9</v>
      </c>
      <c r="AB44" s="157">
        <v>553.63</v>
      </c>
      <c r="AC44" s="157">
        <v>587.12</v>
      </c>
      <c r="AD44" s="157">
        <v>473.19</v>
      </c>
      <c r="AE44" s="157">
        <v>529.45000000000005</v>
      </c>
      <c r="AF44" s="157">
        <v>599.71</v>
      </c>
      <c r="AG44" s="157">
        <v>476.41</v>
      </c>
      <c r="AH44" s="158">
        <v>21850.910000000003</v>
      </c>
    </row>
    <row r="45" spans="1:34" ht="15" x14ac:dyDescent="0.25">
      <c r="A45" s="155">
        <v>41</v>
      </c>
      <c r="B45" s="156">
        <v>505.06</v>
      </c>
      <c r="C45" s="157">
        <v>499.15</v>
      </c>
      <c r="D45" s="157">
        <v>478.85</v>
      </c>
      <c r="E45" s="157">
        <v>477.09</v>
      </c>
      <c r="F45" s="157">
        <v>492.63</v>
      </c>
      <c r="G45" s="157">
        <v>445.95</v>
      </c>
      <c r="H45" s="157">
        <v>515.74</v>
      </c>
      <c r="I45" s="157">
        <v>461.85</v>
      </c>
      <c r="J45" s="157">
        <v>451.88</v>
      </c>
      <c r="K45" s="157">
        <v>460.48</v>
      </c>
      <c r="L45" s="157">
        <v>1142.04</v>
      </c>
      <c r="M45" s="157">
        <v>1232.08</v>
      </c>
      <c r="N45" s="157">
        <v>1192.52</v>
      </c>
      <c r="O45" s="157">
        <v>1183.49</v>
      </c>
      <c r="P45" s="157">
        <v>1187.72</v>
      </c>
      <c r="Q45" s="157">
        <v>1090.51</v>
      </c>
      <c r="R45" s="157">
        <v>1153.31</v>
      </c>
      <c r="S45" s="157">
        <v>1135.27</v>
      </c>
      <c r="T45" s="157">
        <v>1103.9000000000001</v>
      </c>
      <c r="U45" s="157">
        <v>1097.78</v>
      </c>
      <c r="V45" s="157">
        <v>1119.68</v>
      </c>
      <c r="W45" s="157">
        <v>563.91999999999996</v>
      </c>
      <c r="X45" s="157">
        <v>524.44000000000005</v>
      </c>
      <c r="Y45" s="157">
        <v>463.76</v>
      </c>
      <c r="Z45" s="157">
        <v>504.01</v>
      </c>
      <c r="AA45" s="157">
        <v>592.64</v>
      </c>
      <c r="AB45" s="157">
        <v>563.16999999999996</v>
      </c>
      <c r="AC45" s="157">
        <v>595.71</v>
      </c>
      <c r="AD45" s="157">
        <v>480.8</v>
      </c>
      <c r="AE45" s="157">
        <v>538.37</v>
      </c>
      <c r="AF45" s="157">
        <v>609.63</v>
      </c>
      <c r="AG45" s="157">
        <v>487.74</v>
      </c>
      <c r="AH45" s="158">
        <v>23351.169999999987</v>
      </c>
    </row>
    <row r="46" spans="1:34" ht="15" x14ac:dyDescent="0.25">
      <c r="A46" s="155">
        <v>42</v>
      </c>
      <c r="B46" s="156">
        <v>513.66</v>
      </c>
      <c r="C46" s="157">
        <v>507.29</v>
      </c>
      <c r="D46" s="157">
        <v>487.31</v>
      </c>
      <c r="E46" s="157">
        <v>485.5</v>
      </c>
      <c r="F46" s="157">
        <v>501.67</v>
      </c>
      <c r="G46" s="157">
        <v>456.2</v>
      </c>
      <c r="H46" s="157">
        <v>523.48</v>
      </c>
      <c r="I46" s="157">
        <v>471.38</v>
      </c>
      <c r="J46" s="157">
        <v>460.54</v>
      </c>
      <c r="K46" s="157">
        <v>471</v>
      </c>
      <c r="L46" s="157">
        <v>1266.48</v>
      </c>
      <c r="M46" s="157">
        <v>1365.84</v>
      </c>
      <c r="N46" s="157">
        <v>1357.07</v>
      </c>
      <c r="O46" s="157">
        <v>1313.16</v>
      </c>
      <c r="P46" s="157">
        <v>1322.52</v>
      </c>
      <c r="Q46" s="157">
        <v>1210.74</v>
      </c>
      <c r="R46" s="157">
        <v>1285.95</v>
      </c>
      <c r="S46" s="157">
        <v>1267.0999999999999</v>
      </c>
      <c r="T46" s="157">
        <v>1230.46</v>
      </c>
      <c r="U46" s="157">
        <v>1229.95</v>
      </c>
      <c r="V46" s="157">
        <v>1255.18</v>
      </c>
      <c r="W46" s="157">
        <v>574.79</v>
      </c>
      <c r="X46" s="157">
        <v>534.72</v>
      </c>
      <c r="Y46" s="157">
        <v>479.25</v>
      </c>
      <c r="Z46" s="157">
        <v>513.21</v>
      </c>
      <c r="AA46" s="157">
        <v>601.25</v>
      </c>
      <c r="AB46" s="157">
        <v>572.54999999999995</v>
      </c>
      <c r="AC46" s="157">
        <v>604.11</v>
      </c>
      <c r="AD46" s="157">
        <v>488.22</v>
      </c>
      <c r="AE46" s="157">
        <v>547.1</v>
      </c>
      <c r="AF46" s="157">
        <v>619.29</v>
      </c>
      <c r="AG46" s="157">
        <v>498.77</v>
      </c>
      <c r="AH46" s="158">
        <v>25015.740000000005</v>
      </c>
    </row>
    <row r="47" spans="1:34" ht="15" x14ac:dyDescent="0.25">
      <c r="A47" s="155">
        <v>43</v>
      </c>
      <c r="B47" s="156">
        <v>521.85</v>
      </c>
      <c r="C47" s="157">
        <v>515.04</v>
      </c>
      <c r="D47" s="157">
        <v>495.31</v>
      </c>
      <c r="E47" s="157">
        <v>493.53</v>
      </c>
      <c r="F47" s="157">
        <v>510.37</v>
      </c>
      <c r="G47" s="157">
        <v>466.05</v>
      </c>
      <c r="H47" s="157">
        <v>530.84</v>
      </c>
      <c r="I47" s="157">
        <v>480.58</v>
      </c>
      <c r="J47" s="157">
        <v>468.87</v>
      </c>
      <c r="K47" s="157">
        <v>481.19</v>
      </c>
      <c r="L47" s="157">
        <v>1400.52</v>
      </c>
      <c r="M47" s="157">
        <v>1507.56</v>
      </c>
      <c r="N47" s="157">
        <v>1524.42</v>
      </c>
      <c r="O47" s="157">
        <v>1455.39</v>
      </c>
      <c r="P47" s="157">
        <v>1468.56</v>
      </c>
      <c r="Q47" s="157">
        <v>1342.11</v>
      </c>
      <c r="R47" s="157">
        <v>1431.95</v>
      </c>
      <c r="S47" s="157">
        <v>1416.11</v>
      </c>
      <c r="T47" s="157">
        <v>1373.75</v>
      </c>
      <c r="U47" s="157">
        <v>1379.45</v>
      </c>
      <c r="V47" s="157">
        <v>1411.48</v>
      </c>
      <c r="W47" s="157">
        <v>585.28</v>
      </c>
      <c r="X47" s="157">
        <v>544.92999999999995</v>
      </c>
      <c r="Y47" s="157">
        <v>495.03</v>
      </c>
      <c r="Z47" s="157">
        <v>522.24</v>
      </c>
      <c r="AA47" s="157">
        <v>609.78</v>
      </c>
      <c r="AB47" s="157">
        <v>581.79999999999995</v>
      </c>
      <c r="AC47" s="157">
        <v>612.35</v>
      </c>
      <c r="AD47" s="157">
        <v>495.48</v>
      </c>
      <c r="AE47" s="157">
        <v>555.66999999999996</v>
      </c>
      <c r="AF47" s="157">
        <v>628.73</v>
      </c>
      <c r="AG47" s="157">
        <v>509.56</v>
      </c>
      <c r="AH47" s="158">
        <v>26815.779999999995</v>
      </c>
    </row>
    <row r="48" spans="1:34" ht="15" x14ac:dyDescent="0.25">
      <c r="A48" s="155">
        <v>44</v>
      </c>
      <c r="B48" s="156">
        <v>529.64</v>
      </c>
      <c r="C48" s="157">
        <v>522.42999999999995</v>
      </c>
      <c r="D48" s="157">
        <v>502.92</v>
      </c>
      <c r="E48" s="157">
        <v>501.19</v>
      </c>
      <c r="F48" s="157">
        <v>518.77</v>
      </c>
      <c r="G48" s="157">
        <v>475.54</v>
      </c>
      <c r="H48" s="157">
        <v>537.86</v>
      </c>
      <c r="I48" s="157">
        <v>489.52</v>
      </c>
      <c r="J48" s="157">
        <v>476.95</v>
      </c>
      <c r="K48" s="157">
        <v>491.07</v>
      </c>
      <c r="L48" s="157">
        <v>1537.08</v>
      </c>
      <c r="M48" s="157">
        <v>1650.51</v>
      </c>
      <c r="N48" s="157">
        <v>1684.44</v>
      </c>
      <c r="O48" s="157">
        <v>1604.95</v>
      </c>
      <c r="P48" s="157">
        <v>1618.59</v>
      </c>
      <c r="Q48" s="157">
        <v>1479.84</v>
      </c>
      <c r="R48" s="157">
        <v>1586.1</v>
      </c>
      <c r="S48" s="157">
        <v>1577.94</v>
      </c>
      <c r="T48" s="157">
        <v>1530.43</v>
      </c>
      <c r="U48" s="157">
        <v>1542</v>
      </c>
      <c r="V48" s="157">
        <v>1585.49</v>
      </c>
      <c r="W48" s="157">
        <v>595.39</v>
      </c>
      <c r="X48" s="157">
        <v>555.11</v>
      </c>
      <c r="Y48" s="157">
        <v>511.11</v>
      </c>
      <c r="Z48" s="157">
        <v>531.14</v>
      </c>
      <c r="AA48" s="157">
        <v>618.29</v>
      </c>
      <c r="AB48" s="157">
        <v>590.97</v>
      </c>
      <c r="AC48" s="157">
        <v>620.5</v>
      </c>
      <c r="AD48" s="157">
        <v>502.61</v>
      </c>
      <c r="AE48" s="157">
        <v>564.15</v>
      </c>
      <c r="AF48" s="157">
        <v>638.01</v>
      </c>
      <c r="AG48" s="157">
        <v>520.16999999999996</v>
      </c>
      <c r="AH48" s="158">
        <v>28690.710000000003</v>
      </c>
    </row>
    <row r="49" spans="1:34" ht="15" x14ac:dyDescent="0.25">
      <c r="A49" s="155">
        <v>45</v>
      </c>
      <c r="B49" s="156">
        <v>537.1</v>
      </c>
      <c r="C49" s="157">
        <v>529.55999999999995</v>
      </c>
      <c r="D49" s="157">
        <v>510.23</v>
      </c>
      <c r="E49" s="157">
        <v>508.57</v>
      </c>
      <c r="F49" s="157">
        <v>526.95000000000005</v>
      </c>
      <c r="G49" s="157">
        <v>484.74</v>
      </c>
      <c r="H49" s="157">
        <v>544.61</v>
      </c>
      <c r="I49" s="157">
        <v>498.32</v>
      </c>
      <c r="J49" s="157">
        <v>484.89</v>
      </c>
      <c r="K49" s="157">
        <v>500.73</v>
      </c>
      <c r="L49" s="157">
        <v>1660.06</v>
      </c>
      <c r="M49" s="157">
        <v>1781.09</v>
      </c>
      <c r="N49" s="157">
        <v>1824.74</v>
      </c>
      <c r="O49" s="157">
        <v>1746.1</v>
      </c>
      <c r="P49" s="157">
        <v>1758.02</v>
      </c>
      <c r="Q49" s="157">
        <v>1611.21</v>
      </c>
      <c r="R49" s="157">
        <v>1733.43</v>
      </c>
      <c r="S49" s="157">
        <v>1739.22</v>
      </c>
      <c r="T49" s="157">
        <v>1691.1</v>
      </c>
      <c r="U49" s="157">
        <v>1704.63</v>
      </c>
      <c r="V49" s="157">
        <v>1766.83</v>
      </c>
      <c r="W49" s="157">
        <v>605.16999999999996</v>
      </c>
      <c r="X49" s="157">
        <v>565.32000000000005</v>
      </c>
      <c r="Y49" s="157">
        <v>527.51</v>
      </c>
      <c r="Z49" s="157">
        <v>539.97</v>
      </c>
      <c r="AA49" s="157">
        <v>626.89</v>
      </c>
      <c r="AB49" s="157">
        <v>600.14</v>
      </c>
      <c r="AC49" s="157">
        <v>628.63</v>
      </c>
      <c r="AD49" s="157">
        <v>509.68</v>
      </c>
      <c r="AE49" s="157">
        <v>572.6</v>
      </c>
      <c r="AF49" s="157">
        <v>647.23</v>
      </c>
      <c r="AG49" s="157">
        <v>530.72</v>
      </c>
      <c r="AH49" s="158">
        <v>30495.99</v>
      </c>
    </row>
    <row r="50" spans="1:34" ht="15" x14ac:dyDescent="0.25">
      <c r="A50" s="155">
        <v>46</v>
      </c>
      <c r="B50" s="156">
        <v>544.30999999999995</v>
      </c>
      <c r="C50" s="157">
        <v>536.51</v>
      </c>
      <c r="D50" s="157">
        <v>517.39</v>
      </c>
      <c r="E50" s="157">
        <v>515.76</v>
      </c>
      <c r="F50" s="157">
        <v>535.04999999999995</v>
      </c>
      <c r="G50" s="157">
        <v>493.77</v>
      </c>
      <c r="H50" s="157">
        <v>551.19000000000005</v>
      </c>
      <c r="I50" s="157">
        <v>507.12</v>
      </c>
      <c r="J50" s="157">
        <v>492.83</v>
      </c>
      <c r="K50" s="157">
        <v>510.29</v>
      </c>
      <c r="L50" s="157">
        <v>1754.27</v>
      </c>
      <c r="M50" s="157">
        <v>1884</v>
      </c>
      <c r="N50" s="157">
        <v>1933.19</v>
      </c>
      <c r="O50" s="157">
        <v>1858.06</v>
      </c>
      <c r="P50" s="157">
        <v>1870.51</v>
      </c>
      <c r="Q50" s="157">
        <v>1719.59</v>
      </c>
      <c r="R50" s="157">
        <v>1853.6</v>
      </c>
      <c r="S50" s="157">
        <v>1877.53</v>
      </c>
      <c r="T50" s="157">
        <v>1835.37</v>
      </c>
      <c r="U50" s="157">
        <v>1844.86</v>
      </c>
      <c r="V50" s="157">
        <v>1931.75</v>
      </c>
      <c r="W50" s="157">
        <v>614.66999999999996</v>
      </c>
      <c r="X50" s="157">
        <v>575.63</v>
      </c>
      <c r="Y50" s="157">
        <v>544.26</v>
      </c>
      <c r="Z50" s="157">
        <v>548.84</v>
      </c>
      <c r="AA50" s="157">
        <v>635.70000000000005</v>
      </c>
      <c r="AB50" s="157">
        <v>609.38</v>
      </c>
      <c r="AC50" s="157">
        <v>636.86</v>
      </c>
      <c r="AD50" s="157">
        <v>516.78</v>
      </c>
      <c r="AE50" s="157">
        <v>581.16</v>
      </c>
      <c r="AF50" s="157">
        <v>656.5</v>
      </c>
      <c r="AG50" s="157">
        <v>541.38</v>
      </c>
      <c r="AH50" s="158">
        <v>32028.109999999997</v>
      </c>
    </row>
    <row r="51" spans="1:34" ht="15" x14ac:dyDescent="0.25">
      <c r="A51" s="155">
        <v>47</v>
      </c>
      <c r="B51" s="156">
        <v>551.41999999999996</v>
      </c>
      <c r="C51" s="157">
        <v>543.46</v>
      </c>
      <c r="D51" s="157">
        <v>524.57000000000005</v>
      </c>
      <c r="E51" s="157">
        <v>522.92999999999995</v>
      </c>
      <c r="F51" s="157">
        <v>543.21</v>
      </c>
      <c r="G51" s="157">
        <v>502.77</v>
      </c>
      <c r="H51" s="157">
        <v>557.74</v>
      </c>
      <c r="I51" s="157">
        <v>516.12</v>
      </c>
      <c r="J51" s="157">
        <v>500.95</v>
      </c>
      <c r="K51" s="157">
        <v>519.9</v>
      </c>
      <c r="L51" s="157">
        <v>1809.95</v>
      </c>
      <c r="M51" s="157">
        <v>1946.4</v>
      </c>
      <c r="N51" s="157">
        <v>1999.66</v>
      </c>
      <c r="O51" s="157">
        <v>1929.59</v>
      </c>
      <c r="P51" s="157">
        <v>1946.2</v>
      </c>
      <c r="Q51" s="157">
        <v>1794.62</v>
      </c>
      <c r="R51" s="157">
        <v>1934.18</v>
      </c>
      <c r="S51" s="157">
        <v>1978.8</v>
      </c>
      <c r="T51" s="157">
        <v>1944.59</v>
      </c>
      <c r="U51" s="157">
        <v>1947.06</v>
      </c>
      <c r="V51" s="157">
        <v>2058.39</v>
      </c>
      <c r="W51" s="157">
        <v>624</v>
      </c>
      <c r="X51" s="157">
        <v>586.16</v>
      </c>
      <c r="Y51" s="157">
        <v>561.41</v>
      </c>
      <c r="Z51" s="157">
        <v>557.85</v>
      </c>
      <c r="AA51" s="157">
        <v>644.87</v>
      </c>
      <c r="AB51" s="157">
        <v>618.83000000000004</v>
      </c>
      <c r="AC51" s="157">
        <v>645.33000000000004</v>
      </c>
      <c r="AD51" s="157">
        <v>524.02</v>
      </c>
      <c r="AE51" s="157">
        <v>589.95000000000005</v>
      </c>
      <c r="AF51" s="157">
        <v>665.98</v>
      </c>
      <c r="AG51" s="157">
        <v>552.38</v>
      </c>
      <c r="AH51" s="158">
        <v>33143.29</v>
      </c>
    </row>
    <row r="52" spans="1:34" ht="15" x14ac:dyDescent="0.25">
      <c r="A52" s="155">
        <v>48</v>
      </c>
      <c r="B52" s="156">
        <v>558.59</v>
      </c>
      <c r="C52" s="157">
        <v>550.59</v>
      </c>
      <c r="D52" s="157">
        <v>532</v>
      </c>
      <c r="E52" s="157">
        <v>530.24</v>
      </c>
      <c r="F52" s="157">
        <v>551.65</v>
      </c>
      <c r="G52" s="157">
        <v>511.94</v>
      </c>
      <c r="H52" s="157">
        <v>564.44000000000005</v>
      </c>
      <c r="I52" s="157">
        <v>525.53</v>
      </c>
      <c r="J52" s="157">
        <v>509.46</v>
      </c>
      <c r="K52" s="157">
        <v>529.76</v>
      </c>
      <c r="L52" s="157">
        <v>1817.48</v>
      </c>
      <c r="M52" s="157">
        <v>1956.17</v>
      </c>
      <c r="N52" s="157">
        <v>2013.42</v>
      </c>
      <c r="O52" s="157">
        <v>1951.83</v>
      </c>
      <c r="P52" s="157">
        <v>1974.14</v>
      </c>
      <c r="Q52" s="157">
        <v>1825.86</v>
      </c>
      <c r="R52" s="157">
        <v>1964.27</v>
      </c>
      <c r="S52" s="157">
        <v>2032.94</v>
      </c>
      <c r="T52" s="157">
        <v>2006.69</v>
      </c>
      <c r="U52" s="157">
        <v>1999.63</v>
      </c>
      <c r="V52" s="157">
        <v>2133.84</v>
      </c>
      <c r="W52" s="157">
        <v>633.33000000000004</v>
      </c>
      <c r="X52" s="157">
        <v>597.03</v>
      </c>
      <c r="Y52" s="157">
        <v>579.04</v>
      </c>
      <c r="Z52" s="157">
        <v>567.17999999999995</v>
      </c>
      <c r="AA52" s="157">
        <v>654.59</v>
      </c>
      <c r="AB52" s="157">
        <v>628.64</v>
      </c>
      <c r="AC52" s="157">
        <v>654.19000000000005</v>
      </c>
      <c r="AD52" s="157">
        <v>531.55999999999995</v>
      </c>
      <c r="AE52" s="157">
        <v>599.16</v>
      </c>
      <c r="AF52" s="157">
        <v>675.86</v>
      </c>
      <c r="AG52" s="157">
        <v>564.02</v>
      </c>
      <c r="AH52" s="158">
        <v>33725.069999999992</v>
      </c>
    </row>
    <row r="53" spans="1:34" ht="15" x14ac:dyDescent="0.25">
      <c r="A53" s="155">
        <v>49</v>
      </c>
      <c r="B53" s="156">
        <v>566.03</v>
      </c>
      <c r="C53" s="157">
        <v>558.14</v>
      </c>
      <c r="D53" s="157">
        <v>539.96</v>
      </c>
      <c r="E53" s="157">
        <v>537.95000000000005</v>
      </c>
      <c r="F53" s="157">
        <v>560.62</v>
      </c>
      <c r="G53" s="157">
        <v>521.5</v>
      </c>
      <c r="H53" s="157">
        <v>571.48</v>
      </c>
      <c r="I53" s="157">
        <v>535.59</v>
      </c>
      <c r="J53" s="157">
        <v>518.58000000000004</v>
      </c>
      <c r="K53" s="157">
        <v>540.11</v>
      </c>
      <c r="L53" s="157">
        <v>1770.21</v>
      </c>
      <c r="M53" s="157">
        <v>1905.79</v>
      </c>
      <c r="N53" s="157">
        <v>1966.81</v>
      </c>
      <c r="O53" s="157">
        <v>1917.7</v>
      </c>
      <c r="P53" s="157">
        <v>1944.55</v>
      </c>
      <c r="Q53" s="157">
        <v>1803.4</v>
      </c>
      <c r="R53" s="157">
        <v>1935.11</v>
      </c>
      <c r="S53" s="157">
        <v>2029.91</v>
      </c>
      <c r="T53" s="157">
        <v>2010.55</v>
      </c>
      <c r="U53" s="157">
        <v>1992.29</v>
      </c>
      <c r="V53" s="157">
        <v>2146.7199999999998</v>
      </c>
      <c r="W53" s="157">
        <v>642.85</v>
      </c>
      <c r="X53" s="157">
        <v>608.42999999999995</v>
      </c>
      <c r="Y53" s="157">
        <v>597.26</v>
      </c>
      <c r="Z53" s="157">
        <v>577</v>
      </c>
      <c r="AA53" s="157">
        <v>665.08</v>
      </c>
      <c r="AB53" s="157">
        <v>638.98</v>
      </c>
      <c r="AC53" s="157">
        <v>663.65</v>
      </c>
      <c r="AD53" s="157">
        <v>539.57000000000005</v>
      </c>
      <c r="AE53" s="157">
        <v>609</v>
      </c>
      <c r="AF53" s="157">
        <v>686.36</v>
      </c>
      <c r="AG53" s="157">
        <v>576.61</v>
      </c>
      <c r="AH53" s="158">
        <v>33677.79</v>
      </c>
    </row>
    <row r="54" spans="1:34" ht="15" x14ac:dyDescent="0.25">
      <c r="A54" s="155">
        <v>50</v>
      </c>
      <c r="B54" s="156">
        <v>573.99</v>
      </c>
      <c r="C54" s="157">
        <v>566.38</v>
      </c>
      <c r="D54" s="157">
        <v>548.74</v>
      </c>
      <c r="E54" s="157">
        <v>546.30999999999995</v>
      </c>
      <c r="F54" s="157">
        <v>570.39</v>
      </c>
      <c r="G54" s="157">
        <v>531.67999999999995</v>
      </c>
      <c r="H54" s="157">
        <v>579.1</v>
      </c>
      <c r="I54" s="157">
        <v>546.55999999999995</v>
      </c>
      <c r="J54" s="157">
        <v>528.54999999999995</v>
      </c>
      <c r="K54" s="157">
        <v>551.19000000000005</v>
      </c>
      <c r="L54" s="157">
        <v>1668.15</v>
      </c>
      <c r="M54" s="157">
        <v>1795.85</v>
      </c>
      <c r="N54" s="157">
        <v>1858.85</v>
      </c>
      <c r="O54" s="157">
        <v>1825.74</v>
      </c>
      <c r="P54" s="157">
        <v>1854.59</v>
      </c>
      <c r="Q54" s="157">
        <v>1723.15</v>
      </c>
      <c r="R54" s="157">
        <v>1844.79</v>
      </c>
      <c r="S54" s="157">
        <v>1964.66</v>
      </c>
      <c r="T54" s="157">
        <v>1950.86</v>
      </c>
      <c r="U54" s="157">
        <v>1921.09</v>
      </c>
      <c r="V54" s="157">
        <v>2091.1999999999998</v>
      </c>
      <c r="W54" s="157">
        <v>652.83000000000004</v>
      </c>
      <c r="X54" s="157">
        <v>620.55999999999995</v>
      </c>
      <c r="Y54" s="157">
        <v>616.21</v>
      </c>
      <c r="Z54" s="157">
        <v>587.54</v>
      </c>
      <c r="AA54" s="157">
        <v>676.59</v>
      </c>
      <c r="AB54" s="157">
        <v>650.07000000000005</v>
      </c>
      <c r="AC54" s="157">
        <v>673.95</v>
      </c>
      <c r="AD54" s="157">
        <v>548.28</v>
      </c>
      <c r="AE54" s="157">
        <v>619.70000000000005</v>
      </c>
      <c r="AF54" s="157">
        <v>697.73</v>
      </c>
      <c r="AG54" s="157">
        <v>590.54999999999995</v>
      </c>
      <c r="AH54" s="158">
        <v>32975.83</v>
      </c>
    </row>
    <row r="55" spans="1:34" ht="15" x14ac:dyDescent="0.25">
      <c r="A55" s="155">
        <v>51</v>
      </c>
      <c r="B55" s="156">
        <v>582.75</v>
      </c>
      <c r="C55" s="157">
        <v>575.6</v>
      </c>
      <c r="D55" s="157">
        <v>558.65</v>
      </c>
      <c r="E55" s="157">
        <v>555.61</v>
      </c>
      <c r="F55" s="157">
        <v>581.26</v>
      </c>
      <c r="G55" s="157">
        <v>542.75</v>
      </c>
      <c r="H55" s="157">
        <v>587.57000000000005</v>
      </c>
      <c r="I55" s="157">
        <v>558.70000000000005</v>
      </c>
      <c r="J55" s="157">
        <v>539.6</v>
      </c>
      <c r="K55" s="157">
        <v>563.28</v>
      </c>
      <c r="L55" s="157">
        <v>1518.64</v>
      </c>
      <c r="M55" s="157">
        <v>1635.06</v>
      </c>
      <c r="N55" s="157">
        <v>1695.99</v>
      </c>
      <c r="O55" s="157">
        <v>1681.99</v>
      </c>
      <c r="P55" s="157">
        <v>1710.41</v>
      </c>
      <c r="Q55" s="157">
        <v>1590.06</v>
      </c>
      <c r="R55" s="157">
        <v>1700.13</v>
      </c>
      <c r="S55" s="157">
        <v>1840.52</v>
      </c>
      <c r="T55" s="157">
        <v>1831.68</v>
      </c>
      <c r="U55" s="157">
        <v>1791.42</v>
      </c>
      <c r="V55" s="157">
        <v>1971.16</v>
      </c>
      <c r="W55" s="157">
        <v>663.59</v>
      </c>
      <c r="X55" s="157">
        <v>633.65</v>
      </c>
      <c r="Y55" s="157">
        <v>636.1</v>
      </c>
      <c r="Z55" s="157">
        <v>599.09</v>
      </c>
      <c r="AA55" s="157">
        <v>689.44</v>
      </c>
      <c r="AB55" s="157">
        <v>662.14</v>
      </c>
      <c r="AC55" s="157">
        <v>685.35</v>
      </c>
      <c r="AD55" s="157">
        <v>557.92999999999995</v>
      </c>
      <c r="AE55" s="157">
        <v>631.54999999999995</v>
      </c>
      <c r="AF55" s="157">
        <v>710.27</v>
      </c>
      <c r="AG55" s="157">
        <v>606.24</v>
      </c>
      <c r="AH55" s="158">
        <v>31688.179999999997</v>
      </c>
    </row>
    <row r="56" spans="1:34" ht="15" x14ac:dyDescent="0.25">
      <c r="A56" s="155">
        <v>52</v>
      </c>
      <c r="B56" s="156">
        <v>592.63</v>
      </c>
      <c r="C56" s="157">
        <v>586.1</v>
      </c>
      <c r="D56" s="157">
        <v>570.04999999999995</v>
      </c>
      <c r="E56" s="157">
        <v>566.16999999999996</v>
      </c>
      <c r="F56" s="157">
        <v>593.54</v>
      </c>
      <c r="G56" s="157">
        <v>554.97</v>
      </c>
      <c r="H56" s="157">
        <v>597.16999999999996</v>
      </c>
      <c r="I56" s="157">
        <v>572.25</v>
      </c>
      <c r="J56" s="157">
        <v>551.97</v>
      </c>
      <c r="K56" s="157">
        <v>576.65</v>
      </c>
      <c r="L56" s="157">
        <v>1340.06</v>
      </c>
      <c r="M56" s="157">
        <v>1443.6</v>
      </c>
      <c r="N56" s="157">
        <v>1497.83</v>
      </c>
      <c r="O56" s="157">
        <v>1500.62</v>
      </c>
      <c r="P56" s="157">
        <v>1526.68</v>
      </c>
      <c r="Q56" s="157">
        <v>1418.9</v>
      </c>
      <c r="R56" s="157">
        <v>1516.21</v>
      </c>
      <c r="S56" s="157">
        <v>1667.42</v>
      </c>
      <c r="T56" s="157">
        <v>1664.54</v>
      </c>
      <c r="U56" s="157">
        <v>1615.81</v>
      </c>
      <c r="V56" s="157">
        <v>1798.76</v>
      </c>
      <c r="W56" s="157">
        <v>675.49</v>
      </c>
      <c r="X56" s="157">
        <v>647.98</v>
      </c>
      <c r="Y56" s="157">
        <v>657.2</v>
      </c>
      <c r="Z56" s="157">
        <v>611.97</v>
      </c>
      <c r="AA56" s="157">
        <v>703.97</v>
      </c>
      <c r="AB56" s="157">
        <v>675.47</v>
      </c>
      <c r="AC56" s="157">
        <v>698.16</v>
      </c>
      <c r="AD56" s="157">
        <v>568.83000000000004</v>
      </c>
      <c r="AE56" s="157">
        <v>644.86</v>
      </c>
      <c r="AF56" s="157">
        <v>724.3</v>
      </c>
      <c r="AG56" s="157">
        <v>624.11</v>
      </c>
      <c r="AH56" s="158">
        <v>29984.270000000008</v>
      </c>
    </row>
    <row r="57" spans="1:34" ht="15" x14ac:dyDescent="0.25">
      <c r="A57" s="155">
        <v>53</v>
      </c>
      <c r="B57" s="156">
        <v>603.92999999999995</v>
      </c>
      <c r="C57" s="157">
        <v>598.21</v>
      </c>
      <c r="D57" s="157">
        <v>583.25</v>
      </c>
      <c r="E57" s="157">
        <v>578.29999999999995</v>
      </c>
      <c r="F57" s="157">
        <v>607.55999999999995</v>
      </c>
      <c r="G57" s="157">
        <v>568.63</v>
      </c>
      <c r="H57" s="157">
        <v>608.19000000000005</v>
      </c>
      <c r="I57" s="157">
        <v>587.42999999999995</v>
      </c>
      <c r="J57" s="157">
        <v>565.88</v>
      </c>
      <c r="K57" s="157">
        <v>591.59</v>
      </c>
      <c r="L57" s="157">
        <v>1160.24</v>
      </c>
      <c r="M57" s="157">
        <v>1251.24</v>
      </c>
      <c r="N57" s="157">
        <v>1296.75</v>
      </c>
      <c r="O57" s="157">
        <v>1308.72</v>
      </c>
      <c r="P57" s="157">
        <v>1331.38</v>
      </c>
      <c r="Q57" s="157">
        <v>1237.8499999999999</v>
      </c>
      <c r="R57" s="157">
        <v>1320.99</v>
      </c>
      <c r="S57" s="157">
        <v>1468.46</v>
      </c>
      <c r="T57" s="157">
        <v>1469.43</v>
      </c>
      <c r="U57" s="157">
        <v>1418.53</v>
      </c>
      <c r="V57" s="157">
        <v>1594.85</v>
      </c>
      <c r="W57" s="157">
        <v>689</v>
      </c>
      <c r="X57" s="157">
        <v>663.88</v>
      </c>
      <c r="Y57" s="157">
        <v>679.87</v>
      </c>
      <c r="Z57" s="157">
        <v>626.54999999999995</v>
      </c>
      <c r="AA57" s="157">
        <v>720.56</v>
      </c>
      <c r="AB57" s="157">
        <v>690.38</v>
      </c>
      <c r="AC57" s="157">
        <v>712.73</v>
      </c>
      <c r="AD57" s="157">
        <v>581.32000000000005</v>
      </c>
      <c r="AE57" s="157">
        <v>659.99</v>
      </c>
      <c r="AF57" s="157">
        <v>740.2</v>
      </c>
      <c r="AG57" s="157">
        <v>644.55999999999995</v>
      </c>
      <c r="AH57" s="158">
        <v>28160.45</v>
      </c>
    </row>
    <row r="58" spans="1:34" ht="15" x14ac:dyDescent="0.25">
      <c r="A58" s="155">
        <v>54</v>
      </c>
      <c r="B58" s="156">
        <v>617.01</v>
      </c>
      <c r="C58" s="157">
        <v>612.25</v>
      </c>
      <c r="D58" s="157">
        <v>598.61</v>
      </c>
      <c r="E58" s="157">
        <v>592.33000000000004</v>
      </c>
      <c r="F58" s="157">
        <v>623.62</v>
      </c>
      <c r="G58" s="157">
        <v>583.99</v>
      </c>
      <c r="H58" s="157">
        <v>620.95000000000005</v>
      </c>
      <c r="I58" s="157">
        <v>604.47</v>
      </c>
      <c r="J58" s="157">
        <v>581.54</v>
      </c>
      <c r="K58" s="157">
        <v>608.37</v>
      </c>
      <c r="L58" s="157">
        <v>993.61</v>
      </c>
      <c r="M58" s="157">
        <v>1073.1500000000001</v>
      </c>
      <c r="N58" s="157">
        <v>1109.82</v>
      </c>
      <c r="O58" s="157">
        <v>1126.02</v>
      </c>
      <c r="P58" s="157">
        <v>1145.48</v>
      </c>
      <c r="Q58" s="157">
        <v>1066.3900000000001</v>
      </c>
      <c r="R58" s="157">
        <v>1135.0899999999999</v>
      </c>
      <c r="S58" s="157">
        <v>1270.53</v>
      </c>
      <c r="T58" s="157">
        <v>1273.26</v>
      </c>
      <c r="U58" s="157">
        <v>1225</v>
      </c>
      <c r="V58" s="157">
        <v>1387.27</v>
      </c>
      <c r="W58" s="157">
        <v>704.6</v>
      </c>
      <c r="X58" s="157">
        <v>681.71</v>
      </c>
      <c r="Y58" s="157">
        <v>704.55</v>
      </c>
      <c r="Z58" s="157">
        <v>643.28</v>
      </c>
      <c r="AA58" s="157">
        <v>739.66</v>
      </c>
      <c r="AB58" s="157">
        <v>707.2</v>
      </c>
      <c r="AC58" s="157">
        <v>729.46</v>
      </c>
      <c r="AD58" s="157">
        <v>595.79</v>
      </c>
      <c r="AE58" s="157">
        <v>677.33</v>
      </c>
      <c r="AF58" s="157">
        <v>758.38</v>
      </c>
      <c r="AG58" s="157">
        <v>667.98</v>
      </c>
      <c r="AH58" s="158">
        <v>26458.699999999997</v>
      </c>
    </row>
    <row r="59" spans="1:34" ht="15" x14ac:dyDescent="0.25">
      <c r="A59" s="155">
        <v>55</v>
      </c>
      <c r="B59" s="156">
        <v>632.20000000000005</v>
      </c>
      <c r="C59" s="157">
        <v>628.54</v>
      </c>
      <c r="D59" s="157">
        <v>616.42999999999995</v>
      </c>
      <c r="E59" s="157">
        <v>608.57000000000005</v>
      </c>
      <c r="F59" s="157">
        <v>642</v>
      </c>
      <c r="G59" s="157">
        <v>601.32000000000005</v>
      </c>
      <c r="H59" s="157">
        <v>635.77</v>
      </c>
      <c r="I59" s="157">
        <v>623.54</v>
      </c>
      <c r="J59" s="157">
        <v>599.16</v>
      </c>
      <c r="K59" s="157">
        <v>627.23</v>
      </c>
      <c r="L59" s="157">
        <v>844.84</v>
      </c>
      <c r="M59" s="157">
        <v>913.87</v>
      </c>
      <c r="N59" s="157">
        <v>942.38</v>
      </c>
      <c r="O59" s="157">
        <v>959.53</v>
      </c>
      <c r="P59" s="157">
        <v>976.7</v>
      </c>
      <c r="Q59" s="157">
        <v>910.46</v>
      </c>
      <c r="R59" s="157">
        <v>966.04</v>
      </c>
      <c r="S59" s="157">
        <v>1086.17</v>
      </c>
      <c r="T59" s="157">
        <v>1090.08</v>
      </c>
      <c r="U59" s="157">
        <v>1046.01</v>
      </c>
      <c r="V59" s="157">
        <v>1191.07</v>
      </c>
      <c r="W59" s="157">
        <v>722.86</v>
      </c>
      <c r="X59" s="157">
        <v>701.87</v>
      </c>
      <c r="Y59" s="157">
        <v>731.8</v>
      </c>
      <c r="Z59" s="157">
        <v>662.67</v>
      </c>
      <c r="AA59" s="157">
        <v>761.76</v>
      </c>
      <c r="AB59" s="157">
        <v>726.33</v>
      </c>
      <c r="AC59" s="157">
        <v>748.77</v>
      </c>
      <c r="AD59" s="157">
        <v>612.69000000000005</v>
      </c>
      <c r="AE59" s="157">
        <v>697.31</v>
      </c>
      <c r="AF59" s="157">
        <v>779.27</v>
      </c>
      <c r="AG59" s="157">
        <v>694.7</v>
      </c>
      <c r="AH59" s="158">
        <v>24981.940000000002</v>
      </c>
    </row>
    <row r="60" spans="1:34" ht="15" x14ac:dyDescent="0.25">
      <c r="A60" s="155">
        <v>56</v>
      </c>
      <c r="B60" s="156">
        <v>649.84</v>
      </c>
      <c r="C60" s="157">
        <v>647.39</v>
      </c>
      <c r="D60" s="157">
        <v>637</v>
      </c>
      <c r="E60" s="157">
        <v>627.32000000000005</v>
      </c>
      <c r="F60" s="157">
        <v>662.99</v>
      </c>
      <c r="G60" s="157">
        <v>620.86</v>
      </c>
      <c r="H60" s="157">
        <v>652.99</v>
      </c>
      <c r="I60" s="157">
        <v>644.85</v>
      </c>
      <c r="J60" s="157">
        <v>618.92999999999995</v>
      </c>
      <c r="K60" s="157">
        <v>648.42999999999995</v>
      </c>
      <c r="L60" s="157">
        <v>715.52</v>
      </c>
      <c r="M60" s="157">
        <v>774.72</v>
      </c>
      <c r="N60" s="157">
        <v>796.21</v>
      </c>
      <c r="O60" s="157">
        <v>812.27</v>
      </c>
      <c r="P60" s="157">
        <v>827.98</v>
      </c>
      <c r="Q60" s="157">
        <v>772.19</v>
      </c>
      <c r="R60" s="157">
        <v>816.93</v>
      </c>
      <c r="S60" s="157">
        <v>920.99</v>
      </c>
      <c r="T60" s="157">
        <v>925.21</v>
      </c>
      <c r="U60" s="157">
        <v>886.02</v>
      </c>
      <c r="V60" s="157">
        <v>1012.74</v>
      </c>
      <c r="W60" s="157">
        <v>744.4</v>
      </c>
      <c r="X60" s="157">
        <v>724.83</v>
      </c>
      <c r="Y60" s="157">
        <v>762.26</v>
      </c>
      <c r="Z60" s="157">
        <v>685.26</v>
      </c>
      <c r="AA60" s="157">
        <v>787.38</v>
      </c>
      <c r="AB60" s="157">
        <v>748.2</v>
      </c>
      <c r="AC60" s="157">
        <v>771.16</v>
      </c>
      <c r="AD60" s="157">
        <v>632.52</v>
      </c>
      <c r="AE60" s="157">
        <v>720.4</v>
      </c>
      <c r="AF60" s="157">
        <v>803.38</v>
      </c>
      <c r="AG60" s="157">
        <v>724.98</v>
      </c>
      <c r="AH60" s="158">
        <v>23776.150000000005</v>
      </c>
    </row>
    <row r="61" spans="1:34" ht="15" x14ac:dyDescent="0.25">
      <c r="A61" s="155">
        <v>57</v>
      </c>
      <c r="B61" s="156">
        <v>670.31</v>
      </c>
      <c r="C61" s="157">
        <v>669.1</v>
      </c>
      <c r="D61" s="157">
        <v>660.62</v>
      </c>
      <c r="E61" s="157">
        <v>648.87</v>
      </c>
      <c r="F61" s="157">
        <v>686.83</v>
      </c>
      <c r="G61" s="157">
        <v>642.91</v>
      </c>
      <c r="H61" s="157">
        <v>672.97</v>
      </c>
      <c r="I61" s="157">
        <v>668.58</v>
      </c>
      <c r="J61" s="157">
        <v>641.09</v>
      </c>
      <c r="K61" s="157">
        <v>672.22</v>
      </c>
      <c r="L61" s="157">
        <v>605.44000000000005</v>
      </c>
      <c r="M61" s="157">
        <v>655.49</v>
      </c>
      <c r="N61" s="157">
        <v>671.19</v>
      </c>
      <c r="O61" s="157">
        <v>685.18</v>
      </c>
      <c r="P61" s="157">
        <v>699.87</v>
      </c>
      <c r="Q61" s="157">
        <v>652.22</v>
      </c>
      <c r="R61" s="157">
        <v>688.52</v>
      </c>
      <c r="S61" s="157">
        <v>777.27</v>
      </c>
      <c r="T61" s="157">
        <v>780.93</v>
      </c>
      <c r="U61" s="157">
        <v>746.78</v>
      </c>
      <c r="V61" s="157">
        <v>855.58</v>
      </c>
      <c r="W61" s="157">
        <v>769.89</v>
      </c>
      <c r="X61" s="157">
        <v>751.09</v>
      </c>
      <c r="Y61" s="157">
        <v>796.66</v>
      </c>
      <c r="Z61" s="157">
        <v>711.69</v>
      </c>
      <c r="AA61" s="157">
        <v>817.09</v>
      </c>
      <c r="AB61" s="157">
        <v>773.32</v>
      </c>
      <c r="AC61" s="157">
        <v>797.17</v>
      </c>
      <c r="AD61" s="157">
        <v>655.83</v>
      </c>
      <c r="AE61" s="157">
        <v>747.1</v>
      </c>
      <c r="AF61" s="157">
        <v>831.25</v>
      </c>
      <c r="AG61" s="157">
        <v>759</v>
      </c>
      <c r="AH61" s="158">
        <v>22862.06</v>
      </c>
    </row>
    <row r="62" spans="1:34" ht="15" x14ac:dyDescent="0.25">
      <c r="A62" s="155">
        <v>58</v>
      </c>
      <c r="B62" s="156">
        <v>693.95</v>
      </c>
      <c r="C62" s="157">
        <v>693.99</v>
      </c>
      <c r="D62" s="157">
        <v>687.55</v>
      </c>
      <c r="E62" s="157">
        <v>673.53</v>
      </c>
      <c r="F62" s="157">
        <v>713.79</v>
      </c>
      <c r="G62" s="157">
        <v>667.75</v>
      </c>
      <c r="H62" s="157">
        <v>696.1</v>
      </c>
      <c r="I62" s="157">
        <v>694.97</v>
      </c>
      <c r="J62" s="157">
        <v>665.87</v>
      </c>
      <c r="K62" s="157">
        <v>698.9</v>
      </c>
      <c r="L62" s="157">
        <v>513.24</v>
      </c>
      <c r="M62" s="157">
        <v>554.99</v>
      </c>
      <c r="N62" s="157">
        <v>565.97</v>
      </c>
      <c r="O62" s="157">
        <v>577.61</v>
      </c>
      <c r="P62" s="157">
        <v>591.41</v>
      </c>
      <c r="Q62" s="157">
        <v>550.14</v>
      </c>
      <c r="R62" s="157">
        <v>580.01</v>
      </c>
      <c r="S62" s="157">
        <v>654.9</v>
      </c>
      <c r="T62" s="157">
        <v>657.51</v>
      </c>
      <c r="U62" s="157">
        <v>628.11</v>
      </c>
      <c r="V62" s="157">
        <v>720.4</v>
      </c>
      <c r="W62" s="157">
        <v>800.07</v>
      </c>
      <c r="X62" s="157">
        <v>781.25</v>
      </c>
      <c r="Y62" s="157">
        <v>835.79</v>
      </c>
      <c r="Z62" s="157">
        <v>742.64</v>
      </c>
      <c r="AA62" s="157">
        <v>851.5</v>
      </c>
      <c r="AB62" s="157">
        <v>802.23</v>
      </c>
      <c r="AC62" s="157">
        <v>827.41</v>
      </c>
      <c r="AD62" s="157">
        <v>683.24</v>
      </c>
      <c r="AE62" s="157">
        <v>777.96</v>
      </c>
      <c r="AF62" s="157">
        <v>863.49</v>
      </c>
      <c r="AG62" s="157">
        <v>796.9</v>
      </c>
      <c r="AH62" s="158">
        <v>22243.170000000002</v>
      </c>
    </row>
    <row r="63" spans="1:34" ht="15" x14ac:dyDescent="0.25">
      <c r="A63" s="155">
        <v>59</v>
      </c>
      <c r="B63" s="156">
        <v>721.17</v>
      </c>
      <c r="C63" s="157">
        <v>722.41</v>
      </c>
      <c r="D63" s="157">
        <v>718.07</v>
      </c>
      <c r="E63" s="157">
        <v>701.61</v>
      </c>
      <c r="F63" s="157">
        <v>744.18</v>
      </c>
      <c r="G63" s="157">
        <v>695.71</v>
      </c>
      <c r="H63" s="157">
        <v>722.8</v>
      </c>
      <c r="I63" s="157">
        <v>724.33</v>
      </c>
      <c r="J63" s="157">
        <v>693.59</v>
      </c>
      <c r="K63" s="157">
        <v>728.78</v>
      </c>
      <c r="L63" s="157">
        <v>436.89</v>
      </c>
      <c r="M63" s="157">
        <v>471.39</v>
      </c>
      <c r="N63" s="157">
        <v>478.51</v>
      </c>
      <c r="O63" s="157">
        <v>487.9</v>
      </c>
      <c r="P63" s="157">
        <v>500.78</v>
      </c>
      <c r="Q63" s="157">
        <v>464.71</v>
      </c>
      <c r="R63" s="157">
        <v>489.6</v>
      </c>
      <c r="S63" s="157">
        <v>552.29999999999995</v>
      </c>
      <c r="T63" s="157">
        <v>553.75</v>
      </c>
      <c r="U63" s="157">
        <v>528.54</v>
      </c>
      <c r="V63" s="157">
        <v>606.22</v>
      </c>
      <c r="W63" s="157">
        <v>835.68</v>
      </c>
      <c r="X63" s="157">
        <v>815.96</v>
      </c>
      <c r="Y63" s="157">
        <v>880.41</v>
      </c>
      <c r="Z63" s="157">
        <v>778.82</v>
      </c>
      <c r="AA63" s="157">
        <v>891.24</v>
      </c>
      <c r="AB63" s="157">
        <v>835.58</v>
      </c>
      <c r="AC63" s="157">
        <v>862.54</v>
      </c>
      <c r="AD63" s="157">
        <v>715.45</v>
      </c>
      <c r="AE63" s="157">
        <v>813.57</v>
      </c>
      <c r="AF63" s="157">
        <v>900.75</v>
      </c>
      <c r="AG63" s="157">
        <v>838.73</v>
      </c>
      <c r="AH63" s="158">
        <v>21911.970000000005</v>
      </c>
    </row>
    <row r="64" spans="1:34" ht="15" x14ac:dyDescent="0.25">
      <c r="A64" s="155">
        <v>60</v>
      </c>
      <c r="B64" s="156">
        <v>752.38</v>
      </c>
      <c r="C64" s="157">
        <v>754.73</v>
      </c>
      <c r="D64" s="157">
        <v>752.52</v>
      </c>
      <c r="E64" s="157">
        <v>733.47</v>
      </c>
      <c r="F64" s="157">
        <v>778.32</v>
      </c>
      <c r="G64" s="157">
        <v>727.2</v>
      </c>
      <c r="H64" s="157">
        <v>753.53</v>
      </c>
      <c r="I64" s="157">
        <v>757.02</v>
      </c>
      <c r="J64" s="157">
        <v>724.64</v>
      </c>
      <c r="K64" s="157">
        <v>762.28</v>
      </c>
      <c r="L64" s="157">
        <v>374.16</v>
      </c>
      <c r="M64" s="157">
        <v>402.59</v>
      </c>
      <c r="N64" s="157">
        <v>406.44</v>
      </c>
      <c r="O64" s="157">
        <v>413.87</v>
      </c>
      <c r="P64" s="157">
        <v>425.79</v>
      </c>
      <c r="Q64" s="157">
        <v>394.12</v>
      </c>
      <c r="R64" s="157">
        <v>415.03</v>
      </c>
      <c r="S64" s="157">
        <v>467.18</v>
      </c>
      <c r="T64" s="157">
        <v>467.63</v>
      </c>
      <c r="U64" s="157">
        <v>445.98</v>
      </c>
      <c r="V64" s="157">
        <v>510.99</v>
      </c>
      <c r="W64" s="157">
        <v>877.51</v>
      </c>
      <c r="X64" s="157">
        <v>855.97</v>
      </c>
      <c r="Y64" s="157">
        <v>931.25</v>
      </c>
      <c r="Z64" s="157">
        <v>820.96</v>
      </c>
      <c r="AA64" s="157">
        <v>936.94</v>
      </c>
      <c r="AB64" s="157">
        <v>874.09</v>
      </c>
      <c r="AC64" s="157">
        <v>903.31</v>
      </c>
      <c r="AD64" s="157">
        <v>753.2</v>
      </c>
      <c r="AE64" s="157">
        <v>854.55</v>
      </c>
      <c r="AF64" s="157">
        <v>943.79</v>
      </c>
      <c r="AG64" s="157">
        <v>884.6</v>
      </c>
      <c r="AH64" s="158">
        <v>21856.04</v>
      </c>
    </row>
    <row r="65" spans="1:34" ht="15" x14ac:dyDescent="0.25">
      <c r="A65" s="155">
        <v>61</v>
      </c>
      <c r="B65" s="156">
        <v>788.09</v>
      </c>
      <c r="C65" s="157">
        <v>791.43</v>
      </c>
      <c r="D65" s="157">
        <v>791.28</v>
      </c>
      <c r="E65" s="157">
        <v>769.53</v>
      </c>
      <c r="F65" s="157">
        <v>816.66</v>
      </c>
      <c r="G65" s="157">
        <v>762.7</v>
      </c>
      <c r="H65" s="157">
        <v>788.84</v>
      </c>
      <c r="I65" s="157">
        <v>793.56</v>
      </c>
      <c r="J65" s="157">
        <v>759.49</v>
      </c>
      <c r="K65" s="157">
        <v>799.89</v>
      </c>
      <c r="L65" s="157">
        <v>322.89999999999998</v>
      </c>
      <c r="M65" s="157">
        <v>346.4</v>
      </c>
      <c r="N65" s="157">
        <v>347.45</v>
      </c>
      <c r="O65" s="157">
        <v>353.24</v>
      </c>
      <c r="P65" s="157">
        <v>364.19</v>
      </c>
      <c r="Q65" s="157">
        <v>336.32</v>
      </c>
      <c r="R65" s="157">
        <v>353.92</v>
      </c>
      <c r="S65" s="157">
        <v>397.1</v>
      </c>
      <c r="T65" s="157">
        <v>396.78</v>
      </c>
      <c r="U65" s="157">
        <v>378.07</v>
      </c>
      <c r="V65" s="157">
        <v>432.24</v>
      </c>
      <c r="W65" s="157">
        <v>926.35</v>
      </c>
      <c r="X65" s="157">
        <v>902.16</v>
      </c>
      <c r="Y65" s="157">
        <v>988.89</v>
      </c>
      <c r="Z65" s="157">
        <v>869.81</v>
      </c>
      <c r="AA65" s="157">
        <v>989.22</v>
      </c>
      <c r="AB65" s="157">
        <v>918.59</v>
      </c>
      <c r="AC65" s="157">
        <v>950.53</v>
      </c>
      <c r="AD65" s="157">
        <v>797.35</v>
      </c>
      <c r="AE65" s="157">
        <v>901.57</v>
      </c>
      <c r="AF65" s="157">
        <v>993.46</v>
      </c>
      <c r="AG65" s="157">
        <v>934.67</v>
      </c>
      <c r="AH65" s="158">
        <v>22062.679999999997</v>
      </c>
    </row>
    <row r="66" spans="1:34" ht="15" x14ac:dyDescent="0.25">
      <c r="A66" s="155">
        <v>62</v>
      </c>
      <c r="B66" s="156">
        <v>828.86</v>
      </c>
      <c r="C66" s="157">
        <v>833.07</v>
      </c>
      <c r="D66" s="157">
        <v>834.86</v>
      </c>
      <c r="E66" s="157">
        <v>810.32</v>
      </c>
      <c r="F66" s="157">
        <v>859.76</v>
      </c>
      <c r="G66" s="157">
        <v>802.79</v>
      </c>
      <c r="H66" s="157">
        <v>829.32</v>
      </c>
      <c r="I66" s="157">
        <v>834.53</v>
      </c>
      <c r="J66" s="157">
        <v>798.72</v>
      </c>
      <c r="K66" s="157">
        <v>842.23</v>
      </c>
      <c r="L66" s="157">
        <v>281.18</v>
      </c>
      <c r="M66" s="157">
        <v>300.77</v>
      </c>
      <c r="N66" s="157">
        <v>299.38</v>
      </c>
      <c r="O66" s="157">
        <v>303.85000000000002</v>
      </c>
      <c r="P66" s="157">
        <v>313.87</v>
      </c>
      <c r="Q66" s="157">
        <v>289.27999999999997</v>
      </c>
      <c r="R66" s="157">
        <v>304.07</v>
      </c>
      <c r="S66" s="157">
        <v>339.68</v>
      </c>
      <c r="T66" s="157">
        <v>338.83</v>
      </c>
      <c r="U66" s="157">
        <v>322.51</v>
      </c>
      <c r="V66" s="157">
        <v>367.48</v>
      </c>
      <c r="W66" s="157">
        <v>982.98</v>
      </c>
      <c r="X66" s="157">
        <v>955.49</v>
      </c>
      <c r="Y66" s="157">
        <v>1053.81</v>
      </c>
      <c r="Z66" s="157">
        <v>926.05</v>
      </c>
      <c r="AA66" s="157">
        <v>1048.7</v>
      </c>
      <c r="AB66" s="157">
        <v>970.07</v>
      </c>
      <c r="AC66" s="157">
        <v>1005.12</v>
      </c>
      <c r="AD66" s="157">
        <v>848.77</v>
      </c>
      <c r="AE66" s="157">
        <v>955.38</v>
      </c>
      <c r="AF66" s="157">
        <v>1050.74</v>
      </c>
      <c r="AG66" s="157">
        <v>989.27</v>
      </c>
      <c r="AH66" s="158">
        <v>22521.74</v>
      </c>
    </row>
    <row r="67" spans="1:34" ht="15" x14ac:dyDescent="0.25">
      <c r="A67" s="155">
        <v>63</v>
      </c>
      <c r="B67" s="156">
        <v>875.38</v>
      </c>
      <c r="C67" s="157">
        <v>880.38</v>
      </c>
      <c r="D67" s="157">
        <v>883.9</v>
      </c>
      <c r="E67" s="157">
        <v>856.46</v>
      </c>
      <c r="F67" s="157">
        <v>908.31</v>
      </c>
      <c r="G67" s="157">
        <v>848.17</v>
      </c>
      <c r="H67" s="157">
        <v>875.69</v>
      </c>
      <c r="I67" s="157">
        <v>880.66</v>
      </c>
      <c r="J67" s="157">
        <v>843.05</v>
      </c>
      <c r="K67" s="157">
        <v>890.07</v>
      </c>
      <c r="L67" s="157">
        <v>247.3</v>
      </c>
      <c r="M67" s="157">
        <v>263.86</v>
      </c>
      <c r="N67" s="157">
        <v>260.33</v>
      </c>
      <c r="O67" s="157">
        <v>263.76</v>
      </c>
      <c r="P67" s="157">
        <v>272.89999999999998</v>
      </c>
      <c r="Q67" s="157">
        <v>251.16</v>
      </c>
      <c r="R67" s="157">
        <v>263.49</v>
      </c>
      <c r="S67" s="157">
        <v>292.79000000000002</v>
      </c>
      <c r="T67" s="157">
        <v>291.57</v>
      </c>
      <c r="U67" s="157">
        <v>277.18</v>
      </c>
      <c r="V67" s="157">
        <v>314.38</v>
      </c>
      <c r="W67" s="157">
        <v>1048.1199999999999</v>
      </c>
      <c r="X67" s="157">
        <v>1017.07</v>
      </c>
      <c r="Y67" s="157">
        <v>1126.3800000000001</v>
      </c>
      <c r="Z67" s="157">
        <v>990.33</v>
      </c>
      <c r="AA67" s="157">
        <v>1115.98</v>
      </c>
      <c r="AB67" s="157">
        <v>1029.6300000000001</v>
      </c>
      <c r="AC67" s="157">
        <v>1068.08</v>
      </c>
      <c r="AD67" s="157">
        <v>908.45</v>
      </c>
      <c r="AE67" s="157">
        <v>1016.73</v>
      </c>
      <c r="AF67" s="157">
        <v>1116.73</v>
      </c>
      <c r="AG67" s="157">
        <v>1048.97</v>
      </c>
      <c r="AH67" s="158">
        <v>23227.260000000006</v>
      </c>
    </row>
    <row r="68" spans="1:34" ht="15" x14ac:dyDescent="0.25">
      <c r="A68" s="155">
        <v>64</v>
      </c>
      <c r="B68" s="156">
        <v>928.44</v>
      </c>
      <c r="C68" s="157">
        <v>934.24</v>
      </c>
      <c r="D68" s="157">
        <v>939.24</v>
      </c>
      <c r="E68" s="157">
        <v>908.73</v>
      </c>
      <c r="F68" s="157">
        <v>963.16</v>
      </c>
      <c r="G68" s="157">
        <v>899.69</v>
      </c>
      <c r="H68" s="157">
        <v>928.76</v>
      </c>
      <c r="I68" s="157">
        <v>932.79</v>
      </c>
      <c r="J68" s="157">
        <v>893.28</v>
      </c>
      <c r="K68" s="157">
        <v>944.29</v>
      </c>
      <c r="L68" s="157">
        <v>219.84</v>
      </c>
      <c r="M68" s="157">
        <v>234.06</v>
      </c>
      <c r="N68" s="157">
        <v>228.68</v>
      </c>
      <c r="O68" s="157">
        <v>231.29</v>
      </c>
      <c r="P68" s="157">
        <v>239.58</v>
      </c>
      <c r="Q68" s="157">
        <v>220.3</v>
      </c>
      <c r="R68" s="157">
        <v>230.51</v>
      </c>
      <c r="S68" s="157">
        <v>254.59</v>
      </c>
      <c r="T68" s="157">
        <v>253.07</v>
      </c>
      <c r="U68" s="157">
        <v>240.23</v>
      </c>
      <c r="V68" s="157">
        <v>270.87</v>
      </c>
      <c r="W68" s="157">
        <v>1122.44</v>
      </c>
      <c r="X68" s="157">
        <v>1088.1300000000001</v>
      </c>
      <c r="Y68" s="157">
        <v>1206.99</v>
      </c>
      <c r="Z68" s="157">
        <v>1063.23</v>
      </c>
      <c r="AA68" s="157">
        <v>1191.6600000000001</v>
      </c>
      <c r="AB68" s="157">
        <v>1098.58</v>
      </c>
      <c r="AC68" s="157">
        <v>1140.49</v>
      </c>
      <c r="AD68" s="157">
        <v>977.41</v>
      </c>
      <c r="AE68" s="157">
        <v>1086.47</v>
      </c>
      <c r="AF68" s="157">
        <v>1192.76</v>
      </c>
      <c r="AG68" s="157">
        <v>1114.72</v>
      </c>
      <c r="AH68" s="158">
        <v>24178.52</v>
      </c>
    </row>
    <row r="69" spans="1:34" ht="15" x14ac:dyDescent="0.25">
      <c r="A69" s="155">
        <v>65</v>
      </c>
      <c r="B69" s="156">
        <v>988.98</v>
      </c>
      <c r="C69" s="157">
        <v>995.74</v>
      </c>
      <c r="D69" s="157">
        <v>1001.88</v>
      </c>
      <c r="E69" s="157">
        <v>968.03</v>
      </c>
      <c r="F69" s="157">
        <v>1025.3399999999999</v>
      </c>
      <c r="G69" s="157">
        <v>958.33</v>
      </c>
      <c r="H69" s="157">
        <v>989.48</v>
      </c>
      <c r="I69" s="157">
        <v>991.9</v>
      </c>
      <c r="J69" s="157">
        <v>950.36</v>
      </c>
      <c r="K69" s="157">
        <v>1005.91</v>
      </c>
      <c r="L69" s="157">
        <v>197.59</v>
      </c>
      <c r="M69" s="157">
        <v>210</v>
      </c>
      <c r="N69" s="157">
        <v>203.07</v>
      </c>
      <c r="O69" s="157">
        <v>205.03</v>
      </c>
      <c r="P69" s="157">
        <v>212.47</v>
      </c>
      <c r="Q69" s="157">
        <v>195.32</v>
      </c>
      <c r="R69" s="157">
        <v>203.71</v>
      </c>
      <c r="S69" s="157">
        <v>223.5</v>
      </c>
      <c r="T69" s="157">
        <v>221.69</v>
      </c>
      <c r="U69" s="157">
        <v>210.06</v>
      </c>
      <c r="V69" s="157">
        <v>235.18</v>
      </c>
      <c r="W69" s="157">
        <v>1206.58</v>
      </c>
      <c r="X69" s="157">
        <v>1169.98</v>
      </c>
      <c r="Y69" s="157">
        <v>1296.1500000000001</v>
      </c>
      <c r="Z69" s="157">
        <v>1145.25</v>
      </c>
      <c r="AA69" s="157">
        <v>1276.4000000000001</v>
      </c>
      <c r="AB69" s="157">
        <v>1178.3900000000001</v>
      </c>
      <c r="AC69" s="157">
        <v>1223.51</v>
      </c>
      <c r="AD69" s="157">
        <v>1056.67</v>
      </c>
      <c r="AE69" s="157">
        <v>1165.46</v>
      </c>
      <c r="AF69" s="157">
        <v>1280.3599999999999</v>
      </c>
      <c r="AG69" s="157">
        <v>1187.8</v>
      </c>
      <c r="AH69" s="158">
        <v>25380.12</v>
      </c>
    </row>
    <row r="70" spans="1:34" ht="15" x14ac:dyDescent="0.25">
      <c r="A70" s="155">
        <v>66</v>
      </c>
      <c r="B70" s="156">
        <v>1058.0899999999999</v>
      </c>
      <c r="C70" s="157">
        <v>1066.1500000000001</v>
      </c>
      <c r="D70" s="157">
        <v>1073.01</v>
      </c>
      <c r="E70" s="157">
        <v>1035.44</v>
      </c>
      <c r="F70" s="157">
        <v>1096</v>
      </c>
      <c r="G70" s="157">
        <v>1025.21</v>
      </c>
      <c r="H70" s="157">
        <v>1058.96</v>
      </c>
      <c r="I70" s="157">
        <v>1059.0999999999999</v>
      </c>
      <c r="J70" s="157">
        <v>1015.33</v>
      </c>
      <c r="K70" s="157">
        <v>1076.1099999999999</v>
      </c>
      <c r="L70" s="157">
        <v>179.55</v>
      </c>
      <c r="M70" s="157">
        <v>190.56</v>
      </c>
      <c r="N70" s="157">
        <v>182.33</v>
      </c>
      <c r="O70" s="157">
        <v>183.81</v>
      </c>
      <c r="P70" s="157">
        <v>190.36</v>
      </c>
      <c r="Q70" s="157">
        <v>175.06</v>
      </c>
      <c r="R70" s="157">
        <v>181.92</v>
      </c>
      <c r="S70" s="157">
        <v>198.21</v>
      </c>
      <c r="T70" s="157">
        <v>196.09</v>
      </c>
      <c r="U70" s="157">
        <v>185.36</v>
      </c>
      <c r="V70" s="157">
        <v>205.85</v>
      </c>
      <c r="W70" s="157">
        <v>1301.19</v>
      </c>
      <c r="X70" s="157">
        <v>1263.95</v>
      </c>
      <c r="Y70" s="157">
        <v>1394.75</v>
      </c>
      <c r="Z70" s="157">
        <v>1236.93</v>
      </c>
      <c r="AA70" s="157">
        <v>1371.02</v>
      </c>
      <c r="AB70" s="157">
        <v>1270.67</v>
      </c>
      <c r="AC70" s="157">
        <v>1318.36</v>
      </c>
      <c r="AD70" s="157">
        <v>1147.3</v>
      </c>
      <c r="AE70" s="157">
        <v>1254.68</v>
      </c>
      <c r="AF70" s="157">
        <v>1381.29</v>
      </c>
      <c r="AG70" s="157">
        <v>1269.8699999999999</v>
      </c>
      <c r="AH70" s="158">
        <v>26842.510000000002</v>
      </c>
    </row>
    <row r="71" spans="1:34" ht="15" x14ac:dyDescent="0.25">
      <c r="A71" s="155">
        <v>67</v>
      </c>
      <c r="B71" s="156">
        <v>1136.96</v>
      </c>
      <c r="C71" s="157">
        <v>1146.8399999999999</v>
      </c>
      <c r="D71" s="157">
        <v>1153.94</v>
      </c>
      <c r="E71" s="157">
        <v>1112.1400000000001</v>
      </c>
      <c r="F71" s="157">
        <v>1176.45</v>
      </c>
      <c r="G71" s="157">
        <v>1101.53</v>
      </c>
      <c r="H71" s="157">
        <v>1138.4100000000001</v>
      </c>
      <c r="I71" s="157">
        <v>1135.6500000000001</v>
      </c>
      <c r="J71" s="157">
        <v>1089.3499999999999</v>
      </c>
      <c r="K71" s="157">
        <v>1156.1199999999999</v>
      </c>
      <c r="L71" s="157">
        <v>164.86</v>
      </c>
      <c r="M71" s="157">
        <v>174.78</v>
      </c>
      <c r="N71" s="157">
        <v>165.52</v>
      </c>
      <c r="O71" s="157">
        <v>166.62</v>
      </c>
      <c r="P71" s="157">
        <v>172.23</v>
      </c>
      <c r="Q71" s="157">
        <v>158.52000000000001</v>
      </c>
      <c r="R71" s="157">
        <v>164.16</v>
      </c>
      <c r="S71" s="157">
        <v>177.59</v>
      </c>
      <c r="T71" s="157">
        <v>175.13</v>
      </c>
      <c r="U71" s="157">
        <v>165.06</v>
      </c>
      <c r="V71" s="157">
        <v>181.66</v>
      </c>
      <c r="W71" s="157">
        <v>1407.09</v>
      </c>
      <c r="X71" s="157">
        <v>1371.31</v>
      </c>
      <c r="Y71" s="157">
        <v>1504.22</v>
      </c>
      <c r="Z71" s="157">
        <v>1338.89</v>
      </c>
      <c r="AA71" s="157">
        <v>1476.67</v>
      </c>
      <c r="AB71" s="157">
        <v>1377.11</v>
      </c>
      <c r="AC71" s="157">
        <v>1426.29</v>
      </c>
      <c r="AD71" s="157">
        <v>1250.27</v>
      </c>
      <c r="AE71" s="157">
        <v>1355.17</v>
      </c>
      <c r="AF71" s="157">
        <v>1497.55</v>
      </c>
      <c r="AG71" s="157">
        <v>1362.87</v>
      </c>
      <c r="AH71" s="158">
        <v>28580.959999999999</v>
      </c>
    </row>
    <row r="72" spans="1:34" ht="15" x14ac:dyDescent="0.25">
      <c r="A72" s="155">
        <v>68</v>
      </c>
      <c r="B72" s="156">
        <v>1226.8599999999999</v>
      </c>
      <c r="C72" s="157">
        <v>1239.18</v>
      </c>
      <c r="D72" s="157">
        <v>1246.02</v>
      </c>
      <c r="E72" s="157">
        <v>1199.43</v>
      </c>
      <c r="F72" s="157">
        <v>1268.06</v>
      </c>
      <c r="G72" s="157">
        <v>1188.5</v>
      </c>
      <c r="H72" s="157">
        <v>1229.1500000000001</v>
      </c>
      <c r="I72" s="157">
        <v>1222.95</v>
      </c>
      <c r="J72" s="157">
        <v>1173.6199999999999</v>
      </c>
      <c r="K72" s="157">
        <v>1247.27</v>
      </c>
      <c r="L72" s="157">
        <v>152.82</v>
      </c>
      <c r="M72" s="157">
        <v>161.86000000000001</v>
      </c>
      <c r="N72" s="157">
        <v>151.81</v>
      </c>
      <c r="O72" s="157">
        <v>152.63999999999999</v>
      </c>
      <c r="P72" s="157">
        <v>157.27000000000001</v>
      </c>
      <c r="Q72" s="157">
        <v>144.93</v>
      </c>
      <c r="R72" s="157">
        <v>149.62</v>
      </c>
      <c r="S72" s="157">
        <v>160.72</v>
      </c>
      <c r="T72" s="157">
        <v>157.9</v>
      </c>
      <c r="U72" s="157">
        <v>148.27000000000001</v>
      </c>
      <c r="V72" s="157">
        <v>161.6</v>
      </c>
      <c r="W72" s="157">
        <v>1525.47</v>
      </c>
      <c r="X72" s="157">
        <v>1493.21</v>
      </c>
      <c r="Y72" s="157">
        <v>1626.66</v>
      </c>
      <c r="Z72" s="157">
        <v>1452.12</v>
      </c>
      <c r="AA72" s="157">
        <v>1594.95</v>
      </c>
      <c r="AB72" s="157">
        <v>1499.32</v>
      </c>
      <c r="AC72" s="157">
        <v>1548.53</v>
      </c>
      <c r="AD72" s="157">
        <v>1366.52</v>
      </c>
      <c r="AE72" s="157">
        <v>1468.24</v>
      </c>
      <c r="AF72" s="157">
        <v>1631.35</v>
      </c>
      <c r="AG72" s="157">
        <v>1468.99</v>
      </c>
      <c r="AH72" s="158">
        <v>30615.84</v>
      </c>
    </row>
    <row r="73" spans="1:34" ht="15" x14ac:dyDescent="0.25">
      <c r="A73" s="155">
        <v>69</v>
      </c>
      <c r="B73" s="156">
        <v>1329</v>
      </c>
      <c r="C73" s="157">
        <v>1344.36</v>
      </c>
      <c r="D73" s="157">
        <v>1350.56</v>
      </c>
      <c r="E73" s="157">
        <v>1298.5999999999999</v>
      </c>
      <c r="F73" s="157">
        <v>1372.26</v>
      </c>
      <c r="G73" s="157">
        <v>1287.25</v>
      </c>
      <c r="H73" s="157">
        <v>1332.39</v>
      </c>
      <c r="I73" s="157">
        <v>1322.4</v>
      </c>
      <c r="J73" s="157">
        <v>1269.33</v>
      </c>
      <c r="K73" s="157">
        <v>1350.77</v>
      </c>
      <c r="L73" s="157">
        <v>142.81</v>
      </c>
      <c r="M73" s="157">
        <v>151.16</v>
      </c>
      <c r="N73" s="157">
        <v>140.51</v>
      </c>
      <c r="O73" s="157">
        <v>141.16999999999999</v>
      </c>
      <c r="P73" s="157">
        <v>144.78</v>
      </c>
      <c r="Q73" s="157">
        <v>133.61000000000001</v>
      </c>
      <c r="R73" s="157">
        <v>137.61000000000001</v>
      </c>
      <c r="S73" s="157">
        <v>146.82</v>
      </c>
      <c r="T73" s="157">
        <v>143.63</v>
      </c>
      <c r="U73" s="157">
        <v>134.28</v>
      </c>
      <c r="V73" s="157">
        <v>144.86000000000001</v>
      </c>
      <c r="W73" s="157">
        <v>1658.13</v>
      </c>
      <c r="X73" s="157">
        <v>1630.68</v>
      </c>
      <c r="Y73" s="157">
        <v>1764.79</v>
      </c>
      <c r="Z73" s="157">
        <v>1578.13</v>
      </c>
      <c r="AA73" s="157">
        <v>1728.06</v>
      </c>
      <c r="AB73" s="157">
        <v>1638.76</v>
      </c>
      <c r="AC73" s="157">
        <v>1686.41</v>
      </c>
      <c r="AD73" s="157">
        <v>1496.93</v>
      </c>
      <c r="AE73" s="157">
        <v>1595.49</v>
      </c>
      <c r="AF73" s="157">
        <v>1785.04</v>
      </c>
      <c r="AG73" s="157">
        <v>1590.6</v>
      </c>
      <c r="AH73" s="158">
        <v>32971.180000000008</v>
      </c>
    </row>
    <row r="74" spans="1:34" ht="15" x14ac:dyDescent="0.25">
      <c r="A74" s="155">
        <v>70</v>
      </c>
      <c r="B74" s="156">
        <v>1444.44</v>
      </c>
      <c r="C74" s="157">
        <v>1463.23</v>
      </c>
      <c r="D74" s="157">
        <v>1468.7</v>
      </c>
      <c r="E74" s="157">
        <v>1410.77</v>
      </c>
      <c r="F74" s="157">
        <v>1490.36</v>
      </c>
      <c r="G74" s="157">
        <v>1398.76</v>
      </c>
      <c r="H74" s="157">
        <v>1449.15</v>
      </c>
      <c r="I74" s="157">
        <v>1435.24</v>
      </c>
      <c r="J74" s="157">
        <v>1377.5</v>
      </c>
      <c r="K74" s="157">
        <v>1467.59</v>
      </c>
      <c r="L74" s="157">
        <v>134.35</v>
      </c>
      <c r="M74" s="157">
        <v>142.13</v>
      </c>
      <c r="N74" s="157">
        <v>131.07</v>
      </c>
      <c r="O74" s="157">
        <v>131.6</v>
      </c>
      <c r="P74" s="157">
        <v>134.22999999999999</v>
      </c>
      <c r="Q74" s="157">
        <v>124.05</v>
      </c>
      <c r="R74" s="157">
        <v>127.57</v>
      </c>
      <c r="S74" s="157">
        <v>135.25</v>
      </c>
      <c r="T74" s="157">
        <v>131.69999999999999</v>
      </c>
      <c r="U74" s="157">
        <v>122.51</v>
      </c>
      <c r="V74" s="157">
        <v>130.78</v>
      </c>
      <c r="W74" s="157">
        <v>1807.62</v>
      </c>
      <c r="X74" s="157">
        <v>1784.9</v>
      </c>
      <c r="Y74" s="157">
        <v>1921.8</v>
      </c>
      <c r="Z74" s="157">
        <v>1719.11</v>
      </c>
      <c r="AA74" s="157">
        <v>1878.78</v>
      </c>
      <c r="AB74" s="157">
        <v>1796.69</v>
      </c>
      <c r="AC74" s="157">
        <v>1841.44</v>
      </c>
      <c r="AD74" s="157">
        <v>1642.45</v>
      </c>
      <c r="AE74" s="157">
        <v>1739.09</v>
      </c>
      <c r="AF74" s="157">
        <v>1961.08</v>
      </c>
      <c r="AG74" s="157">
        <v>1730.22</v>
      </c>
      <c r="AH74" s="158">
        <v>35674.159999999996</v>
      </c>
    </row>
    <row r="75" spans="1:34" ht="15" x14ac:dyDescent="0.25">
      <c r="A75" s="155">
        <v>71</v>
      </c>
      <c r="B75" s="156">
        <v>1573.88</v>
      </c>
      <c r="C75" s="157">
        <v>1596.23</v>
      </c>
      <c r="D75" s="157">
        <v>1601.26</v>
      </c>
      <c r="E75" s="157">
        <v>1536.65</v>
      </c>
      <c r="F75" s="157">
        <v>1623.3</v>
      </c>
      <c r="G75" s="157">
        <v>1523.83</v>
      </c>
      <c r="H75" s="157">
        <v>1579.91</v>
      </c>
      <c r="I75" s="157">
        <v>1562.2</v>
      </c>
      <c r="J75" s="157">
        <v>1498.81</v>
      </c>
      <c r="K75" s="157">
        <v>1598.23</v>
      </c>
      <c r="L75" s="157">
        <v>127.03</v>
      </c>
      <c r="M75" s="157">
        <v>134.35</v>
      </c>
      <c r="N75" s="157">
        <v>123.01</v>
      </c>
      <c r="O75" s="157">
        <v>123.48</v>
      </c>
      <c r="P75" s="157">
        <v>125.15</v>
      </c>
      <c r="Q75" s="157">
        <v>115.82</v>
      </c>
      <c r="R75" s="157">
        <v>119.03</v>
      </c>
      <c r="S75" s="157">
        <v>125.47</v>
      </c>
      <c r="T75" s="157">
        <v>121.6</v>
      </c>
      <c r="U75" s="157">
        <v>112.5</v>
      </c>
      <c r="V75" s="157">
        <v>118.82</v>
      </c>
      <c r="W75" s="157">
        <v>1977.08</v>
      </c>
      <c r="X75" s="157">
        <v>1957.5</v>
      </c>
      <c r="Y75" s="157">
        <v>2101.14</v>
      </c>
      <c r="Z75" s="157">
        <v>1877.83</v>
      </c>
      <c r="AA75" s="157">
        <v>2050.2199999999998</v>
      </c>
      <c r="AB75" s="157">
        <v>1974.32</v>
      </c>
      <c r="AC75" s="157">
        <v>2015.68</v>
      </c>
      <c r="AD75" s="157">
        <v>1804.31</v>
      </c>
      <c r="AE75" s="157">
        <v>1901.71</v>
      </c>
      <c r="AF75" s="157">
        <v>2161.9699999999998</v>
      </c>
      <c r="AG75" s="157">
        <v>1890.39</v>
      </c>
      <c r="AH75" s="158">
        <v>38752.71</v>
      </c>
    </row>
    <row r="76" spans="1:34" ht="15" x14ac:dyDescent="0.25">
      <c r="A76" s="155">
        <v>72</v>
      </c>
      <c r="B76" s="156">
        <v>1717.62</v>
      </c>
      <c r="C76" s="157">
        <v>1743.33</v>
      </c>
      <c r="D76" s="157">
        <v>1748.66</v>
      </c>
      <c r="E76" s="157">
        <v>1676.22</v>
      </c>
      <c r="F76" s="157">
        <v>1771.3</v>
      </c>
      <c r="G76" s="157">
        <v>1662.88</v>
      </c>
      <c r="H76" s="157">
        <v>1724.36</v>
      </c>
      <c r="I76" s="157">
        <v>1703.11</v>
      </c>
      <c r="J76" s="157">
        <v>1633.35</v>
      </c>
      <c r="K76" s="157">
        <v>1742.46</v>
      </c>
      <c r="L76" s="157">
        <v>120.56</v>
      </c>
      <c r="M76" s="157">
        <v>127.47</v>
      </c>
      <c r="N76" s="157">
        <v>115.97</v>
      </c>
      <c r="O76" s="157">
        <v>116.41</v>
      </c>
      <c r="P76" s="157">
        <v>117.2</v>
      </c>
      <c r="Q76" s="157">
        <v>108.61</v>
      </c>
      <c r="R76" s="157">
        <v>111.63</v>
      </c>
      <c r="S76" s="157">
        <v>117.07</v>
      </c>
      <c r="T76" s="157">
        <v>112.91</v>
      </c>
      <c r="U76" s="157">
        <v>103.87</v>
      </c>
      <c r="V76" s="157">
        <v>108.55</v>
      </c>
      <c r="W76" s="157">
        <v>2170.0500000000002</v>
      </c>
      <c r="X76" s="157">
        <v>2150.84</v>
      </c>
      <c r="Y76" s="157">
        <v>2306.36</v>
      </c>
      <c r="Z76" s="157">
        <v>2057.34</v>
      </c>
      <c r="AA76" s="157">
        <v>2245.48</v>
      </c>
      <c r="AB76" s="157">
        <v>2173.0100000000002</v>
      </c>
      <c r="AC76" s="157">
        <v>2211.89</v>
      </c>
      <c r="AD76" s="157">
        <v>1984.25</v>
      </c>
      <c r="AE76" s="157">
        <v>2086.48</v>
      </c>
      <c r="AF76" s="157">
        <v>2390.3000000000002</v>
      </c>
      <c r="AG76" s="157">
        <v>2073.54</v>
      </c>
      <c r="AH76" s="158">
        <v>42233.080000000009</v>
      </c>
    </row>
    <row r="77" spans="1:34" ht="15" x14ac:dyDescent="0.25">
      <c r="A77" s="155">
        <v>73</v>
      </c>
      <c r="B77" s="156">
        <v>1875.87</v>
      </c>
      <c r="C77" s="157">
        <v>1904.22</v>
      </c>
      <c r="D77" s="157">
        <v>1911.14</v>
      </c>
      <c r="E77" s="157">
        <v>1828.67</v>
      </c>
      <c r="F77" s="157">
        <v>1933.65</v>
      </c>
      <c r="G77" s="157">
        <v>1815.71</v>
      </c>
      <c r="H77" s="157">
        <v>1881.24</v>
      </c>
      <c r="I77" s="157">
        <v>1856.76</v>
      </c>
      <c r="J77" s="157">
        <v>1780.51</v>
      </c>
      <c r="K77" s="157">
        <v>1899.5</v>
      </c>
      <c r="L77" s="157">
        <v>114.7</v>
      </c>
      <c r="M77" s="157">
        <v>121.25</v>
      </c>
      <c r="N77" s="157">
        <v>109.68</v>
      </c>
      <c r="O77" s="157">
        <v>110.11</v>
      </c>
      <c r="P77" s="157">
        <v>110.13</v>
      </c>
      <c r="Q77" s="157">
        <v>102.16</v>
      </c>
      <c r="R77" s="157">
        <v>105.08</v>
      </c>
      <c r="S77" s="157">
        <v>109.71</v>
      </c>
      <c r="T77" s="157">
        <v>105.32</v>
      </c>
      <c r="U77" s="157">
        <v>96.34</v>
      </c>
      <c r="V77" s="157">
        <v>99.65</v>
      </c>
      <c r="W77" s="157">
        <v>2390.64</v>
      </c>
      <c r="X77" s="157">
        <v>2368.33</v>
      </c>
      <c r="Y77" s="157">
        <v>2541.59</v>
      </c>
      <c r="Z77" s="157">
        <v>2260.89</v>
      </c>
      <c r="AA77" s="157">
        <v>2467.7600000000002</v>
      </c>
      <c r="AB77" s="157">
        <v>2394.7600000000002</v>
      </c>
      <c r="AC77" s="157">
        <v>2433.91</v>
      </c>
      <c r="AD77" s="157">
        <v>2184.89</v>
      </c>
      <c r="AE77" s="157">
        <v>2296.63</v>
      </c>
      <c r="AF77" s="157">
        <v>2649.24</v>
      </c>
      <c r="AG77" s="157">
        <v>2282.21</v>
      </c>
      <c r="AH77" s="158">
        <v>46142.249999999993</v>
      </c>
    </row>
    <row r="78" spans="1:34" ht="15" x14ac:dyDescent="0.25">
      <c r="A78" s="155">
        <v>74</v>
      </c>
      <c r="B78" s="156">
        <v>2050.5100000000002</v>
      </c>
      <c r="C78" s="157">
        <v>2079.77</v>
      </c>
      <c r="D78" s="157">
        <v>2090.4899999999998</v>
      </c>
      <c r="E78" s="157">
        <v>1993.84</v>
      </c>
      <c r="F78" s="157">
        <v>2109.8000000000002</v>
      </c>
      <c r="G78" s="157">
        <v>1982.33</v>
      </c>
      <c r="H78" s="157">
        <v>2049.65</v>
      </c>
      <c r="I78" s="157">
        <v>2021.7</v>
      </c>
      <c r="J78" s="157">
        <v>1939.73</v>
      </c>
      <c r="K78" s="157">
        <v>2069.23</v>
      </c>
      <c r="L78" s="157">
        <v>109.3</v>
      </c>
      <c r="M78" s="157">
        <v>115.5</v>
      </c>
      <c r="N78" s="157">
        <v>103.94</v>
      </c>
      <c r="O78" s="157">
        <v>104.37</v>
      </c>
      <c r="P78" s="157">
        <v>103.73</v>
      </c>
      <c r="Q78" s="157">
        <v>96.3</v>
      </c>
      <c r="R78" s="157">
        <v>99.18</v>
      </c>
      <c r="S78" s="157">
        <v>103.14</v>
      </c>
      <c r="T78" s="157">
        <v>98.59</v>
      </c>
      <c r="U78" s="157">
        <v>89.68</v>
      </c>
      <c r="V78" s="157">
        <v>91.85</v>
      </c>
      <c r="W78" s="157">
        <v>2645.49</v>
      </c>
      <c r="X78" s="157">
        <v>2616.14</v>
      </c>
      <c r="Y78" s="157">
        <v>2813.63</v>
      </c>
      <c r="Z78" s="157">
        <v>2493.31</v>
      </c>
      <c r="AA78" s="157">
        <v>2722.07</v>
      </c>
      <c r="AB78" s="157">
        <v>2644.06</v>
      </c>
      <c r="AC78" s="157">
        <v>2688.31</v>
      </c>
      <c r="AD78" s="157">
        <v>2410.62</v>
      </c>
      <c r="AE78" s="157">
        <v>2536.12</v>
      </c>
      <c r="AF78" s="157">
        <v>2944.89</v>
      </c>
      <c r="AG78" s="157">
        <v>2520.8200000000002</v>
      </c>
      <c r="AH78" s="158">
        <v>50538.09</v>
      </c>
    </row>
    <row r="79" spans="1:34" ht="15" x14ac:dyDescent="0.25">
      <c r="A79" s="155">
        <v>75</v>
      </c>
      <c r="B79" s="156">
        <v>2249.7399999999998</v>
      </c>
      <c r="C79" s="157">
        <v>2276.9499999999998</v>
      </c>
      <c r="D79" s="157">
        <v>2294.94</v>
      </c>
      <c r="E79" s="157">
        <v>2176.84</v>
      </c>
      <c r="F79" s="157">
        <v>2303.9699999999998</v>
      </c>
      <c r="G79" s="157">
        <v>2167.2199999999998</v>
      </c>
      <c r="H79" s="157">
        <v>2233.9</v>
      </c>
      <c r="I79" s="157">
        <v>2200.0100000000002</v>
      </c>
      <c r="J79" s="157">
        <v>2113.75</v>
      </c>
      <c r="K79" s="157">
        <v>2256.19</v>
      </c>
      <c r="L79" s="157">
        <v>104.22</v>
      </c>
      <c r="M79" s="157">
        <v>110.11</v>
      </c>
      <c r="N79" s="157">
        <v>98.6</v>
      </c>
      <c r="O79" s="157">
        <v>99.04</v>
      </c>
      <c r="P79" s="157">
        <v>97.86</v>
      </c>
      <c r="Q79" s="157">
        <v>90.9</v>
      </c>
      <c r="R79" s="157">
        <v>93.78</v>
      </c>
      <c r="S79" s="157">
        <v>97.19</v>
      </c>
      <c r="T79" s="157">
        <v>92.52</v>
      </c>
      <c r="U79" s="157">
        <v>83.74</v>
      </c>
      <c r="V79" s="157">
        <v>84.94</v>
      </c>
      <c r="W79" s="157">
        <v>2948.9</v>
      </c>
      <c r="X79" s="157">
        <v>2908.64</v>
      </c>
      <c r="Y79" s="157">
        <v>3137.28</v>
      </c>
      <c r="Z79" s="157">
        <v>2765.38</v>
      </c>
      <c r="AA79" s="157">
        <v>3020.61</v>
      </c>
      <c r="AB79" s="157">
        <v>2933.21</v>
      </c>
      <c r="AC79" s="157">
        <v>2989.25</v>
      </c>
      <c r="AD79" s="157">
        <v>2670.82</v>
      </c>
      <c r="AE79" s="157">
        <v>2813.13</v>
      </c>
      <c r="AF79" s="157">
        <v>3292.2</v>
      </c>
      <c r="AG79" s="157">
        <v>2800.83</v>
      </c>
      <c r="AH79" s="158">
        <v>55606.659999999996</v>
      </c>
    </row>
    <row r="80" spans="1:34" ht="15" x14ac:dyDescent="0.25">
      <c r="A80" s="155">
        <v>76</v>
      </c>
      <c r="B80" s="156">
        <v>2496.4</v>
      </c>
      <c r="C80" s="157">
        <v>2517.9</v>
      </c>
      <c r="D80" s="157">
        <v>2547.81</v>
      </c>
      <c r="E80" s="157">
        <v>2397.23</v>
      </c>
      <c r="F80" s="157">
        <v>2535.2600000000002</v>
      </c>
      <c r="G80" s="157">
        <v>2388.65</v>
      </c>
      <c r="H80" s="157">
        <v>2453.9499999999998</v>
      </c>
      <c r="I80" s="157">
        <v>2405.56</v>
      </c>
      <c r="J80" s="157">
        <v>2316.27</v>
      </c>
      <c r="K80" s="157">
        <v>2477.6</v>
      </c>
      <c r="L80" s="157">
        <v>99.42</v>
      </c>
      <c r="M80" s="157">
        <v>104.99</v>
      </c>
      <c r="N80" s="157">
        <v>93.59</v>
      </c>
      <c r="O80" s="157">
        <v>94.03</v>
      </c>
      <c r="P80" s="157">
        <v>92.43</v>
      </c>
      <c r="Q80" s="157">
        <v>85.88</v>
      </c>
      <c r="R80" s="157">
        <v>88.76</v>
      </c>
      <c r="S80" s="157">
        <v>91.72</v>
      </c>
      <c r="T80" s="157">
        <v>87</v>
      </c>
      <c r="U80" s="157">
        <v>78.37</v>
      </c>
      <c r="V80" s="157">
        <v>78.760000000000005</v>
      </c>
      <c r="W80" s="157">
        <v>3331.3</v>
      </c>
      <c r="X80" s="157">
        <v>3276.9</v>
      </c>
      <c r="Y80" s="157">
        <v>3543.35</v>
      </c>
      <c r="Z80" s="157">
        <v>3101.41</v>
      </c>
      <c r="AA80" s="157">
        <v>3393.24</v>
      </c>
      <c r="AB80" s="157">
        <v>3291.47</v>
      </c>
      <c r="AC80" s="157">
        <v>3367.38</v>
      </c>
      <c r="AD80" s="157">
        <v>2987.49</v>
      </c>
      <c r="AE80" s="157">
        <v>3148.46</v>
      </c>
      <c r="AF80" s="157">
        <v>3724.33</v>
      </c>
      <c r="AG80" s="157">
        <v>3150.11</v>
      </c>
      <c r="AH80" s="158">
        <v>61847.01999999999</v>
      </c>
    </row>
    <row r="81" spans="1:34" ht="15" x14ac:dyDescent="0.25">
      <c r="A81" s="155">
        <v>77</v>
      </c>
      <c r="B81" s="156">
        <v>2836.37</v>
      </c>
      <c r="C81" s="157">
        <v>2846.21</v>
      </c>
      <c r="D81" s="157">
        <v>2891.37</v>
      </c>
      <c r="E81" s="157">
        <v>2699</v>
      </c>
      <c r="F81" s="157">
        <v>2850.11</v>
      </c>
      <c r="G81" s="157">
        <v>2687.84</v>
      </c>
      <c r="H81" s="157">
        <v>2757.92</v>
      </c>
      <c r="I81" s="157">
        <v>2676.58</v>
      </c>
      <c r="J81" s="157">
        <v>2583.9</v>
      </c>
      <c r="K81" s="157">
        <v>2772.18</v>
      </c>
      <c r="L81" s="157">
        <v>94.83</v>
      </c>
      <c r="M81" s="157">
        <v>100.09</v>
      </c>
      <c r="N81" s="157">
        <v>88.83</v>
      </c>
      <c r="O81" s="157">
        <v>89.26</v>
      </c>
      <c r="P81" s="157">
        <v>87.36</v>
      </c>
      <c r="Q81" s="157">
        <v>81.180000000000007</v>
      </c>
      <c r="R81" s="157">
        <v>84.05</v>
      </c>
      <c r="S81" s="157">
        <v>86.64</v>
      </c>
      <c r="T81" s="157">
        <v>81.93</v>
      </c>
      <c r="U81" s="157">
        <v>73.489999999999995</v>
      </c>
      <c r="V81" s="157">
        <v>73.19</v>
      </c>
      <c r="W81" s="157">
        <v>3835.22</v>
      </c>
      <c r="X81" s="157">
        <v>3760.32</v>
      </c>
      <c r="Y81" s="157">
        <v>4068.95</v>
      </c>
      <c r="Z81" s="157">
        <v>3540.75</v>
      </c>
      <c r="AA81" s="157">
        <v>3888.12</v>
      </c>
      <c r="AB81" s="157">
        <v>3761.28</v>
      </c>
      <c r="AC81" s="157">
        <v>3865.39</v>
      </c>
      <c r="AD81" s="157">
        <v>3403.05</v>
      </c>
      <c r="AE81" s="157">
        <v>3582.68</v>
      </c>
      <c r="AF81" s="157">
        <v>4285.21</v>
      </c>
      <c r="AG81" s="157">
        <v>3612.34</v>
      </c>
      <c r="AH81" s="158">
        <v>70145.640000000014</v>
      </c>
    </row>
    <row r="82" spans="1:34" ht="15" x14ac:dyDescent="0.25">
      <c r="A82" s="155">
        <v>78</v>
      </c>
      <c r="B82" s="156">
        <v>3284.65</v>
      </c>
      <c r="C82" s="157">
        <v>3270.48</v>
      </c>
      <c r="D82" s="157">
        <v>3326.65</v>
      </c>
      <c r="E82" s="157">
        <v>3101.26</v>
      </c>
      <c r="F82" s="157">
        <v>3271.81</v>
      </c>
      <c r="G82" s="157">
        <v>3081.04</v>
      </c>
      <c r="H82" s="157">
        <v>3170.55</v>
      </c>
      <c r="I82" s="157">
        <v>3056.17</v>
      </c>
      <c r="J82" s="157">
        <v>2957.35</v>
      </c>
      <c r="K82" s="157">
        <v>3169.88</v>
      </c>
      <c r="L82" s="157">
        <v>90.45</v>
      </c>
      <c r="M82" s="157">
        <v>95.39</v>
      </c>
      <c r="N82" s="157">
        <v>84.3</v>
      </c>
      <c r="O82" s="157">
        <v>84.72</v>
      </c>
      <c r="P82" s="157">
        <v>82.62</v>
      </c>
      <c r="Q82" s="157">
        <v>76.760000000000005</v>
      </c>
      <c r="R82" s="157">
        <v>79.62</v>
      </c>
      <c r="S82" s="157">
        <v>81.91</v>
      </c>
      <c r="T82" s="157">
        <v>77.23</v>
      </c>
      <c r="U82" s="157">
        <v>69.02</v>
      </c>
      <c r="V82" s="157">
        <v>68.14</v>
      </c>
      <c r="W82" s="157">
        <v>4421.1000000000004</v>
      </c>
      <c r="X82" s="157">
        <v>4311.8599999999997</v>
      </c>
      <c r="Y82" s="157">
        <v>4661.07</v>
      </c>
      <c r="Z82" s="157">
        <v>4071.82</v>
      </c>
      <c r="AA82" s="157">
        <v>4476.1899999999996</v>
      </c>
      <c r="AB82" s="157">
        <v>4306.2</v>
      </c>
      <c r="AC82" s="157">
        <v>4443.01</v>
      </c>
      <c r="AD82" s="157">
        <v>3923.79</v>
      </c>
      <c r="AE82" s="157">
        <v>4118.51</v>
      </c>
      <c r="AF82" s="157">
        <v>4923.68</v>
      </c>
      <c r="AG82" s="157">
        <v>4158.17</v>
      </c>
      <c r="AH82" s="158">
        <v>80395.39999999998</v>
      </c>
    </row>
    <row r="83" spans="1:34" ht="15" x14ac:dyDescent="0.25">
      <c r="A83" s="155">
        <v>79</v>
      </c>
      <c r="B83" s="156">
        <v>3733.65</v>
      </c>
      <c r="C83" s="157">
        <v>3679.51</v>
      </c>
      <c r="D83" s="157">
        <v>3733.41</v>
      </c>
      <c r="E83" s="157">
        <v>3507.29</v>
      </c>
      <c r="F83" s="157">
        <v>3701.67</v>
      </c>
      <c r="G83" s="157">
        <v>3474.99</v>
      </c>
      <c r="H83" s="157">
        <v>3594.37</v>
      </c>
      <c r="I83" s="157">
        <v>3485.7</v>
      </c>
      <c r="J83" s="157">
        <v>3378.97</v>
      </c>
      <c r="K83" s="157">
        <v>3589.06</v>
      </c>
      <c r="L83" s="157">
        <v>86.25</v>
      </c>
      <c r="M83" s="157">
        <v>90.88</v>
      </c>
      <c r="N83" s="157">
        <v>79.989999999999995</v>
      </c>
      <c r="O83" s="157">
        <v>80.38</v>
      </c>
      <c r="P83" s="157">
        <v>78.16</v>
      </c>
      <c r="Q83" s="157">
        <v>72.59</v>
      </c>
      <c r="R83" s="157">
        <v>75.44</v>
      </c>
      <c r="S83" s="157">
        <v>77.47</v>
      </c>
      <c r="T83" s="157">
        <v>72.87</v>
      </c>
      <c r="U83" s="157">
        <v>64.930000000000007</v>
      </c>
      <c r="V83" s="157">
        <v>63.5</v>
      </c>
      <c r="W83" s="157">
        <v>4923.01</v>
      </c>
      <c r="X83" s="157">
        <v>4763.4399999999996</v>
      </c>
      <c r="Y83" s="157">
        <v>5142.22</v>
      </c>
      <c r="Z83" s="157">
        <v>4551.6499999999996</v>
      </c>
      <c r="AA83" s="157">
        <v>4996.87</v>
      </c>
      <c r="AB83" s="157">
        <v>4768.05</v>
      </c>
      <c r="AC83" s="157">
        <v>4933.78</v>
      </c>
      <c r="AD83" s="157">
        <v>4428.54</v>
      </c>
      <c r="AE83" s="157">
        <v>4632.8500000000004</v>
      </c>
      <c r="AF83" s="157">
        <v>5449.16</v>
      </c>
      <c r="AG83" s="157">
        <v>4636.74</v>
      </c>
      <c r="AH83" s="158">
        <v>89947.390000000014</v>
      </c>
    </row>
    <row r="84" spans="1:34" ht="15" x14ac:dyDescent="0.25">
      <c r="A84" s="155">
        <v>80</v>
      </c>
      <c r="B84" s="156">
        <v>4016.3</v>
      </c>
      <c r="C84" s="157">
        <v>3908.14</v>
      </c>
      <c r="D84" s="157">
        <v>3942.78</v>
      </c>
      <c r="E84" s="157">
        <v>3761.12</v>
      </c>
      <c r="F84" s="157">
        <v>3976.54</v>
      </c>
      <c r="G84" s="157">
        <v>3720.55</v>
      </c>
      <c r="H84" s="157">
        <v>3868.96</v>
      </c>
      <c r="I84" s="157">
        <v>3816.38</v>
      </c>
      <c r="J84" s="157">
        <v>3704.94</v>
      </c>
      <c r="K84" s="157">
        <v>3866.06</v>
      </c>
      <c r="L84" s="157">
        <v>82.24</v>
      </c>
      <c r="M84" s="157">
        <v>86.57</v>
      </c>
      <c r="N84" s="157">
        <v>75.89</v>
      </c>
      <c r="O84" s="157">
        <v>76.239999999999995</v>
      </c>
      <c r="P84" s="157">
        <v>73.98</v>
      </c>
      <c r="Q84" s="157">
        <v>68.67</v>
      </c>
      <c r="R84" s="157">
        <v>71.48</v>
      </c>
      <c r="S84" s="157">
        <v>73.3</v>
      </c>
      <c r="T84" s="157">
        <v>68.81</v>
      </c>
      <c r="U84" s="157">
        <v>61.15</v>
      </c>
      <c r="V84" s="157">
        <v>59.23</v>
      </c>
      <c r="W84" s="157">
        <v>5138.2700000000004</v>
      </c>
      <c r="X84" s="157">
        <v>4919.21</v>
      </c>
      <c r="Y84" s="157">
        <v>5304.93</v>
      </c>
      <c r="Z84" s="157">
        <v>4785.42</v>
      </c>
      <c r="AA84" s="157">
        <v>5245.22</v>
      </c>
      <c r="AB84" s="157">
        <v>4954.04</v>
      </c>
      <c r="AC84" s="157">
        <v>5135.55</v>
      </c>
      <c r="AD84" s="157">
        <v>4734.33</v>
      </c>
      <c r="AE84" s="157">
        <v>4941.67</v>
      </c>
      <c r="AF84" s="157">
        <v>5636.04</v>
      </c>
      <c r="AG84" s="157">
        <v>4856.8999999999996</v>
      </c>
      <c r="AH84" s="158">
        <v>95030.909999999989</v>
      </c>
    </row>
    <row r="85" spans="1:34" ht="15" x14ac:dyDescent="0.25">
      <c r="A85" s="155">
        <v>81</v>
      </c>
      <c r="B85" s="156">
        <v>3977.66</v>
      </c>
      <c r="C85" s="157">
        <v>3812.2</v>
      </c>
      <c r="D85" s="157">
        <v>3814.94</v>
      </c>
      <c r="E85" s="157">
        <v>3717.1</v>
      </c>
      <c r="F85" s="157">
        <v>3941.27</v>
      </c>
      <c r="G85" s="157">
        <v>3677.04</v>
      </c>
      <c r="H85" s="157">
        <v>3841.99</v>
      </c>
      <c r="I85" s="157">
        <v>3889.56</v>
      </c>
      <c r="J85" s="157">
        <v>3782.1</v>
      </c>
      <c r="K85" s="157">
        <v>3846.64</v>
      </c>
      <c r="L85" s="157">
        <v>78.42</v>
      </c>
      <c r="M85" s="157">
        <v>82.45</v>
      </c>
      <c r="N85" s="157">
        <v>71.989999999999995</v>
      </c>
      <c r="O85" s="157">
        <v>72.3</v>
      </c>
      <c r="P85" s="157">
        <v>70.06</v>
      </c>
      <c r="Q85" s="157">
        <v>64.989999999999995</v>
      </c>
      <c r="R85" s="157">
        <v>67.739999999999995</v>
      </c>
      <c r="S85" s="157">
        <v>69.39</v>
      </c>
      <c r="T85" s="157">
        <v>65.02</v>
      </c>
      <c r="U85" s="157">
        <v>57.67</v>
      </c>
      <c r="V85" s="157">
        <v>55.26</v>
      </c>
      <c r="W85" s="157">
        <v>4906.92</v>
      </c>
      <c r="X85" s="157">
        <v>4636.72</v>
      </c>
      <c r="Y85" s="157">
        <v>4997.4399999999996</v>
      </c>
      <c r="Z85" s="157">
        <v>4614.21</v>
      </c>
      <c r="AA85" s="157">
        <v>5050.09</v>
      </c>
      <c r="AB85" s="157">
        <v>4713.43</v>
      </c>
      <c r="AC85" s="157">
        <v>4890.51</v>
      </c>
      <c r="AD85" s="157">
        <v>4671.93</v>
      </c>
      <c r="AE85" s="157">
        <v>4873.25</v>
      </c>
      <c r="AF85" s="157">
        <v>5318.6</v>
      </c>
      <c r="AG85" s="157">
        <v>4661.01</v>
      </c>
      <c r="AH85" s="158">
        <v>92389.89999999998</v>
      </c>
    </row>
    <row r="86" spans="1:34" ht="15" x14ac:dyDescent="0.25">
      <c r="A86" s="155">
        <v>82</v>
      </c>
      <c r="B86" s="156">
        <v>3552.2</v>
      </c>
      <c r="C86" s="157">
        <v>3345.36</v>
      </c>
      <c r="D86" s="157">
        <v>3315.02</v>
      </c>
      <c r="E86" s="157">
        <v>3313.81</v>
      </c>
      <c r="F86" s="157">
        <v>3526.6</v>
      </c>
      <c r="G86" s="157">
        <v>3282.9</v>
      </c>
      <c r="H86" s="157">
        <v>3444.12</v>
      </c>
      <c r="I86" s="157">
        <v>3603.96</v>
      </c>
      <c r="J86" s="157">
        <v>3511.33</v>
      </c>
      <c r="K86" s="157">
        <v>3458.22</v>
      </c>
      <c r="L86" s="157">
        <v>74.790000000000006</v>
      </c>
      <c r="M86" s="157">
        <v>78.52</v>
      </c>
      <c r="N86" s="157">
        <v>68.31</v>
      </c>
      <c r="O86" s="157">
        <v>68.569999999999993</v>
      </c>
      <c r="P86" s="157">
        <v>66.39</v>
      </c>
      <c r="Q86" s="157">
        <v>61.53</v>
      </c>
      <c r="R86" s="157">
        <v>64.209999999999994</v>
      </c>
      <c r="S86" s="157">
        <v>65.72</v>
      </c>
      <c r="T86" s="157">
        <v>61.49</v>
      </c>
      <c r="U86" s="157">
        <v>54.46</v>
      </c>
      <c r="V86" s="157">
        <v>51.54</v>
      </c>
      <c r="W86" s="157">
        <v>4209.88</v>
      </c>
      <c r="X86" s="157">
        <v>3918.55</v>
      </c>
      <c r="Y86" s="157">
        <v>4222.57</v>
      </c>
      <c r="Z86" s="157">
        <v>4003.6</v>
      </c>
      <c r="AA86" s="157">
        <v>4376.12</v>
      </c>
      <c r="AB86" s="157">
        <v>4030.74</v>
      </c>
      <c r="AC86" s="157">
        <v>4183.05</v>
      </c>
      <c r="AD86" s="157">
        <v>4170.7700000000004</v>
      </c>
      <c r="AE86" s="157">
        <v>4353.95</v>
      </c>
      <c r="AF86" s="157">
        <v>4497.99</v>
      </c>
      <c r="AG86" s="157">
        <v>4020.55</v>
      </c>
      <c r="AH86" s="158">
        <v>81056.819999999992</v>
      </c>
    </row>
    <row r="87" spans="1:34" ht="15" x14ac:dyDescent="0.25">
      <c r="A87" s="155">
        <v>83</v>
      </c>
      <c r="B87" s="156">
        <v>2822.74</v>
      </c>
      <c r="C87" s="157">
        <v>2608.34</v>
      </c>
      <c r="D87" s="157">
        <v>2556.4699999999998</v>
      </c>
      <c r="E87" s="157">
        <v>2629.1</v>
      </c>
      <c r="F87" s="157">
        <v>2809.55</v>
      </c>
      <c r="G87" s="157">
        <v>2611.04</v>
      </c>
      <c r="H87" s="157">
        <v>2748.4</v>
      </c>
      <c r="I87" s="157">
        <v>2985.2</v>
      </c>
      <c r="J87" s="157">
        <v>2915.03</v>
      </c>
      <c r="K87" s="157">
        <v>2767.15</v>
      </c>
      <c r="L87" s="157">
        <v>71.349999999999994</v>
      </c>
      <c r="M87" s="157">
        <v>74.81</v>
      </c>
      <c r="N87" s="157">
        <v>64.83</v>
      </c>
      <c r="O87" s="157">
        <v>65.040000000000006</v>
      </c>
      <c r="P87" s="157">
        <v>62.95</v>
      </c>
      <c r="Q87" s="157">
        <v>58.3</v>
      </c>
      <c r="R87" s="157">
        <v>60.9</v>
      </c>
      <c r="S87" s="157">
        <v>62.29</v>
      </c>
      <c r="T87" s="157">
        <v>58.21</v>
      </c>
      <c r="U87" s="157">
        <v>51.5</v>
      </c>
      <c r="V87" s="157">
        <v>48.04</v>
      </c>
      <c r="W87" s="157">
        <v>3217.46</v>
      </c>
      <c r="X87" s="157">
        <v>2947.83</v>
      </c>
      <c r="Y87" s="157">
        <v>3176.93</v>
      </c>
      <c r="Z87" s="157">
        <v>3091.36</v>
      </c>
      <c r="AA87" s="157">
        <v>3381.24</v>
      </c>
      <c r="AB87" s="157">
        <v>3071.37</v>
      </c>
      <c r="AC87" s="157">
        <v>3186.84</v>
      </c>
      <c r="AD87" s="157">
        <v>3324.28</v>
      </c>
      <c r="AE87" s="157">
        <v>3476.85</v>
      </c>
      <c r="AF87" s="157">
        <v>3384.25</v>
      </c>
      <c r="AG87" s="157">
        <v>3088.41</v>
      </c>
      <c r="AH87" s="158">
        <v>63478.06</v>
      </c>
    </row>
    <row r="88" spans="1:34" ht="15" x14ac:dyDescent="0.25">
      <c r="A88" s="155">
        <v>84</v>
      </c>
      <c r="B88" s="156">
        <v>2016.12</v>
      </c>
      <c r="C88" s="157">
        <v>1832.17</v>
      </c>
      <c r="D88" s="157">
        <v>1777.63</v>
      </c>
      <c r="E88" s="157">
        <v>1875.13</v>
      </c>
      <c r="F88" s="157">
        <v>2011.3</v>
      </c>
      <c r="G88" s="157">
        <v>1867.13</v>
      </c>
      <c r="H88" s="157">
        <v>1969.71</v>
      </c>
      <c r="I88" s="157">
        <v>2205.42</v>
      </c>
      <c r="J88" s="157">
        <v>2158.1999999999998</v>
      </c>
      <c r="K88" s="157">
        <v>1975.86</v>
      </c>
      <c r="L88" s="157">
        <v>68.11</v>
      </c>
      <c r="M88" s="157">
        <v>71.3</v>
      </c>
      <c r="N88" s="157">
        <v>61.58</v>
      </c>
      <c r="O88" s="157">
        <v>61.72</v>
      </c>
      <c r="P88" s="157">
        <v>59.76</v>
      </c>
      <c r="Q88" s="157">
        <v>55.28</v>
      </c>
      <c r="R88" s="157">
        <v>57.79</v>
      </c>
      <c r="S88" s="157">
        <v>59.09</v>
      </c>
      <c r="T88" s="157">
        <v>55.16</v>
      </c>
      <c r="U88" s="157">
        <v>48.77</v>
      </c>
      <c r="V88" s="157">
        <v>44.73</v>
      </c>
      <c r="W88" s="157">
        <v>2246.44</v>
      </c>
      <c r="X88" s="157">
        <v>2032.98</v>
      </c>
      <c r="Y88" s="157">
        <v>2192.06</v>
      </c>
      <c r="Z88" s="157">
        <v>2158.34</v>
      </c>
      <c r="AA88" s="157">
        <v>2382.89</v>
      </c>
      <c r="AB88" s="157">
        <v>2139.61</v>
      </c>
      <c r="AC88" s="157">
        <v>2219.46</v>
      </c>
      <c r="AD88" s="157">
        <v>2387.31</v>
      </c>
      <c r="AE88" s="157">
        <v>2502.37</v>
      </c>
      <c r="AF88" s="157">
        <v>2333.17</v>
      </c>
      <c r="AG88" s="157">
        <v>2163.5700000000002</v>
      </c>
      <c r="AH88" s="158">
        <v>45090.159999999996</v>
      </c>
    </row>
    <row r="89" spans="1:34" ht="15" x14ac:dyDescent="0.25">
      <c r="A89" s="155">
        <v>85</v>
      </c>
      <c r="B89" s="156">
        <v>1368.9</v>
      </c>
      <c r="C89" s="157">
        <v>1232.3</v>
      </c>
      <c r="D89" s="157">
        <v>1187.8699999999999</v>
      </c>
      <c r="E89" s="157">
        <v>1271.78</v>
      </c>
      <c r="F89" s="157">
        <v>1367.22</v>
      </c>
      <c r="G89" s="157">
        <v>1268.51</v>
      </c>
      <c r="H89" s="157">
        <v>1339.37</v>
      </c>
      <c r="I89" s="157">
        <v>1513.28</v>
      </c>
      <c r="J89" s="157">
        <v>1482.99</v>
      </c>
      <c r="K89" s="157">
        <v>1325.53</v>
      </c>
      <c r="L89" s="157">
        <v>65.069999999999993</v>
      </c>
      <c r="M89" s="157">
        <v>68.010000000000005</v>
      </c>
      <c r="N89" s="157">
        <v>58.54</v>
      </c>
      <c r="O89" s="157">
        <v>58.61</v>
      </c>
      <c r="P89" s="157">
        <v>56.79</v>
      </c>
      <c r="Q89" s="157">
        <v>52.47</v>
      </c>
      <c r="R89" s="157">
        <v>54.89</v>
      </c>
      <c r="S89" s="157">
        <v>56.11</v>
      </c>
      <c r="T89" s="157">
        <v>52.33</v>
      </c>
      <c r="U89" s="157">
        <v>46.27</v>
      </c>
      <c r="V89" s="157">
        <v>41.6</v>
      </c>
      <c r="W89" s="157">
        <v>1524.48</v>
      </c>
      <c r="X89" s="157">
        <v>1370.62</v>
      </c>
      <c r="Y89" s="157">
        <v>1479.21</v>
      </c>
      <c r="Z89" s="157">
        <v>1449.85</v>
      </c>
      <c r="AA89" s="157">
        <v>1626.96</v>
      </c>
      <c r="AB89" s="157">
        <v>1450.27</v>
      </c>
      <c r="AC89" s="157">
        <v>1504.2</v>
      </c>
      <c r="AD89" s="157">
        <v>1629.77</v>
      </c>
      <c r="AE89" s="157">
        <v>1710.71</v>
      </c>
      <c r="AF89" s="157">
        <v>1572.33</v>
      </c>
      <c r="AG89" s="157">
        <v>1469.96</v>
      </c>
      <c r="AH89" s="158">
        <v>30756.800000000003</v>
      </c>
    </row>
    <row r="90" spans="1:34" ht="15" x14ac:dyDescent="0.25">
      <c r="A90" s="155">
        <v>86</v>
      </c>
      <c r="B90" s="156">
        <v>931.62</v>
      </c>
      <c r="C90" s="157">
        <v>835.12</v>
      </c>
      <c r="D90" s="157">
        <v>801.98</v>
      </c>
      <c r="E90" s="157">
        <v>864.81</v>
      </c>
      <c r="F90" s="157">
        <v>930.81</v>
      </c>
      <c r="G90" s="157">
        <v>863.27</v>
      </c>
      <c r="H90" s="157">
        <v>911.84</v>
      </c>
      <c r="I90" s="157">
        <v>1025.3</v>
      </c>
      <c r="J90" s="157">
        <v>1005.59</v>
      </c>
      <c r="K90" s="157">
        <v>889.06</v>
      </c>
      <c r="L90" s="157">
        <v>62.23</v>
      </c>
      <c r="M90" s="157">
        <v>64.94</v>
      </c>
      <c r="N90" s="157">
        <v>55.71</v>
      </c>
      <c r="O90" s="157">
        <v>55.72</v>
      </c>
      <c r="P90" s="157">
        <v>54.03</v>
      </c>
      <c r="Q90" s="157">
        <v>49.88</v>
      </c>
      <c r="R90" s="157">
        <v>52.19</v>
      </c>
      <c r="S90" s="157">
        <v>53.35</v>
      </c>
      <c r="T90" s="157">
        <v>49.72</v>
      </c>
      <c r="U90" s="157">
        <v>43.97</v>
      </c>
      <c r="V90" s="157">
        <v>38.619999999999997</v>
      </c>
      <c r="W90" s="157">
        <v>1046.53</v>
      </c>
      <c r="X90" s="157">
        <v>937.67</v>
      </c>
      <c r="Y90" s="157">
        <v>1013.4</v>
      </c>
      <c r="Z90" s="157">
        <v>983.65</v>
      </c>
      <c r="AA90" s="157">
        <v>1121.23</v>
      </c>
      <c r="AB90" s="157">
        <v>994.89</v>
      </c>
      <c r="AC90" s="157">
        <v>1031.99</v>
      </c>
      <c r="AD90" s="157">
        <v>1113.69</v>
      </c>
      <c r="AE90" s="157">
        <v>1169.33</v>
      </c>
      <c r="AF90" s="157">
        <v>1075.3800000000001</v>
      </c>
      <c r="AG90" s="157">
        <v>1008.69</v>
      </c>
      <c r="AH90" s="158">
        <v>21136.21</v>
      </c>
    </row>
    <row r="91" spans="1:34" ht="15" x14ac:dyDescent="0.25">
      <c r="A91" s="155">
        <v>87</v>
      </c>
      <c r="B91" s="156">
        <v>648.33000000000004</v>
      </c>
      <c r="C91" s="157">
        <v>580.17999999999995</v>
      </c>
      <c r="D91" s="157">
        <v>555.88</v>
      </c>
      <c r="E91" s="157">
        <v>601.49</v>
      </c>
      <c r="F91" s="157">
        <v>647.67999999999995</v>
      </c>
      <c r="G91" s="157">
        <v>600.52</v>
      </c>
      <c r="H91" s="157">
        <v>634.5</v>
      </c>
      <c r="I91" s="157">
        <v>706.68</v>
      </c>
      <c r="J91" s="157">
        <v>693.39</v>
      </c>
      <c r="K91" s="157">
        <v>610.75</v>
      </c>
      <c r="L91" s="157">
        <v>59.59</v>
      </c>
      <c r="M91" s="157">
        <v>62.07</v>
      </c>
      <c r="N91" s="157">
        <v>53.09</v>
      </c>
      <c r="O91" s="157">
        <v>53.04</v>
      </c>
      <c r="P91" s="157">
        <v>51.49</v>
      </c>
      <c r="Q91" s="157">
        <v>47.48</v>
      </c>
      <c r="R91" s="157">
        <v>49.69</v>
      </c>
      <c r="S91" s="157">
        <v>50.8</v>
      </c>
      <c r="T91" s="157">
        <v>47.32</v>
      </c>
      <c r="U91" s="157">
        <v>41.86</v>
      </c>
      <c r="V91" s="157">
        <v>35.79</v>
      </c>
      <c r="W91" s="157">
        <v>736.72</v>
      </c>
      <c r="X91" s="157">
        <v>658.65</v>
      </c>
      <c r="Y91" s="157">
        <v>713.39</v>
      </c>
      <c r="Z91" s="157">
        <v>684.89</v>
      </c>
      <c r="AA91" s="157">
        <v>791.05</v>
      </c>
      <c r="AB91" s="157">
        <v>699.8</v>
      </c>
      <c r="AC91" s="157">
        <v>726.23</v>
      </c>
      <c r="AD91" s="157">
        <v>777.19</v>
      </c>
      <c r="AE91" s="157">
        <v>815.48</v>
      </c>
      <c r="AF91" s="157">
        <v>755.35</v>
      </c>
      <c r="AG91" s="157">
        <v>708.64</v>
      </c>
      <c r="AH91" s="158">
        <v>14899.009999999997</v>
      </c>
    </row>
    <row r="92" spans="1:34" ht="15" x14ac:dyDescent="0.25">
      <c r="A92" s="155">
        <v>88</v>
      </c>
      <c r="B92" s="156">
        <v>464.35</v>
      </c>
      <c r="C92" s="157">
        <v>415.34</v>
      </c>
      <c r="D92" s="157">
        <v>397.4</v>
      </c>
      <c r="E92" s="157">
        <v>430.67</v>
      </c>
      <c r="F92" s="157">
        <v>463.59</v>
      </c>
      <c r="G92" s="157">
        <v>429.88</v>
      </c>
      <c r="H92" s="157">
        <v>454.26</v>
      </c>
      <c r="I92" s="157">
        <v>500.38</v>
      </c>
      <c r="J92" s="157">
        <v>490.95</v>
      </c>
      <c r="K92" s="157">
        <v>432.81</v>
      </c>
      <c r="L92" s="157">
        <v>57.14</v>
      </c>
      <c r="M92" s="157">
        <v>59.41</v>
      </c>
      <c r="N92" s="157">
        <v>50.68</v>
      </c>
      <c r="O92" s="157">
        <v>50.56</v>
      </c>
      <c r="P92" s="157">
        <v>49.16</v>
      </c>
      <c r="Q92" s="157">
        <v>45.27</v>
      </c>
      <c r="R92" s="157">
        <v>47.39</v>
      </c>
      <c r="S92" s="157">
        <v>48.44</v>
      </c>
      <c r="T92" s="157">
        <v>45.11</v>
      </c>
      <c r="U92" s="157">
        <v>39.93</v>
      </c>
      <c r="V92" s="157">
        <v>33.11</v>
      </c>
      <c r="W92" s="157">
        <v>534.25</v>
      </c>
      <c r="X92" s="157">
        <v>476.77</v>
      </c>
      <c r="Y92" s="157">
        <v>517.98</v>
      </c>
      <c r="Z92" s="157">
        <v>491.84</v>
      </c>
      <c r="AA92" s="157">
        <v>574.15</v>
      </c>
      <c r="AB92" s="157">
        <v>506.84</v>
      </c>
      <c r="AC92" s="157">
        <v>526.45000000000005</v>
      </c>
      <c r="AD92" s="157">
        <v>557.63</v>
      </c>
      <c r="AE92" s="157">
        <v>584.32000000000005</v>
      </c>
      <c r="AF92" s="157">
        <v>546.9</v>
      </c>
      <c r="AG92" s="157">
        <v>511.95</v>
      </c>
      <c r="AH92" s="158">
        <v>10834.910000000002</v>
      </c>
    </row>
    <row r="93" spans="1:34" ht="15" x14ac:dyDescent="0.25">
      <c r="A93" s="155">
        <v>89</v>
      </c>
      <c r="B93" s="156">
        <v>342.83</v>
      </c>
      <c r="C93" s="157">
        <v>306.64</v>
      </c>
      <c r="D93" s="157">
        <v>293.19</v>
      </c>
      <c r="E93" s="157">
        <v>317.93</v>
      </c>
      <c r="F93" s="157">
        <v>341.83</v>
      </c>
      <c r="G93" s="157">
        <v>317.19</v>
      </c>
      <c r="H93" s="157">
        <v>335.1</v>
      </c>
      <c r="I93" s="157">
        <v>365.14</v>
      </c>
      <c r="J93" s="157">
        <v>358.07</v>
      </c>
      <c r="K93" s="157">
        <v>316.95999999999998</v>
      </c>
      <c r="L93" s="157">
        <v>54.88</v>
      </c>
      <c r="M93" s="157">
        <v>56.96</v>
      </c>
      <c r="N93" s="157">
        <v>48.46</v>
      </c>
      <c r="O93" s="157">
        <v>48.28</v>
      </c>
      <c r="P93" s="157">
        <v>47.01</v>
      </c>
      <c r="Q93" s="157">
        <v>43.24</v>
      </c>
      <c r="R93" s="157">
        <v>45.26</v>
      </c>
      <c r="S93" s="157">
        <v>46.28</v>
      </c>
      <c r="T93" s="157">
        <v>43.1</v>
      </c>
      <c r="U93" s="157">
        <v>38.18</v>
      </c>
      <c r="V93" s="157">
        <v>30.58</v>
      </c>
      <c r="W93" s="157">
        <v>399.29</v>
      </c>
      <c r="X93" s="157">
        <v>355.7</v>
      </c>
      <c r="Y93" s="157">
        <v>387.93</v>
      </c>
      <c r="Z93" s="157">
        <v>364.54</v>
      </c>
      <c r="AA93" s="157">
        <v>429.06</v>
      </c>
      <c r="AB93" s="157">
        <v>378.19</v>
      </c>
      <c r="AC93" s="157">
        <v>393.33</v>
      </c>
      <c r="AD93" s="157">
        <v>412.12</v>
      </c>
      <c r="AE93" s="157">
        <v>431.05</v>
      </c>
      <c r="AF93" s="157">
        <v>408.25</v>
      </c>
      <c r="AG93" s="157">
        <v>380.43</v>
      </c>
      <c r="AH93" s="158">
        <v>8137.0000000000009</v>
      </c>
    </row>
    <row r="94" spans="1:34" ht="15" x14ac:dyDescent="0.25">
      <c r="A94" s="155">
        <v>90</v>
      </c>
      <c r="B94" s="156">
        <v>260.70999999999998</v>
      </c>
      <c r="C94" s="157">
        <v>233.26</v>
      </c>
      <c r="D94" s="157">
        <v>222.98</v>
      </c>
      <c r="E94" s="157">
        <v>241.83</v>
      </c>
      <c r="F94" s="157">
        <v>259.45</v>
      </c>
      <c r="G94" s="157">
        <v>241.05</v>
      </c>
      <c r="H94" s="157">
        <v>254.53</v>
      </c>
      <c r="I94" s="157">
        <v>274.56</v>
      </c>
      <c r="J94" s="157">
        <v>269.02999999999997</v>
      </c>
      <c r="K94" s="157">
        <v>239.74</v>
      </c>
      <c r="L94" s="157">
        <v>52.8</v>
      </c>
      <c r="M94" s="157">
        <v>54.7</v>
      </c>
      <c r="N94" s="157">
        <v>46.43</v>
      </c>
      <c r="O94" s="157">
        <v>46.2</v>
      </c>
      <c r="P94" s="157">
        <v>45.05</v>
      </c>
      <c r="Q94" s="157">
        <v>41.39</v>
      </c>
      <c r="R94" s="157">
        <v>43.31</v>
      </c>
      <c r="S94" s="157">
        <v>44.3</v>
      </c>
      <c r="T94" s="157">
        <v>41.25</v>
      </c>
      <c r="U94" s="157">
        <v>36.590000000000003</v>
      </c>
      <c r="V94" s="157">
        <v>28.18</v>
      </c>
      <c r="W94" s="157">
        <v>307.12</v>
      </c>
      <c r="X94" s="157">
        <v>273.10000000000002</v>
      </c>
      <c r="Y94" s="157">
        <v>299.19</v>
      </c>
      <c r="Z94" s="157">
        <v>278.52</v>
      </c>
      <c r="AA94" s="157">
        <v>329.75</v>
      </c>
      <c r="AB94" s="157">
        <v>290.39</v>
      </c>
      <c r="AC94" s="157">
        <v>302.52</v>
      </c>
      <c r="AD94" s="157">
        <v>313.55</v>
      </c>
      <c r="AE94" s="157">
        <v>327.24</v>
      </c>
      <c r="AF94" s="157">
        <v>313.73</v>
      </c>
      <c r="AG94" s="157">
        <v>290</v>
      </c>
      <c r="AH94" s="158">
        <v>6302.4499999999989</v>
      </c>
    </row>
    <row r="95" spans="1:34" ht="15" x14ac:dyDescent="0.25">
      <c r="A95" s="155">
        <v>91</v>
      </c>
      <c r="B95" s="156">
        <v>203.89</v>
      </c>
      <c r="C95" s="157">
        <v>182.53</v>
      </c>
      <c r="D95" s="157">
        <v>174.53</v>
      </c>
      <c r="E95" s="157">
        <v>189.24</v>
      </c>
      <c r="F95" s="157">
        <v>202.38</v>
      </c>
      <c r="G95" s="157">
        <v>188.32</v>
      </c>
      <c r="H95" s="157">
        <v>198.75</v>
      </c>
      <c r="I95" s="157">
        <v>212.3</v>
      </c>
      <c r="J95" s="157">
        <v>207.93</v>
      </c>
      <c r="K95" s="157">
        <v>186.92</v>
      </c>
      <c r="L95" s="157">
        <v>50.9</v>
      </c>
      <c r="M95" s="157">
        <v>52.63</v>
      </c>
      <c r="N95" s="157">
        <v>44.58</v>
      </c>
      <c r="O95" s="157">
        <v>44.29</v>
      </c>
      <c r="P95" s="157">
        <v>43.26</v>
      </c>
      <c r="Q95" s="157">
        <v>39.700000000000003</v>
      </c>
      <c r="R95" s="157">
        <v>41.53</v>
      </c>
      <c r="S95" s="157">
        <v>42.5</v>
      </c>
      <c r="T95" s="157">
        <v>39.58</v>
      </c>
      <c r="U95" s="157">
        <v>35.14</v>
      </c>
      <c r="V95" s="157">
        <v>25.92</v>
      </c>
      <c r="W95" s="157">
        <v>242.56</v>
      </c>
      <c r="X95" s="157">
        <v>215.32</v>
      </c>
      <c r="Y95" s="157">
        <v>237.06</v>
      </c>
      <c r="Z95" s="157">
        <v>218.94</v>
      </c>
      <c r="AA95" s="157">
        <v>260.12</v>
      </c>
      <c r="AB95" s="157">
        <v>228.99</v>
      </c>
      <c r="AC95" s="157">
        <v>239.01</v>
      </c>
      <c r="AD95" s="157">
        <v>245.16</v>
      </c>
      <c r="AE95" s="157">
        <v>255.25</v>
      </c>
      <c r="AF95" s="157">
        <v>247.64</v>
      </c>
      <c r="AG95" s="157">
        <v>225.47</v>
      </c>
      <c r="AH95" s="158">
        <v>5022.3400000000011</v>
      </c>
    </row>
    <row r="96" spans="1:34" ht="15" x14ac:dyDescent="0.25">
      <c r="A96" s="155">
        <v>92</v>
      </c>
      <c r="B96" s="156">
        <v>163.66999999999999</v>
      </c>
      <c r="C96" s="157">
        <v>146.66</v>
      </c>
      <c r="D96" s="157">
        <v>140.30000000000001</v>
      </c>
      <c r="E96" s="157">
        <v>152.07</v>
      </c>
      <c r="F96" s="157">
        <v>161.91</v>
      </c>
      <c r="G96" s="157">
        <v>150.9</v>
      </c>
      <c r="H96" s="157">
        <v>159.28</v>
      </c>
      <c r="I96" s="157">
        <v>168.22</v>
      </c>
      <c r="J96" s="157">
        <v>164.88</v>
      </c>
      <c r="K96" s="157">
        <v>149.75</v>
      </c>
      <c r="L96" s="157">
        <v>49.15</v>
      </c>
      <c r="M96" s="157">
        <v>50.74</v>
      </c>
      <c r="N96" s="157">
        <v>42.9</v>
      </c>
      <c r="O96" s="157">
        <v>42.55</v>
      </c>
      <c r="P96" s="157">
        <v>41.63</v>
      </c>
      <c r="Q96" s="157">
        <v>38.17</v>
      </c>
      <c r="R96" s="157">
        <v>39.909999999999997</v>
      </c>
      <c r="S96" s="157">
        <v>40.85</v>
      </c>
      <c r="T96" s="157">
        <v>38.06</v>
      </c>
      <c r="U96" s="157">
        <v>33.840000000000003</v>
      </c>
      <c r="V96" s="157">
        <v>23.81</v>
      </c>
      <c r="W96" s="157">
        <v>196.19</v>
      </c>
      <c r="X96" s="157">
        <v>173.89</v>
      </c>
      <c r="Y96" s="157">
        <v>192.45</v>
      </c>
      <c r="Z96" s="157">
        <v>176.65</v>
      </c>
      <c r="AA96" s="157">
        <v>210.12</v>
      </c>
      <c r="AB96" s="157">
        <v>184.98</v>
      </c>
      <c r="AC96" s="157">
        <v>193.48</v>
      </c>
      <c r="AD96" s="157">
        <v>196.56</v>
      </c>
      <c r="AE96" s="157">
        <v>204.11</v>
      </c>
      <c r="AF96" s="157">
        <v>200.25</v>
      </c>
      <c r="AG96" s="157">
        <v>177.34</v>
      </c>
      <c r="AH96" s="158">
        <v>4105.2699999999995</v>
      </c>
    </row>
    <row r="97" spans="1:34" ht="15" x14ac:dyDescent="0.25">
      <c r="A97" s="155">
        <v>93</v>
      </c>
      <c r="B97" s="156">
        <v>134.63</v>
      </c>
      <c r="C97" s="157">
        <v>120.78</v>
      </c>
      <c r="D97" s="157">
        <v>115.57</v>
      </c>
      <c r="E97" s="157">
        <v>125.28</v>
      </c>
      <c r="F97" s="157">
        <v>132.56</v>
      </c>
      <c r="G97" s="157">
        <v>123.75</v>
      </c>
      <c r="H97" s="157">
        <v>130.78</v>
      </c>
      <c r="I97" s="157">
        <v>135.82</v>
      </c>
      <c r="J97" s="157">
        <v>133.63</v>
      </c>
      <c r="K97" s="157">
        <v>122.73</v>
      </c>
      <c r="L97" s="157">
        <v>47.57</v>
      </c>
      <c r="M97" s="157">
        <v>49.02</v>
      </c>
      <c r="N97" s="157">
        <v>41.37</v>
      </c>
      <c r="O97" s="157">
        <v>40.98</v>
      </c>
      <c r="P97" s="157">
        <v>40.15</v>
      </c>
      <c r="Q97" s="157">
        <v>36.770000000000003</v>
      </c>
      <c r="R97" s="157">
        <v>38.44</v>
      </c>
      <c r="S97" s="157">
        <v>39.36</v>
      </c>
      <c r="T97" s="157">
        <v>36.68</v>
      </c>
      <c r="U97" s="157">
        <v>32.67</v>
      </c>
      <c r="V97" s="157">
        <v>21.83</v>
      </c>
      <c r="W97" s="157">
        <v>162.09</v>
      </c>
      <c r="X97" s="157">
        <v>143.47999999999999</v>
      </c>
      <c r="Y97" s="157">
        <v>159.66</v>
      </c>
      <c r="Z97" s="157">
        <v>145.94</v>
      </c>
      <c r="AA97" s="157">
        <v>173.43</v>
      </c>
      <c r="AB97" s="157">
        <v>152.66</v>
      </c>
      <c r="AC97" s="157">
        <v>160.04</v>
      </c>
      <c r="AD97" s="157">
        <v>161.19</v>
      </c>
      <c r="AE97" s="157">
        <v>166.92</v>
      </c>
      <c r="AF97" s="157">
        <v>165.45</v>
      </c>
      <c r="AG97" s="157">
        <v>139.88</v>
      </c>
      <c r="AH97" s="158">
        <v>3431.1099999999992</v>
      </c>
    </row>
    <row r="98" spans="1:34" ht="15" x14ac:dyDescent="0.25">
      <c r="A98" s="155">
        <v>94</v>
      </c>
      <c r="B98" s="156">
        <v>113.24</v>
      </c>
      <c r="C98" s="157">
        <v>101.74</v>
      </c>
      <c r="D98" s="157">
        <v>97.3</v>
      </c>
      <c r="E98" s="157">
        <v>105.61</v>
      </c>
      <c r="F98" s="157">
        <v>110.82</v>
      </c>
      <c r="G98" s="157">
        <v>103.62</v>
      </c>
      <c r="H98" s="157">
        <v>109.81</v>
      </c>
      <c r="I98" s="157">
        <v>110.86</v>
      </c>
      <c r="J98" s="157">
        <v>110.07</v>
      </c>
      <c r="K98" s="157">
        <v>102.29</v>
      </c>
      <c r="L98" s="157">
        <v>46.12</v>
      </c>
      <c r="M98" s="157">
        <v>47.44</v>
      </c>
      <c r="N98" s="157">
        <v>39.99</v>
      </c>
      <c r="O98" s="157">
        <v>39.56</v>
      </c>
      <c r="P98" s="157">
        <v>38.81</v>
      </c>
      <c r="Q98" s="157">
        <v>35.51</v>
      </c>
      <c r="R98" s="157">
        <v>37.1</v>
      </c>
      <c r="S98" s="157">
        <v>38</v>
      </c>
      <c r="T98" s="157">
        <v>35.44</v>
      </c>
      <c r="U98" s="157">
        <v>31.61</v>
      </c>
      <c r="V98" s="157">
        <v>19.98</v>
      </c>
      <c r="W98" s="157">
        <v>136.44999999999999</v>
      </c>
      <c r="X98" s="157">
        <v>120.64</v>
      </c>
      <c r="Y98" s="157">
        <v>135.01</v>
      </c>
      <c r="Z98" s="157">
        <v>123.13</v>
      </c>
      <c r="AA98" s="157">
        <v>145.93</v>
      </c>
      <c r="AB98" s="157">
        <v>128.38</v>
      </c>
      <c r="AC98" s="157">
        <v>134.93</v>
      </c>
      <c r="AD98" s="157">
        <v>134.88</v>
      </c>
      <c r="AE98" s="157">
        <v>139.26</v>
      </c>
      <c r="AF98" s="157">
        <v>139.30000000000001</v>
      </c>
      <c r="AG98" s="157">
        <v>109.83</v>
      </c>
      <c r="AH98" s="158">
        <v>2922.66</v>
      </c>
    </row>
    <row r="99" spans="1:34" ht="15" x14ac:dyDescent="0.25">
      <c r="A99" s="155">
        <v>95</v>
      </c>
      <c r="B99" s="156">
        <v>97.21</v>
      </c>
      <c r="C99" s="157">
        <v>87.43</v>
      </c>
      <c r="D99" s="157">
        <v>83.49</v>
      </c>
      <c r="E99" s="157">
        <v>90.92</v>
      </c>
      <c r="F99" s="157">
        <v>94.37</v>
      </c>
      <c r="G99" s="157">
        <v>88.38</v>
      </c>
      <c r="H99" s="157">
        <v>94.13</v>
      </c>
      <c r="I99" s="157">
        <v>90.56</v>
      </c>
      <c r="J99" s="157">
        <v>91.45</v>
      </c>
      <c r="K99" s="157">
        <v>86.09</v>
      </c>
      <c r="L99" s="157">
        <v>44.82</v>
      </c>
      <c r="M99" s="157">
        <v>46.02</v>
      </c>
      <c r="N99" s="157">
        <v>38.74</v>
      </c>
      <c r="O99" s="157">
        <v>38.270000000000003</v>
      </c>
      <c r="P99" s="157">
        <v>37.590000000000003</v>
      </c>
      <c r="Q99" s="157">
        <v>34.369999999999997</v>
      </c>
      <c r="R99" s="157">
        <v>35.89</v>
      </c>
      <c r="S99" s="157">
        <v>36.78</v>
      </c>
      <c r="T99" s="157">
        <v>34.32</v>
      </c>
      <c r="U99" s="157">
        <v>30.66</v>
      </c>
      <c r="V99" s="157">
        <v>18.27</v>
      </c>
      <c r="W99" s="157">
        <v>116.79</v>
      </c>
      <c r="X99" s="157">
        <v>103.14</v>
      </c>
      <c r="Y99" s="157">
        <v>116.11</v>
      </c>
      <c r="Z99" s="157">
        <v>105.81</v>
      </c>
      <c r="AA99" s="157">
        <v>124.93</v>
      </c>
      <c r="AB99" s="157">
        <v>109.72</v>
      </c>
      <c r="AC99" s="157">
        <v>115.68</v>
      </c>
      <c r="AD99" s="157">
        <v>114.87</v>
      </c>
      <c r="AE99" s="157">
        <v>118.23</v>
      </c>
      <c r="AF99" s="157">
        <v>119.25</v>
      </c>
      <c r="AG99" s="157">
        <v>85.42</v>
      </c>
      <c r="AH99" s="158">
        <v>2529.71</v>
      </c>
    </row>
    <row r="100" spans="1:34" ht="15" x14ac:dyDescent="0.25">
      <c r="A100" s="155">
        <v>96</v>
      </c>
      <c r="B100" s="156">
        <v>84.94</v>
      </c>
      <c r="C100" s="157">
        <v>76.459999999999994</v>
      </c>
      <c r="D100" s="157">
        <v>72.790000000000006</v>
      </c>
      <c r="E100" s="157">
        <v>79.75</v>
      </c>
      <c r="F100" s="157">
        <v>81.67</v>
      </c>
      <c r="G100" s="157">
        <v>76.61</v>
      </c>
      <c r="H100" s="157">
        <v>82.18</v>
      </c>
      <c r="I100" s="157">
        <v>73.239999999999995</v>
      </c>
      <c r="J100" s="157">
        <v>75.989999999999995</v>
      </c>
      <c r="K100" s="157">
        <v>72.63</v>
      </c>
      <c r="L100" s="157">
        <v>43.63</v>
      </c>
      <c r="M100" s="157">
        <v>44.73</v>
      </c>
      <c r="N100" s="157">
        <v>37.61</v>
      </c>
      <c r="O100" s="157">
        <v>37.11</v>
      </c>
      <c r="P100" s="157">
        <v>36.5</v>
      </c>
      <c r="Q100" s="157">
        <v>33.35</v>
      </c>
      <c r="R100" s="157">
        <v>34.799999999999997</v>
      </c>
      <c r="S100" s="157">
        <v>35.67</v>
      </c>
      <c r="T100" s="157">
        <v>33.32</v>
      </c>
      <c r="U100" s="157">
        <v>29.81</v>
      </c>
      <c r="V100" s="157">
        <v>16.68</v>
      </c>
      <c r="W100" s="157">
        <v>101.44</v>
      </c>
      <c r="X100" s="157">
        <v>89.46</v>
      </c>
      <c r="Y100" s="157">
        <v>101.35</v>
      </c>
      <c r="Z100" s="157">
        <v>92.39</v>
      </c>
      <c r="AA100" s="157">
        <v>108.6</v>
      </c>
      <c r="AB100" s="157">
        <v>95.12</v>
      </c>
      <c r="AC100" s="157">
        <v>100.66</v>
      </c>
      <c r="AD100" s="157">
        <v>99.36</v>
      </c>
      <c r="AE100" s="157">
        <v>101.92</v>
      </c>
      <c r="AF100" s="157">
        <v>103.58</v>
      </c>
      <c r="AG100" s="157">
        <v>65.66</v>
      </c>
      <c r="AH100" s="158">
        <v>2219.0100000000002</v>
      </c>
    </row>
    <row r="101" spans="1:34" ht="15" x14ac:dyDescent="0.25">
      <c r="A101" s="155">
        <v>97</v>
      </c>
      <c r="B101" s="156">
        <v>75.34</v>
      </c>
      <c r="C101" s="157">
        <v>67.849999999999994</v>
      </c>
      <c r="D101" s="157">
        <v>64.31</v>
      </c>
      <c r="E101" s="157">
        <v>71.09</v>
      </c>
      <c r="F101" s="157">
        <v>71.67</v>
      </c>
      <c r="G101" s="157">
        <v>67.34</v>
      </c>
      <c r="H101" s="157">
        <v>72.900000000000006</v>
      </c>
      <c r="I101" s="157">
        <v>58.03</v>
      </c>
      <c r="J101" s="157">
        <v>62.63</v>
      </c>
      <c r="K101" s="157">
        <v>61</v>
      </c>
      <c r="L101" s="157">
        <v>42.56</v>
      </c>
      <c r="M101" s="157">
        <v>43.56</v>
      </c>
      <c r="N101" s="157">
        <v>36.6</v>
      </c>
      <c r="O101" s="157">
        <v>36.07</v>
      </c>
      <c r="P101" s="157">
        <v>35.51</v>
      </c>
      <c r="Q101" s="157">
        <v>32.42</v>
      </c>
      <c r="R101" s="157">
        <v>33.82</v>
      </c>
      <c r="S101" s="157">
        <v>34.68</v>
      </c>
      <c r="T101" s="157">
        <v>32.42</v>
      </c>
      <c r="U101" s="157">
        <v>29.06</v>
      </c>
      <c r="V101" s="157">
        <v>15.21</v>
      </c>
      <c r="W101" s="157">
        <v>89.27</v>
      </c>
      <c r="X101" s="157">
        <v>78.59</v>
      </c>
      <c r="Y101" s="157">
        <v>89.65</v>
      </c>
      <c r="Z101" s="157">
        <v>81.81</v>
      </c>
      <c r="AA101" s="157">
        <v>95.68</v>
      </c>
      <c r="AB101" s="157">
        <v>83.49</v>
      </c>
      <c r="AC101" s="157">
        <v>88.73</v>
      </c>
      <c r="AD101" s="157">
        <v>87.12</v>
      </c>
      <c r="AE101" s="157">
        <v>89.04</v>
      </c>
      <c r="AF101" s="157">
        <v>91.12</v>
      </c>
      <c r="AG101" s="157">
        <v>49.89</v>
      </c>
      <c r="AH101" s="158">
        <v>1968.4599999999998</v>
      </c>
    </row>
    <row r="102" spans="1:34" ht="15" x14ac:dyDescent="0.25">
      <c r="A102" s="155">
        <v>98</v>
      </c>
      <c r="B102" s="156">
        <v>67.67</v>
      </c>
      <c r="C102" s="157">
        <v>60.94</v>
      </c>
      <c r="D102" s="157">
        <v>57.45</v>
      </c>
      <c r="E102" s="157">
        <v>64.23</v>
      </c>
      <c r="F102" s="157">
        <v>63.65</v>
      </c>
      <c r="G102" s="157">
        <v>59.9</v>
      </c>
      <c r="H102" s="157">
        <v>65.55</v>
      </c>
      <c r="I102" s="157">
        <v>44.58</v>
      </c>
      <c r="J102" s="157">
        <v>50.83</v>
      </c>
      <c r="K102" s="157">
        <v>50.72</v>
      </c>
      <c r="L102" s="157">
        <v>41.6</v>
      </c>
      <c r="M102" s="157">
        <v>42.51</v>
      </c>
      <c r="N102" s="157">
        <v>35.69</v>
      </c>
      <c r="O102" s="157">
        <v>35.130000000000003</v>
      </c>
      <c r="P102" s="157">
        <v>34.619999999999997</v>
      </c>
      <c r="Q102" s="157">
        <v>31.59</v>
      </c>
      <c r="R102" s="157">
        <v>32.94</v>
      </c>
      <c r="S102" s="157">
        <v>33.78</v>
      </c>
      <c r="T102" s="157">
        <v>31.61</v>
      </c>
      <c r="U102" s="157">
        <v>28.39</v>
      </c>
      <c r="V102" s="157">
        <v>13.86</v>
      </c>
      <c r="W102" s="157">
        <v>79.489999999999995</v>
      </c>
      <c r="X102" s="157">
        <v>69.849999999999994</v>
      </c>
      <c r="Y102" s="157">
        <v>80.25</v>
      </c>
      <c r="Z102" s="157">
        <v>73.33</v>
      </c>
      <c r="AA102" s="157">
        <v>85.33</v>
      </c>
      <c r="AB102" s="157">
        <v>74.11</v>
      </c>
      <c r="AC102" s="157">
        <v>79.150000000000006</v>
      </c>
      <c r="AD102" s="157">
        <v>77.319999999999993</v>
      </c>
      <c r="AE102" s="157">
        <v>78.7</v>
      </c>
      <c r="AF102" s="157">
        <v>81.069999999999993</v>
      </c>
      <c r="AG102" s="157">
        <v>37.56</v>
      </c>
      <c r="AH102" s="158">
        <v>1763.3999999999994</v>
      </c>
    </row>
    <row r="103" spans="1:34" ht="15" x14ac:dyDescent="0.25">
      <c r="A103" s="155">
        <v>99</v>
      </c>
      <c r="B103" s="156">
        <v>61.4</v>
      </c>
      <c r="C103" s="157">
        <v>55.28</v>
      </c>
      <c r="D103" s="157">
        <v>51.81</v>
      </c>
      <c r="E103" s="157">
        <v>58.69</v>
      </c>
      <c r="F103" s="157">
        <v>57.14</v>
      </c>
      <c r="G103" s="157">
        <v>53.84</v>
      </c>
      <c r="H103" s="157">
        <v>59.6</v>
      </c>
      <c r="I103" s="157">
        <v>32.82</v>
      </c>
      <c r="J103" s="157">
        <v>40.369999999999997</v>
      </c>
      <c r="K103" s="157">
        <v>41.57</v>
      </c>
      <c r="L103" s="157">
        <v>40.729999999999997</v>
      </c>
      <c r="M103" s="157">
        <v>41.56</v>
      </c>
      <c r="N103" s="157">
        <v>34.880000000000003</v>
      </c>
      <c r="O103" s="157">
        <v>34.29</v>
      </c>
      <c r="P103" s="157">
        <v>33.83</v>
      </c>
      <c r="Q103" s="157">
        <v>30.85</v>
      </c>
      <c r="R103" s="157">
        <v>32.15</v>
      </c>
      <c r="S103" s="157">
        <v>32.979999999999997</v>
      </c>
      <c r="T103" s="157">
        <v>30.9</v>
      </c>
      <c r="U103" s="157">
        <v>27.79</v>
      </c>
      <c r="V103" s="157">
        <v>12.61</v>
      </c>
      <c r="W103" s="157">
        <v>71.56</v>
      </c>
      <c r="X103" s="157">
        <v>62.74</v>
      </c>
      <c r="Y103" s="157">
        <v>72.61</v>
      </c>
      <c r="Z103" s="157">
        <v>66.44</v>
      </c>
      <c r="AA103" s="157">
        <v>76.94</v>
      </c>
      <c r="AB103" s="157">
        <v>66.459999999999994</v>
      </c>
      <c r="AC103" s="157">
        <v>71.36</v>
      </c>
      <c r="AD103" s="157">
        <v>69.38</v>
      </c>
      <c r="AE103" s="157">
        <v>70.31</v>
      </c>
      <c r="AF103" s="157">
        <v>72.88</v>
      </c>
      <c r="AG103" s="157">
        <v>28.13</v>
      </c>
      <c r="AH103" s="158">
        <v>1593.9</v>
      </c>
    </row>
    <row r="104" spans="1:34" ht="15" x14ac:dyDescent="0.25">
      <c r="A104" s="155">
        <v>100</v>
      </c>
      <c r="B104" s="156">
        <v>56.21</v>
      </c>
      <c r="C104" s="157">
        <v>50.57</v>
      </c>
      <c r="D104" s="157">
        <v>47.12</v>
      </c>
      <c r="E104" s="157">
        <v>54.12</v>
      </c>
      <c r="F104" s="157">
        <v>51.79</v>
      </c>
      <c r="G104" s="157">
        <v>48.86</v>
      </c>
      <c r="H104" s="157">
        <v>54.69</v>
      </c>
      <c r="I104" s="157">
        <v>22.78</v>
      </c>
      <c r="J104" s="157">
        <v>31.18</v>
      </c>
      <c r="K104" s="157">
        <v>33.51</v>
      </c>
      <c r="L104" s="157">
        <v>39.96</v>
      </c>
      <c r="M104" s="157">
        <v>40.71</v>
      </c>
      <c r="N104" s="157">
        <v>34.15</v>
      </c>
      <c r="O104" s="157">
        <v>33.549999999999997</v>
      </c>
      <c r="P104" s="157">
        <v>33.119999999999997</v>
      </c>
      <c r="Q104" s="157">
        <v>30.18</v>
      </c>
      <c r="R104" s="157">
        <v>31.44</v>
      </c>
      <c r="S104" s="157">
        <v>32.26</v>
      </c>
      <c r="T104" s="157">
        <v>30.26</v>
      </c>
      <c r="U104" s="157">
        <v>27.26</v>
      </c>
      <c r="V104" s="157">
        <v>11.47</v>
      </c>
      <c r="W104" s="157">
        <v>65.069999999999993</v>
      </c>
      <c r="X104" s="157">
        <v>56.94</v>
      </c>
      <c r="Y104" s="157">
        <v>66.36</v>
      </c>
      <c r="Z104" s="157">
        <v>60.81</v>
      </c>
      <c r="AA104" s="157">
        <v>70.08</v>
      </c>
      <c r="AB104" s="157">
        <v>60.19</v>
      </c>
      <c r="AC104" s="157">
        <v>64.989999999999995</v>
      </c>
      <c r="AD104" s="157">
        <v>62.92</v>
      </c>
      <c r="AE104" s="157">
        <v>63.44</v>
      </c>
      <c r="AF104" s="157">
        <v>66.17</v>
      </c>
      <c r="AG104" s="157">
        <v>21.08</v>
      </c>
      <c r="AH104" s="158">
        <v>1453.2400000000002</v>
      </c>
    </row>
    <row r="105" spans="1:34" ht="15" x14ac:dyDescent="0.25">
      <c r="A105" s="155">
        <v>101</v>
      </c>
      <c r="B105" s="156">
        <v>51.85</v>
      </c>
      <c r="C105" s="157">
        <v>46.62</v>
      </c>
      <c r="D105" s="157">
        <v>43.21</v>
      </c>
      <c r="E105" s="157">
        <v>50.31</v>
      </c>
      <c r="F105" s="157">
        <v>47.37</v>
      </c>
      <c r="G105" s="157">
        <v>44.75</v>
      </c>
      <c r="H105" s="157">
        <v>50.6</v>
      </c>
      <c r="I105" s="157">
        <v>14.43</v>
      </c>
      <c r="J105" s="157">
        <v>23.28</v>
      </c>
      <c r="K105" s="157">
        <v>26.5</v>
      </c>
      <c r="L105" s="157">
        <v>39.26</v>
      </c>
      <c r="M105" s="157">
        <v>39.950000000000003</v>
      </c>
      <c r="N105" s="157">
        <v>33.5</v>
      </c>
      <c r="O105" s="157">
        <v>32.880000000000003</v>
      </c>
      <c r="P105" s="157">
        <v>32.479999999999997</v>
      </c>
      <c r="Q105" s="157">
        <v>29.59</v>
      </c>
      <c r="R105" s="157">
        <v>30.81</v>
      </c>
      <c r="S105" s="157">
        <v>31.62</v>
      </c>
      <c r="T105" s="157">
        <v>29.69</v>
      </c>
      <c r="U105" s="157">
        <v>26.8</v>
      </c>
      <c r="V105" s="157">
        <v>10.42</v>
      </c>
      <c r="W105" s="157">
        <v>59.74</v>
      </c>
      <c r="X105" s="157">
        <v>52.2</v>
      </c>
      <c r="Y105" s="157">
        <v>61.23</v>
      </c>
      <c r="Z105" s="157">
        <v>56.18</v>
      </c>
      <c r="AA105" s="157">
        <v>64.45</v>
      </c>
      <c r="AB105" s="157">
        <v>55.04</v>
      </c>
      <c r="AC105" s="157">
        <v>59.76</v>
      </c>
      <c r="AD105" s="157">
        <v>57.63</v>
      </c>
      <c r="AE105" s="157">
        <v>57.79</v>
      </c>
      <c r="AF105" s="157">
        <v>60.65</v>
      </c>
      <c r="AG105" s="157">
        <v>15.94</v>
      </c>
      <c r="AH105" s="158">
        <v>1336.5300000000002</v>
      </c>
    </row>
    <row r="106" spans="1:34" ht="15" x14ac:dyDescent="0.25">
      <c r="A106" s="155">
        <v>102</v>
      </c>
      <c r="B106" s="156">
        <v>48.17</v>
      </c>
      <c r="C106" s="157">
        <v>43.28</v>
      </c>
      <c r="D106" s="157">
        <v>39.94</v>
      </c>
      <c r="E106" s="157">
        <v>47.11</v>
      </c>
      <c r="F106" s="157">
        <v>43.72</v>
      </c>
      <c r="G106" s="157">
        <v>41.34</v>
      </c>
      <c r="H106" s="157">
        <v>47.14</v>
      </c>
      <c r="I106" s="157">
        <v>7.69</v>
      </c>
      <c r="J106" s="157">
        <v>16.62</v>
      </c>
      <c r="K106" s="157">
        <v>20.53</v>
      </c>
      <c r="L106" s="157">
        <v>38.64</v>
      </c>
      <c r="M106" s="157">
        <v>39.270000000000003</v>
      </c>
      <c r="N106" s="157">
        <v>32.93</v>
      </c>
      <c r="O106" s="157">
        <v>32.29</v>
      </c>
      <c r="P106" s="157">
        <v>31.91</v>
      </c>
      <c r="Q106" s="157">
        <v>29.06</v>
      </c>
      <c r="R106" s="157">
        <v>30.25</v>
      </c>
      <c r="S106" s="157">
        <v>31.05</v>
      </c>
      <c r="T106" s="157">
        <v>29.2</v>
      </c>
      <c r="U106" s="157">
        <v>26.39</v>
      </c>
      <c r="V106" s="157">
        <v>9.4700000000000006</v>
      </c>
      <c r="W106" s="157">
        <v>55.36</v>
      </c>
      <c r="X106" s="157">
        <v>48.32</v>
      </c>
      <c r="Y106" s="157">
        <v>57</v>
      </c>
      <c r="Z106" s="157">
        <v>52.36</v>
      </c>
      <c r="AA106" s="157">
        <v>59.83</v>
      </c>
      <c r="AB106" s="157">
        <v>50.8</v>
      </c>
      <c r="AC106" s="157">
        <v>55.45</v>
      </c>
      <c r="AD106" s="157">
        <v>53.3</v>
      </c>
      <c r="AE106" s="157">
        <v>53.15</v>
      </c>
      <c r="AF106" s="157">
        <v>56.12</v>
      </c>
      <c r="AG106" s="157">
        <v>12.29</v>
      </c>
      <c r="AH106" s="158">
        <v>1239.9799999999998</v>
      </c>
    </row>
    <row r="107" spans="1:34" ht="15" x14ac:dyDescent="0.25">
      <c r="A107" s="155">
        <v>103</v>
      </c>
      <c r="B107" s="156">
        <v>45.07</v>
      </c>
      <c r="C107" s="157">
        <v>40.46</v>
      </c>
      <c r="D107" s="157">
        <v>37.22</v>
      </c>
      <c r="E107" s="157">
        <v>44.4</v>
      </c>
      <c r="F107" s="157">
        <v>40.71</v>
      </c>
      <c r="G107" s="157">
        <v>38.53</v>
      </c>
      <c r="H107" s="157">
        <v>44.22</v>
      </c>
      <c r="I107" s="157">
        <v>2.39</v>
      </c>
      <c r="J107" s="157">
        <v>11.13</v>
      </c>
      <c r="K107" s="157">
        <v>15.54</v>
      </c>
      <c r="L107" s="157">
        <v>38.090000000000003</v>
      </c>
      <c r="M107" s="157">
        <v>38.659999999999997</v>
      </c>
      <c r="N107" s="157">
        <v>32.42</v>
      </c>
      <c r="O107" s="157">
        <v>31.76</v>
      </c>
      <c r="P107" s="157">
        <v>31.41</v>
      </c>
      <c r="Q107" s="157">
        <v>28.59</v>
      </c>
      <c r="R107" s="157">
        <v>29.75</v>
      </c>
      <c r="S107" s="157">
        <v>30.55</v>
      </c>
      <c r="T107" s="157">
        <v>28.76</v>
      </c>
      <c r="U107" s="157">
        <v>26.04</v>
      </c>
      <c r="V107" s="157">
        <v>8.59</v>
      </c>
      <c r="W107" s="157">
        <v>51.75</v>
      </c>
      <c r="X107" s="157">
        <v>45.16</v>
      </c>
      <c r="Y107" s="157">
        <v>53.52</v>
      </c>
      <c r="Z107" s="157">
        <v>49.23</v>
      </c>
      <c r="AA107" s="157">
        <v>56.03</v>
      </c>
      <c r="AB107" s="157">
        <v>47.33</v>
      </c>
      <c r="AC107" s="157">
        <v>51.92</v>
      </c>
      <c r="AD107" s="157">
        <v>49.76</v>
      </c>
      <c r="AE107" s="157">
        <v>49.35</v>
      </c>
      <c r="AF107" s="157">
        <v>52.4</v>
      </c>
      <c r="AG107" s="157">
        <v>9.77</v>
      </c>
      <c r="AH107" s="158">
        <v>1160.51</v>
      </c>
    </row>
    <row r="108" spans="1:34" ht="15" x14ac:dyDescent="0.25">
      <c r="A108" s="155">
        <v>104</v>
      </c>
      <c r="B108" s="156">
        <v>42.47</v>
      </c>
      <c r="C108" s="157">
        <v>38.090000000000003</v>
      </c>
      <c r="D108" s="157">
        <v>34.97</v>
      </c>
      <c r="E108" s="157">
        <v>42.12</v>
      </c>
      <c r="F108" s="157">
        <v>38.229999999999997</v>
      </c>
      <c r="G108" s="157">
        <v>36.22</v>
      </c>
      <c r="H108" s="157">
        <v>41.75</v>
      </c>
      <c r="I108" s="157">
        <v>-1.66</v>
      </c>
      <c r="J108" s="157">
        <v>6.71</v>
      </c>
      <c r="K108" s="157">
        <v>11.45</v>
      </c>
      <c r="L108" s="157">
        <v>37.61</v>
      </c>
      <c r="M108" s="157">
        <v>38.119999999999997</v>
      </c>
      <c r="N108" s="157">
        <v>31.96</v>
      </c>
      <c r="O108" s="157">
        <v>31.3</v>
      </c>
      <c r="P108" s="157">
        <v>30.96</v>
      </c>
      <c r="Q108" s="157">
        <v>28.17</v>
      </c>
      <c r="R108" s="157">
        <v>29.31</v>
      </c>
      <c r="S108" s="157">
        <v>30.1</v>
      </c>
      <c r="T108" s="157">
        <v>28.37</v>
      </c>
      <c r="U108" s="157">
        <v>25.73</v>
      </c>
      <c r="V108" s="157">
        <v>7.79</v>
      </c>
      <c r="W108" s="157">
        <v>48.8</v>
      </c>
      <c r="X108" s="157">
        <v>42.59</v>
      </c>
      <c r="Y108" s="157">
        <v>50.66</v>
      </c>
      <c r="Z108" s="157">
        <v>46.66</v>
      </c>
      <c r="AA108" s="157">
        <v>52.94</v>
      </c>
      <c r="AB108" s="157">
        <v>44.51</v>
      </c>
      <c r="AC108" s="157">
        <v>49.03</v>
      </c>
      <c r="AD108" s="157">
        <v>46.88</v>
      </c>
      <c r="AE108" s="157">
        <v>46.26</v>
      </c>
      <c r="AF108" s="157">
        <v>49.37</v>
      </c>
      <c r="AG108" s="157">
        <v>8.09</v>
      </c>
      <c r="AH108" s="158">
        <v>1095.5599999999997</v>
      </c>
    </row>
    <row r="109" spans="1:34" ht="15" x14ac:dyDescent="0.25">
      <c r="A109" s="155">
        <v>105</v>
      </c>
      <c r="B109" s="156">
        <v>40.299999999999997</v>
      </c>
      <c r="C109" s="157">
        <v>36.11</v>
      </c>
      <c r="D109" s="157">
        <v>33.119999999999997</v>
      </c>
      <c r="E109" s="157">
        <v>40.200000000000003</v>
      </c>
      <c r="F109" s="157">
        <v>36.21</v>
      </c>
      <c r="G109" s="157">
        <v>34.35</v>
      </c>
      <c r="H109" s="157">
        <v>39.659999999999997</v>
      </c>
      <c r="I109" s="157">
        <v>-4.67</v>
      </c>
      <c r="J109" s="157">
        <v>3.2</v>
      </c>
      <c r="K109" s="157">
        <v>8.14</v>
      </c>
      <c r="L109" s="157">
        <v>37.17</v>
      </c>
      <c r="M109" s="157">
        <v>37.64</v>
      </c>
      <c r="N109" s="157">
        <v>31.57</v>
      </c>
      <c r="O109" s="157">
        <v>30.9</v>
      </c>
      <c r="P109" s="157">
        <v>30.57</v>
      </c>
      <c r="Q109" s="157">
        <v>27.81</v>
      </c>
      <c r="R109" s="157">
        <v>28.92</v>
      </c>
      <c r="S109" s="157">
        <v>29.71</v>
      </c>
      <c r="T109" s="157">
        <v>28.04</v>
      </c>
      <c r="U109" s="157">
        <v>25.46</v>
      </c>
      <c r="V109" s="157">
        <v>7.07</v>
      </c>
      <c r="W109" s="157">
        <v>46.39</v>
      </c>
      <c r="X109" s="157">
        <v>40.53</v>
      </c>
      <c r="Y109" s="157">
        <v>48.33</v>
      </c>
      <c r="Z109" s="157">
        <v>44.57</v>
      </c>
      <c r="AA109" s="157">
        <v>50.42</v>
      </c>
      <c r="AB109" s="157">
        <v>42.22</v>
      </c>
      <c r="AC109" s="157">
        <v>46.67</v>
      </c>
      <c r="AD109" s="157">
        <v>44.56</v>
      </c>
      <c r="AE109" s="157">
        <v>43.76</v>
      </c>
      <c r="AF109" s="157">
        <v>46.91</v>
      </c>
      <c r="AG109" s="157">
        <v>7.03</v>
      </c>
      <c r="AH109" s="158">
        <v>1042.8700000000001</v>
      </c>
    </row>
    <row r="110" spans="1:34" ht="15" x14ac:dyDescent="0.25">
      <c r="A110" s="155">
        <v>106</v>
      </c>
      <c r="B110" s="156">
        <v>38.49</v>
      </c>
      <c r="C110" s="157">
        <v>34.47</v>
      </c>
      <c r="D110" s="157">
        <v>31.62</v>
      </c>
      <c r="E110" s="157">
        <v>38.6</v>
      </c>
      <c r="F110" s="157">
        <v>34.57</v>
      </c>
      <c r="G110" s="157">
        <v>32.85</v>
      </c>
      <c r="H110" s="157">
        <v>37.92</v>
      </c>
      <c r="I110" s="157">
        <v>-6.85</v>
      </c>
      <c r="J110" s="157">
        <v>0.49</v>
      </c>
      <c r="K110" s="157">
        <v>5.52</v>
      </c>
      <c r="L110" s="157">
        <v>36.799999999999997</v>
      </c>
      <c r="M110" s="157">
        <v>37.22</v>
      </c>
      <c r="N110" s="157">
        <v>31.22</v>
      </c>
      <c r="O110" s="157">
        <v>30.54</v>
      </c>
      <c r="P110" s="157">
        <v>30.22</v>
      </c>
      <c r="Q110" s="157">
        <v>27.49</v>
      </c>
      <c r="R110" s="157">
        <v>28.59</v>
      </c>
      <c r="S110" s="157">
        <v>29.36</v>
      </c>
      <c r="T110" s="157">
        <v>27.75</v>
      </c>
      <c r="U110" s="157">
        <v>25.24</v>
      </c>
      <c r="V110" s="157">
        <v>6.41</v>
      </c>
      <c r="W110" s="157">
        <v>44.44</v>
      </c>
      <c r="X110" s="157">
        <v>38.880000000000003</v>
      </c>
      <c r="Y110" s="157">
        <v>46.43</v>
      </c>
      <c r="Z110" s="157">
        <v>42.89</v>
      </c>
      <c r="AA110" s="157">
        <v>48.4</v>
      </c>
      <c r="AB110" s="157">
        <v>40.380000000000003</v>
      </c>
      <c r="AC110" s="157">
        <v>44.77</v>
      </c>
      <c r="AD110" s="157">
        <v>42.7</v>
      </c>
      <c r="AE110" s="157">
        <v>41.75</v>
      </c>
      <c r="AF110" s="157">
        <v>44.95</v>
      </c>
      <c r="AG110" s="157">
        <v>6.43</v>
      </c>
      <c r="AH110" s="158">
        <v>1000.54</v>
      </c>
    </row>
    <row r="111" spans="1:34" ht="15" x14ac:dyDescent="0.25">
      <c r="A111" s="155">
        <v>107</v>
      </c>
      <c r="B111" s="156">
        <v>37.020000000000003</v>
      </c>
      <c r="C111" s="157">
        <v>33.130000000000003</v>
      </c>
      <c r="D111" s="157">
        <v>30.42</v>
      </c>
      <c r="E111" s="157">
        <v>37.270000000000003</v>
      </c>
      <c r="F111" s="157">
        <v>33.270000000000003</v>
      </c>
      <c r="G111" s="157">
        <v>31.66</v>
      </c>
      <c r="H111" s="157">
        <v>36.47</v>
      </c>
      <c r="I111" s="157">
        <v>-8.3699999999999992</v>
      </c>
      <c r="J111" s="157">
        <v>-1.58</v>
      </c>
      <c r="K111" s="157">
        <v>3.48</v>
      </c>
      <c r="L111" s="157">
        <v>36.47</v>
      </c>
      <c r="M111" s="157">
        <v>36.85</v>
      </c>
      <c r="N111" s="157">
        <v>30.92</v>
      </c>
      <c r="O111" s="157">
        <v>30.23</v>
      </c>
      <c r="P111" s="157">
        <v>29.92</v>
      </c>
      <c r="Q111" s="157">
        <v>27.21</v>
      </c>
      <c r="R111" s="157">
        <v>28.29</v>
      </c>
      <c r="S111" s="157">
        <v>29.06</v>
      </c>
      <c r="T111" s="157">
        <v>27.51</v>
      </c>
      <c r="U111" s="157">
        <v>25.05</v>
      </c>
      <c r="V111" s="157">
        <v>5.82</v>
      </c>
      <c r="W111" s="157">
        <v>42.87</v>
      </c>
      <c r="X111" s="157">
        <v>37.590000000000003</v>
      </c>
      <c r="Y111" s="157">
        <v>44.91</v>
      </c>
      <c r="Z111" s="157">
        <v>41.55</v>
      </c>
      <c r="AA111" s="157">
        <v>46.78</v>
      </c>
      <c r="AB111" s="157">
        <v>38.93</v>
      </c>
      <c r="AC111" s="157">
        <v>43.26</v>
      </c>
      <c r="AD111" s="157">
        <v>41.22</v>
      </c>
      <c r="AE111" s="157">
        <v>40.17</v>
      </c>
      <c r="AF111" s="157">
        <v>43.4</v>
      </c>
      <c r="AG111" s="157">
        <v>6.17</v>
      </c>
      <c r="AH111" s="158">
        <v>966.94999999999993</v>
      </c>
    </row>
    <row r="112" spans="1:34" ht="15" x14ac:dyDescent="0.25">
      <c r="A112" s="155">
        <v>108</v>
      </c>
      <c r="B112" s="156">
        <v>35.82</v>
      </c>
      <c r="C112" s="157">
        <v>32.04</v>
      </c>
      <c r="D112" s="157">
        <v>29.46</v>
      </c>
      <c r="E112" s="157">
        <v>36.19</v>
      </c>
      <c r="F112" s="157">
        <v>32.24</v>
      </c>
      <c r="G112" s="157">
        <v>30.74</v>
      </c>
      <c r="H112" s="157">
        <v>35.28</v>
      </c>
      <c r="I112" s="157">
        <v>-9.3800000000000008</v>
      </c>
      <c r="J112" s="157">
        <v>-3.12</v>
      </c>
      <c r="K112" s="157">
        <v>1.91</v>
      </c>
      <c r="L112" s="157">
        <v>36.18</v>
      </c>
      <c r="M112" s="157">
        <v>36.53</v>
      </c>
      <c r="N112" s="157">
        <v>30.66</v>
      </c>
      <c r="O112" s="157">
        <v>29.97</v>
      </c>
      <c r="P112" s="157">
        <v>29.67</v>
      </c>
      <c r="Q112" s="157">
        <v>26.97</v>
      </c>
      <c r="R112" s="157">
        <v>28.04</v>
      </c>
      <c r="S112" s="157">
        <v>28.81</v>
      </c>
      <c r="T112" s="157">
        <v>27.3</v>
      </c>
      <c r="U112" s="157">
        <v>24.9</v>
      </c>
      <c r="V112" s="157">
        <v>5.28</v>
      </c>
      <c r="W112" s="157">
        <v>41.64</v>
      </c>
      <c r="X112" s="157">
        <v>36.590000000000003</v>
      </c>
      <c r="Y112" s="157">
        <v>43.71</v>
      </c>
      <c r="Z112" s="157">
        <v>40.5</v>
      </c>
      <c r="AA112" s="157">
        <v>45.52</v>
      </c>
      <c r="AB112" s="157">
        <v>37.799999999999997</v>
      </c>
      <c r="AC112" s="157">
        <v>42.07</v>
      </c>
      <c r="AD112" s="157">
        <v>40.07</v>
      </c>
      <c r="AE112" s="157">
        <v>38.94</v>
      </c>
      <c r="AF112" s="157">
        <v>42.19</v>
      </c>
      <c r="AG112" s="157">
        <v>6.15</v>
      </c>
      <c r="AH112" s="158">
        <v>940.67000000000019</v>
      </c>
    </row>
    <row r="113" spans="1:34" ht="15" x14ac:dyDescent="0.25">
      <c r="A113" s="155">
        <v>109</v>
      </c>
      <c r="B113" s="156">
        <v>34.869999999999997</v>
      </c>
      <c r="C113" s="157">
        <v>31.18</v>
      </c>
      <c r="D113" s="157">
        <v>28.73</v>
      </c>
      <c r="E113" s="157">
        <v>35.32</v>
      </c>
      <c r="F113" s="157">
        <v>31.46</v>
      </c>
      <c r="G113" s="157">
        <v>30.05</v>
      </c>
      <c r="H113" s="157">
        <v>34.31</v>
      </c>
      <c r="I113" s="157">
        <v>-9.99</v>
      </c>
      <c r="J113" s="157">
        <v>-4.24</v>
      </c>
      <c r="K113" s="157">
        <v>0.73</v>
      </c>
      <c r="L113" s="157">
        <v>35.94</v>
      </c>
      <c r="M113" s="157">
        <v>36.25</v>
      </c>
      <c r="N113" s="157">
        <v>30.44</v>
      </c>
      <c r="O113" s="157">
        <v>29.75</v>
      </c>
      <c r="P113" s="157">
        <v>29.45</v>
      </c>
      <c r="Q113" s="157">
        <v>26.77</v>
      </c>
      <c r="R113" s="157">
        <v>27.83</v>
      </c>
      <c r="S113" s="157">
        <v>28.59</v>
      </c>
      <c r="T113" s="157">
        <v>27.13</v>
      </c>
      <c r="U113" s="157">
        <v>24.78</v>
      </c>
      <c r="V113" s="157">
        <v>4.79</v>
      </c>
      <c r="W113" s="157">
        <v>40.68</v>
      </c>
      <c r="X113" s="157">
        <v>35.85</v>
      </c>
      <c r="Y113" s="157">
        <v>42.78</v>
      </c>
      <c r="Z113" s="157">
        <v>39.700000000000003</v>
      </c>
      <c r="AA113" s="157">
        <v>44.56</v>
      </c>
      <c r="AB113" s="157">
        <v>36.950000000000003</v>
      </c>
      <c r="AC113" s="157">
        <v>41.15</v>
      </c>
      <c r="AD113" s="157">
        <v>39.200000000000003</v>
      </c>
      <c r="AE113" s="157">
        <v>38.01</v>
      </c>
      <c r="AF113" s="157">
        <v>41.29</v>
      </c>
      <c r="AG113" s="157">
        <v>6.3</v>
      </c>
      <c r="AH113" s="158">
        <v>920.60999999999979</v>
      </c>
    </row>
    <row r="114" spans="1:34" ht="15" x14ac:dyDescent="0.25">
      <c r="A114" s="155">
        <v>110</v>
      </c>
      <c r="B114" s="156">
        <v>34.14</v>
      </c>
      <c r="C114" s="157">
        <v>30.51</v>
      </c>
      <c r="D114" s="157">
        <v>28.19</v>
      </c>
      <c r="E114" s="157">
        <v>34.630000000000003</v>
      </c>
      <c r="F114" s="157">
        <v>30.88</v>
      </c>
      <c r="G114" s="157">
        <v>29.56</v>
      </c>
      <c r="H114" s="157">
        <v>33.549999999999997</v>
      </c>
      <c r="I114" s="157">
        <v>-10.29</v>
      </c>
      <c r="J114" s="157">
        <v>-5.01</v>
      </c>
      <c r="K114" s="157">
        <v>-0.12</v>
      </c>
      <c r="L114" s="157">
        <v>35.729999999999997</v>
      </c>
      <c r="M114" s="157">
        <v>36.01</v>
      </c>
      <c r="N114" s="157">
        <v>30.26</v>
      </c>
      <c r="O114" s="157">
        <v>29.56</v>
      </c>
      <c r="P114" s="157">
        <v>29.26</v>
      </c>
      <c r="Q114" s="157">
        <v>26.6</v>
      </c>
      <c r="R114" s="157">
        <v>27.65</v>
      </c>
      <c r="S114" s="157">
        <v>28.41</v>
      </c>
      <c r="T114" s="157">
        <v>26.99</v>
      </c>
      <c r="U114" s="157">
        <v>24.68</v>
      </c>
      <c r="V114" s="157">
        <v>4.3600000000000003</v>
      </c>
      <c r="W114" s="157">
        <v>39.97</v>
      </c>
      <c r="X114" s="157">
        <v>35.32</v>
      </c>
      <c r="Y114" s="157">
        <v>42.09</v>
      </c>
      <c r="Z114" s="157">
        <v>39.119999999999997</v>
      </c>
      <c r="AA114" s="157">
        <v>43.85</v>
      </c>
      <c r="AB114" s="157">
        <v>36.340000000000003</v>
      </c>
      <c r="AC114" s="157">
        <v>40.479999999999997</v>
      </c>
      <c r="AD114" s="157">
        <v>38.57</v>
      </c>
      <c r="AE114" s="157">
        <v>37.340000000000003</v>
      </c>
      <c r="AF114" s="157">
        <v>40.630000000000003</v>
      </c>
      <c r="AG114" s="157">
        <v>6.6</v>
      </c>
      <c r="AH114" s="158">
        <v>905.86000000000024</v>
      </c>
    </row>
    <row r="115" spans="1:34" ht="15" x14ac:dyDescent="0.25">
      <c r="A115" s="155">
        <v>111</v>
      </c>
      <c r="B115" s="156">
        <v>33.590000000000003</v>
      </c>
      <c r="C115" s="157">
        <v>30.02</v>
      </c>
      <c r="D115" s="157">
        <v>27.8</v>
      </c>
      <c r="E115" s="157">
        <v>34.119999999999997</v>
      </c>
      <c r="F115" s="157">
        <v>30.47</v>
      </c>
      <c r="G115" s="157">
        <v>29.23</v>
      </c>
      <c r="H115" s="157">
        <v>32.97</v>
      </c>
      <c r="I115" s="157">
        <v>-10.36</v>
      </c>
      <c r="J115" s="157">
        <v>-5.5</v>
      </c>
      <c r="K115" s="157">
        <v>-0.71</v>
      </c>
      <c r="L115" s="157">
        <v>35.56</v>
      </c>
      <c r="M115" s="157">
        <v>35.82</v>
      </c>
      <c r="N115" s="157">
        <v>30.11</v>
      </c>
      <c r="O115" s="157">
        <v>29.41</v>
      </c>
      <c r="P115" s="157">
        <v>29.11</v>
      </c>
      <c r="Q115" s="157">
        <v>26.46</v>
      </c>
      <c r="R115" s="157">
        <v>27.5</v>
      </c>
      <c r="S115" s="157">
        <v>28.26</v>
      </c>
      <c r="T115" s="157">
        <v>26.88</v>
      </c>
      <c r="U115" s="157">
        <v>24.61</v>
      </c>
      <c r="V115" s="157">
        <v>3.97</v>
      </c>
      <c r="W115" s="157">
        <v>39.47</v>
      </c>
      <c r="X115" s="157">
        <v>34.979999999999997</v>
      </c>
      <c r="Y115" s="157">
        <v>41.6</v>
      </c>
      <c r="Z115" s="157">
        <v>38.729999999999997</v>
      </c>
      <c r="AA115" s="157">
        <v>43.37</v>
      </c>
      <c r="AB115" s="157">
        <v>35.92</v>
      </c>
      <c r="AC115" s="157">
        <v>40.01</v>
      </c>
      <c r="AD115" s="157">
        <v>38.14</v>
      </c>
      <c r="AE115" s="157">
        <v>36.880000000000003</v>
      </c>
      <c r="AF115" s="157">
        <v>40.200000000000003</v>
      </c>
      <c r="AG115" s="157">
        <v>7</v>
      </c>
      <c r="AH115" s="158">
        <v>895.62000000000012</v>
      </c>
    </row>
    <row r="116" spans="1:34" ht="15" x14ac:dyDescent="0.25">
      <c r="A116" s="155">
        <v>112</v>
      </c>
      <c r="B116" s="156">
        <v>33.21</v>
      </c>
      <c r="C116" s="157">
        <v>29.67</v>
      </c>
      <c r="D116" s="157">
        <v>27.57</v>
      </c>
      <c r="E116" s="157">
        <v>33.75</v>
      </c>
      <c r="F116" s="157">
        <v>30.22</v>
      </c>
      <c r="G116" s="157">
        <v>29.05</v>
      </c>
      <c r="H116" s="157">
        <v>32.549999999999997</v>
      </c>
      <c r="I116" s="157">
        <v>-10.25</v>
      </c>
      <c r="J116" s="157">
        <v>-5.77</v>
      </c>
      <c r="K116" s="157">
        <v>-1.0900000000000001</v>
      </c>
      <c r="L116" s="157">
        <v>35.42</v>
      </c>
      <c r="M116" s="157">
        <v>35.65</v>
      </c>
      <c r="N116" s="157">
        <v>29.99</v>
      </c>
      <c r="O116" s="157">
        <v>29.28</v>
      </c>
      <c r="P116" s="157">
        <v>28.99</v>
      </c>
      <c r="Q116" s="157">
        <v>26.34</v>
      </c>
      <c r="R116" s="157">
        <v>27.39</v>
      </c>
      <c r="S116" s="157">
        <v>28.14</v>
      </c>
      <c r="T116" s="157">
        <v>26.8</v>
      </c>
      <c r="U116" s="157">
        <v>24.57</v>
      </c>
      <c r="V116" s="157">
        <v>3.63</v>
      </c>
      <c r="W116" s="157">
        <v>39.15</v>
      </c>
      <c r="X116" s="157">
        <v>34.79</v>
      </c>
      <c r="Y116" s="157">
        <v>41.3</v>
      </c>
      <c r="Z116" s="157">
        <v>38.49</v>
      </c>
      <c r="AA116" s="157">
        <v>43.07</v>
      </c>
      <c r="AB116" s="157">
        <v>35.68</v>
      </c>
      <c r="AC116" s="157">
        <v>39.72</v>
      </c>
      <c r="AD116" s="157">
        <v>37.880000000000003</v>
      </c>
      <c r="AE116" s="157">
        <v>36.619999999999997</v>
      </c>
      <c r="AF116" s="157">
        <v>39.96</v>
      </c>
      <c r="AG116" s="157">
        <v>7.48</v>
      </c>
      <c r="AH116" s="158">
        <v>889.25</v>
      </c>
    </row>
    <row r="117" spans="1:34" ht="15" x14ac:dyDescent="0.25">
      <c r="A117" s="155">
        <v>113</v>
      </c>
      <c r="B117" s="156">
        <v>32.97</v>
      </c>
      <c r="C117" s="157">
        <v>29.46</v>
      </c>
      <c r="D117" s="157">
        <v>27.45</v>
      </c>
      <c r="E117" s="157">
        <v>33.51</v>
      </c>
      <c r="F117" s="157">
        <v>30.11</v>
      </c>
      <c r="G117" s="157">
        <v>28.99</v>
      </c>
      <c r="H117" s="157">
        <v>32.270000000000003</v>
      </c>
      <c r="I117" s="157">
        <v>-10.01</v>
      </c>
      <c r="J117" s="157">
        <v>-5.85</v>
      </c>
      <c r="K117" s="157">
        <v>-1.28</v>
      </c>
      <c r="L117" s="157">
        <v>35.31</v>
      </c>
      <c r="M117" s="157">
        <v>35.520000000000003</v>
      </c>
      <c r="N117" s="157">
        <v>29.9</v>
      </c>
      <c r="O117" s="157">
        <v>29.19</v>
      </c>
      <c r="P117" s="157">
        <v>28.89</v>
      </c>
      <c r="Q117" s="157">
        <v>26.26</v>
      </c>
      <c r="R117" s="157">
        <v>27.3</v>
      </c>
      <c r="S117" s="157">
        <v>28.05</v>
      </c>
      <c r="T117" s="157">
        <v>26.75</v>
      </c>
      <c r="U117" s="157">
        <v>24.55</v>
      </c>
      <c r="V117" s="157">
        <v>3.32</v>
      </c>
      <c r="W117" s="157">
        <v>39</v>
      </c>
      <c r="X117" s="157">
        <v>34.75</v>
      </c>
      <c r="Y117" s="157">
        <v>41.15</v>
      </c>
      <c r="Z117" s="157">
        <v>38.409999999999997</v>
      </c>
      <c r="AA117" s="157">
        <v>42.95</v>
      </c>
      <c r="AB117" s="157">
        <v>35.6</v>
      </c>
      <c r="AC117" s="157">
        <v>39.6</v>
      </c>
      <c r="AD117" s="157">
        <v>37.78</v>
      </c>
      <c r="AE117" s="157">
        <v>36.51</v>
      </c>
      <c r="AF117" s="157">
        <v>39.880000000000003</v>
      </c>
      <c r="AG117" s="157">
        <v>8.0299999999999994</v>
      </c>
      <c r="AH117" s="158">
        <v>886.32</v>
      </c>
    </row>
    <row r="118" spans="1:34" ht="15" x14ac:dyDescent="0.25">
      <c r="A118" s="155">
        <v>114</v>
      </c>
      <c r="B118" s="156">
        <v>32.869999999999997</v>
      </c>
      <c r="C118" s="157">
        <v>29.37</v>
      </c>
      <c r="D118" s="157">
        <v>27.45</v>
      </c>
      <c r="E118" s="157">
        <v>33.39</v>
      </c>
      <c r="F118" s="157">
        <v>30.11</v>
      </c>
      <c r="G118" s="157">
        <v>29.04</v>
      </c>
      <c r="H118" s="157">
        <v>32.119999999999997</v>
      </c>
      <c r="I118" s="157">
        <v>-9.64</v>
      </c>
      <c r="J118" s="157">
        <v>-5.79</v>
      </c>
      <c r="K118" s="157">
        <v>-1.32</v>
      </c>
      <c r="L118" s="157">
        <v>35.229999999999997</v>
      </c>
      <c r="M118" s="157">
        <v>35.42</v>
      </c>
      <c r="N118" s="157">
        <v>29.83</v>
      </c>
      <c r="O118" s="157">
        <v>29.12</v>
      </c>
      <c r="P118" s="157">
        <v>28.82</v>
      </c>
      <c r="Q118" s="157">
        <v>26.19</v>
      </c>
      <c r="R118" s="157">
        <v>27.24</v>
      </c>
      <c r="S118" s="157">
        <v>27.99</v>
      </c>
      <c r="T118" s="157">
        <v>26.72</v>
      </c>
      <c r="U118" s="157">
        <v>24.55</v>
      </c>
      <c r="V118" s="157">
        <v>3.05</v>
      </c>
      <c r="W118" s="157">
        <v>38.979999999999997</v>
      </c>
      <c r="X118" s="157">
        <v>34.840000000000003</v>
      </c>
      <c r="Y118" s="157">
        <v>41.15</v>
      </c>
      <c r="Z118" s="157">
        <v>38.450000000000003</v>
      </c>
      <c r="AA118" s="157">
        <v>42.97</v>
      </c>
      <c r="AB118" s="157">
        <v>35.65</v>
      </c>
      <c r="AC118" s="157">
        <v>39.61</v>
      </c>
      <c r="AD118" s="157">
        <v>37.82</v>
      </c>
      <c r="AE118" s="157">
        <v>36.56</v>
      </c>
      <c r="AF118" s="157">
        <v>39.950000000000003</v>
      </c>
      <c r="AG118" s="157">
        <v>8.64</v>
      </c>
      <c r="AH118" s="158">
        <v>886.38000000000022</v>
      </c>
    </row>
    <row r="119" spans="1:34" ht="15" x14ac:dyDescent="0.25">
      <c r="A119" s="155">
        <v>115</v>
      </c>
      <c r="B119" s="156">
        <v>32.880000000000003</v>
      </c>
      <c r="C119" s="157">
        <v>29.39</v>
      </c>
      <c r="D119" s="157">
        <v>27.54</v>
      </c>
      <c r="E119" s="157">
        <v>33.380000000000003</v>
      </c>
      <c r="F119" s="157">
        <v>30.22</v>
      </c>
      <c r="G119" s="157">
        <v>29.19</v>
      </c>
      <c r="H119" s="157">
        <v>32.08</v>
      </c>
      <c r="I119" s="157">
        <v>-9.19</v>
      </c>
      <c r="J119" s="157">
        <v>-5.61</v>
      </c>
      <c r="K119" s="157">
        <v>-1.23</v>
      </c>
      <c r="L119" s="157">
        <v>35.18</v>
      </c>
      <c r="M119" s="157">
        <v>35.35</v>
      </c>
      <c r="N119" s="157">
        <v>29.79</v>
      </c>
      <c r="O119" s="157">
        <v>29.08</v>
      </c>
      <c r="P119" s="157">
        <v>28.78</v>
      </c>
      <c r="Q119" s="157">
        <v>26.16</v>
      </c>
      <c r="R119" s="157">
        <v>27.2</v>
      </c>
      <c r="S119" s="157">
        <v>27.95</v>
      </c>
      <c r="T119" s="157">
        <v>26.71</v>
      </c>
      <c r="U119" s="157">
        <v>24.57</v>
      </c>
      <c r="V119" s="157">
        <v>2.82</v>
      </c>
      <c r="W119" s="157">
        <v>39.1</v>
      </c>
      <c r="X119" s="157">
        <v>35.04</v>
      </c>
      <c r="Y119" s="157">
        <v>41.28</v>
      </c>
      <c r="Z119" s="157">
        <v>38.6</v>
      </c>
      <c r="AA119" s="157">
        <v>43.12</v>
      </c>
      <c r="AB119" s="157">
        <v>35.82</v>
      </c>
      <c r="AC119" s="157">
        <v>39.75</v>
      </c>
      <c r="AD119" s="157">
        <v>37.979999999999997</v>
      </c>
      <c r="AE119" s="157">
        <v>36.729999999999997</v>
      </c>
      <c r="AF119" s="157">
        <v>40.159999999999997</v>
      </c>
      <c r="AG119" s="157">
        <v>9.3000000000000007</v>
      </c>
      <c r="AH119" s="158">
        <v>889.12</v>
      </c>
    </row>
    <row r="120" spans="1:34" ht="15" x14ac:dyDescent="0.25">
      <c r="A120" s="155">
        <v>116</v>
      </c>
      <c r="B120" s="156">
        <v>32.99</v>
      </c>
      <c r="C120" s="157">
        <v>29.51</v>
      </c>
      <c r="D120" s="157">
        <v>27.73</v>
      </c>
      <c r="E120" s="157">
        <v>33.47</v>
      </c>
      <c r="F120" s="157">
        <v>30.42</v>
      </c>
      <c r="G120" s="157">
        <v>29.43</v>
      </c>
      <c r="H120" s="157">
        <v>32.14</v>
      </c>
      <c r="I120" s="157">
        <v>-8.67</v>
      </c>
      <c r="J120" s="157">
        <v>-5.32</v>
      </c>
      <c r="K120" s="157">
        <v>-1.04</v>
      </c>
      <c r="L120" s="157">
        <v>35.15</v>
      </c>
      <c r="M120" s="157">
        <v>35.299999999999997</v>
      </c>
      <c r="N120" s="157">
        <v>29.78</v>
      </c>
      <c r="O120" s="157">
        <v>29.06</v>
      </c>
      <c r="P120" s="157">
        <v>28.76</v>
      </c>
      <c r="Q120" s="157">
        <v>26.14</v>
      </c>
      <c r="R120" s="157">
        <v>27.18</v>
      </c>
      <c r="S120" s="157">
        <v>27.93</v>
      </c>
      <c r="T120" s="157">
        <v>26.73</v>
      </c>
      <c r="U120" s="157">
        <v>24.6</v>
      </c>
      <c r="V120" s="157">
        <v>2.62</v>
      </c>
      <c r="W120" s="157">
        <v>39.340000000000003</v>
      </c>
      <c r="X120" s="157">
        <v>35.340000000000003</v>
      </c>
      <c r="Y120" s="157">
        <v>41.52</v>
      </c>
      <c r="Z120" s="157">
        <v>38.86</v>
      </c>
      <c r="AA120" s="157">
        <v>43.4</v>
      </c>
      <c r="AB120" s="157">
        <v>36.1</v>
      </c>
      <c r="AC120" s="157">
        <v>40</v>
      </c>
      <c r="AD120" s="157">
        <v>38.24</v>
      </c>
      <c r="AE120" s="157">
        <v>37.020000000000003</v>
      </c>
      <c r="AF120" s="157">
        <v>40.479999999999997</v>
      </c>
      <c r="AG120" s="157">
        <v>10</v>
      </c>
      <c r="AH120" s="158">
        <v>894.21</v>
      </c>
    </row>
    <row r="121" spans="1:34" ht="15" x14ac:dyDescent="0.25">
      <c r="A121" s="155">
        <v>117</v>
      </c>
      <c r="B121" s="156">
        <v>33.19</v>
      </c>
      <c r="C121" s="157">
        <v>29.7</v>
      </c>
      <c r="D121" s="157">
        <v>27.98</v>
      </c>
      <c r="E121" s="157">
        <v>33.64</v>
      </c>
      <c r="F121" s="157">
        <v>30.7</v>
      </c>
      <c r="G121" s="157">
        <v>29.73</v>
      </c>
      <c r="H121" s="157">
        <v>32.29</v>
      </c>
      <c r="I121" s="157">
        <v>-8.1199999999999992</v>
      </c>
      <c r="J121" s="157">
        <v>-4.97</v>
      </c>
      <c r="K121" s="157">
        <v>-0.77</v>
      </c>
      <c r="L121" s="157">
        <v>35.14</v>
      </c>
      <c r="M121" s="157">
        <v>35.29</v>
      </c>
      <c r="N121" s="157">
        <v>29.78</v>
      </c>
      <c r="O121" s="157">
        <v>29.07</v>
      </c>
      <c r="P121" s="157">
        <v>28.77</v>
      </c>
      <c r="Q121" s="157">
        <v>26.14</v>
      </c>
      <c r="R121" s="157">
        <v>27.19</v>
      </c>
      <c r="S121" s="157">
        <v>27.94</v>
      </c>
      <c r="T121" s="157">
        <v>26.76</v>
      </c>
      <c r="U121" s="157">
        <v>24.66</v>
      </c>
      <c r="V121" s="157">
        <v>2.46</v>
      </c>
      <c r="W121" s="157">
        <v>39.659999999999997</v>
      </c>
      <c r="X121" s="157">
        <v>35.71</v>
      </c>
      <c r="Y121" s="157">
        <v>41.85</v>
      </c>
      <c r="Z121" s="157">
        <v>39.200000000000003</v>
      </c>
      <c r="AA121" s="157">
        <v>43.77</v>
      </c>
      <c r="AB121" s="157">
        <v>36.46</v>
      </c>
      <c r="AC121" s="157">
        <v>40.340000000000003</v>
      </c>
      <c r="AD121" s="157">
        <v>38.590000000000003</v>
      </c>
      <c r="AE121" s="157">
        <v>37.39</v>
      </c>
      <c r="AF121" s="157">
        <v>40.89</v>
      </c>
      <c r="AG121" s="157">
        <v>10.71</v>
      </c>
      <c r="AH121" s="158">
        <v>901.14000000000021</v>
      </c>
    </row>
    <row r="122" spans="1:34" ht="15" x14ac:dyDescent="0.25">
      <c r="A122" s="155">
        <v>118</v>
      </c>
      <c r="B122" s="156">
        <v>33.4</v>
      </c>
      <c r="C122" s="157">
        <v>29.89</v>
      </c>
      <c r="D122" s="157">
        <v>28.21</v>
      </c>
      <c r="E122" s="157">
        <v>33.82</v>
      </c>
      <c r="F122" s="157">
        <v>30.95</v>
      </c>
      <c r="G122" s="157">
        <v>29.99</v>
      </c>
      <c r="H122" s="157">
        <v>32.47</v>
      </c>
      <c r="I122" s="157">
        <v>-7.75</v>
      </c>
      <c r="J122" s="157">
        <v>-4.71</v>
      </c>
      <c r="K122" s="157">
        <v>-0.55000000000000004</v>
      </c>
      <c r="L122" s="157">
        <v>35.19</v>
      </c>
      <c r="M122" s="157">
        <v>35.33</v>
      </c>
      <c r="N122" s="157">
        <v>29.83</v>
      </c>
      <c r="O122" s="157">
        <v>29.12</v>
      </c>
      <c r="P122" s="157">
        <v>28.81</v>
      </c>
      <c r="Q122" s="157">
        <v>26.18</v>
      </c>
      <c r="R122" s="157">
        <v>27.24</v>
      </c>
      <c r="S122" s="157">
        <v>27.99</v>
      </c>
      <c r="T122" s="157">
        <v>26.82</v>
      </c>
      <c r="U122" s="157">
        <v>24.73</v>
      </c>
      <c r="V122" s="157">
        <v>2.37</v>
      </c>
      <c r="W122" s="157">
        <v>39.96</v>
      </c>
      <c r="X122" s="157">
        <v>36.04</v>
      </c>
      <c r="Y122" s="157">
        <v>42.16</v>
      </c>
      <c r="Z122" s="157">
        <v>39.5</v>
      </c>
      <c r="AA122" s="157">
        <v>44.1</v>
      </c>
      <c r="AB122" s="157">
        <v>36.78</v>
      </c>
      <c r="AC122" s="157">
        <v>40.65</v>
      </c>
      <c r="AD122" s="157">
        <v>38.9</v>
      </c>
      <c r="AE122" s="157">
        <v>37.72</v>
      </c>
      <c r="AF122" s="157">
        <v>41.25</v>
      </c>
      <c r="AG122" s="157">
        <v>11.2</v>
      </c>
      <c r="AH122" s="158">
        <v>907.58999999999992</v>
      </c>
    </row>
    <row r="123" spans="1:34" ht="15" x14ac:dyDescent="0.25">
      <c r="A123" s="159" t="s">
        <v>923</v>
      </c>
      <c r="B123" s="160">
        <v>79735.210000000065</v>
      </c>
      <c r="C123" s="161">
        <v>78313.339999999982</v>
      </c>
      <c r="D123" s="161">
        <v>76606.590000000011</v>
      </c>
      <c r="E123" s="161">
        <v>75740.670000000013</v>
      </c>
      <c r="F123" s="161">
        <v>79618.530000000042</v>
      </c>
      <c r="G123" s="161">
        <v>72671.170000000013</v>
      </c>
      <c r="H123" s="161">
        <v>79630.359999999986</v>
      </c>
      <c r="I123" s="161">
        <v>75679.960000000021</v>
      </c>
      <c r="J123" s="161">
        <v>73661.16</v>
      </c>
      <c r="K123" s="161">
        <v>75216.219999999972</v>
      </c>
      <c r="L123" s="161">
        <v>41754.409999999996</v>
      </c>
      <c r="M123" s="161">
        <v>45327.119999999974</v>
      </c>
      <c r="N123" s="161">
        <v>45311.110000000008</v>
      </c>
      <c r="O123" s="161">
        <v>44042.230000000025</v>
      </c>
      <c r="P123" s="161">
        <v>46292.300000000039</v>
      </c>
      <c r="Q123" s="161">
        <v>43068.089999999982</v>
      </c>
      <c r="R123" s="161">
        <v>46827.080000000009</v>
      </c>
      <c r="S123" s="161">
        <v>48002.2</v>
      </c>
      <c r="T123" s="161">
        <v>46691.9</v>
      </c>
      <c r="U123" s="161">
        <v>44812.570000000007</v>
      </c>
      <c r="V123" s="161">
        <v>45124.320000000029</v>
      </c>
      <c r="W123" s="161">
        <v>95883.48000000001</v>
      </c>
      <c r="X123" s="161">
        <v>91903.640000000014</v>
      </c>
      <c r="Y123" s="161">
        <v>93776.75</v>
      </c>
      <c r="Z123" s="161">
        <v>89365.26999999999</v>
      </c>
      <c r="AA123" s="161">
        <v>101456.23999999996</v>
      </c>
      <c r="AB123" s="161">
        <v>95100.160000000018</v>
      </c>
      <c r="AC123" s="161">
        <v>99350.389999999956</v>
      </c>
      <c r="AD123" s="161">
        <v>88201.920000000042</v>
      </c>
      <c r="AE123" s="161">
        <v>94465.749999999956</v>
      </c>
      <c r="AF123" s="161">
        <v>104815.37000000001</v>
      </c>
      <c r="AG123" s="161">
        <v>88172.19</v>
      </c>
      <c r="AH123" s="162">
        <v>2306617.6999999993</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04313-5C5B-4855-AA41-1508059DB1BA}">
  <sheetPr codeName="Sheet22"/>
  <dimension ref="A3:AI123"/>
  <sheetViews>
    <sheetView topLeftCell="A7" workbookViewId="0">
      <selection activeCell="U5" sqref="U5"/>
    </sheetView>
  </sheetViews>
  <sheetFormatPr defaultColWidth="9.140625" defaultRowHeight="12.75" x14ac:dyDescent="0.2"/>
  <cols>
    <col min="1" max="1" width="17.28515625" style="107" bestFit="1" customWidth="1"/>
    <col min="2" max="34" width="10" style="107" bestFit="1" customWidth="1"/>
    <col min="35" max="35" width="11.140625" style="107" bestFit="1" customWidth="1"/>
    <col min="36" max="98" width="7" style="107" bestFit="1" customWidth="1"/>
    <col min="99" max="99" width="10.5703125" style="107" bestFit="1" customWidth="1"/>
    <col min="100" max="16384" width="9.140625" style="107"/>
  </cols>
  <sheetData>
    <row r="3" spans="1:35" ht="15" x14ac:dyDescent="0.25">
      <c r="A3" s="146" t="s">
        <v>921</v>
      </c>
      <c r="B3" s="146" t="s">
        <v>198</v>
      </c>
      <c r="C3" s="147"/>
      <c r="D3" s="147"/>
      <c r="E3" s="147"/>
      <c r="F3" s="147"/>
      <c r="G3" s="147"/>
      <c r="H3" s="147"/>
      <c r="I3" s="147"/>
      <c r="J3" s="147"/>
      <c r="K3" s="147"/>
      <c r="L3" s="147"/>
      <c r="M3" s="147"/>
      <c r="N3" s="147"/>
      <c r="O3" s="147"/>
      <c r="P3" s="147"/>
      <c r="Q3" s="147"/>
      <c r="R3" s="147"/>
      <c r="S3" s="147"/>
      <c r="T3" s="147"/>
      <c r="U3" s="147"/>
      <c r="V3" s="147"/>
      <c r="W3" s="147"/>
      <c r="X3" s="147"/>
      <c r="Y3" s="147"/>
      <c r="Z3" s="147"/>
      <c r="AA3" s="147"/>
      <c r="AB3" s="147"/>
      <c r="AC3" s="147"/>
      <c r="AD3" s="147"/>
      <c r="AE3" s="147"/>
      <c r="AF3" s="147"/>
      <c r="AG3" s="147"/>
      <c r="AH3" s="147"/>
      <c r="AI3" s="148"/>
    </row>
    <row r="4" spans="1:35" ht="15" x14ac:dyDescent="0.25">
      <c r="A4" s="146" t="s">
        <v>922</v>
      </c>
      <c r="B4" s="149" t="s">
        <v>261</v>
      </c>
      <c r="C4" s="150" t="s">
        <v>262</v>
      </c>
      <c r="D4" s="150" t="s">
        <v>263</v>
      </c>
      <c r="E4" s="150" t="s">
        <v>264</v>
      </c>
      <c r="F4" s="150" t="s">
        <v>265</v>
      </c>
      <c r="G4" s="150" t="s">
        <v>266</v>
      </c>
      <c r="H4" s="150" t="s">
        <v>267</v>
      </c>
      <c r="I4" s="150" t="s">
        <v>268</v>
      </c>
      <c r="J4" s="150" t="s">
        <v>270</v>
      </c>
      <c r="K4" s="150" t="s">
        <v>272</v>
      </c>
      <c r="L4" s="150" t="s">
        <v>273</v>
      </c>
      <c r="M4" s="150" t="s">
        <v>275</v>
      </c>
      <c r="N4" s="150" t="s">
        <v>276</v>
      </c>
      <c r="O4" s="150" t="s">
        <v>277</v>
      </c>
      <c r="P4" s="150" t="s">
        <v>278</v>
      </c>
      <c r="Q4" s="150" t="s">
        <v>279</v>
      </c>
      <c r="R4" s="150" t="s">
        <v>280</v>
      </c>
      <c r="S4" s="150" t="s">
        <v>281</v>
      </c>
      <c r="T4" s="150" t="s">
        <v>282</v>
      </c>
      <c r="U4" s="150" t="s">
        <v>283</v>
      </c>
      <c r="V4" s="150" t="s">
        <v>284</v>
      </c>
      <c r="W4" s="150" t="s">
        <v>285</v>
      </c>
      <c r="X4" s="150" t="s">
        <v>287</v>
      </c>
      <c r="Y4" s="150" t="s">
        <v>288</v>
      </c>
      <c r="Z4" s="150" t="s">
        <v>289</v>
      </c>
      <c r="AA4" s="150" t="s">
        <v>290</v>
      </c>
      <c r="AB4" s="150" t="s">
        <v>291</v>
      </c>
      <c r="AC4" s="150" t="s">
        <v>292</v>
      </c>
      <c r="AD4" s="150" t="s">
        <v>293</v>
      </c>
      <c r="AE4" s="150" t="s">
        <v>294</v>
      </c>
      <c r="AF4" s="150" t="s">
        <v>295</v>
      </c>
      <c r="AG4" s="150" t="s">
        <v>296</v>
      </c>
      <c r="AH4" s="150" t="s">
        <v>297</v>
      </c>
      <c r="AI4" s="151" t="s">
        <v>923</v>
      </c>
    </row>
    <row r="5" spans="1:35" ht="15" x14ac:dyDescent="0.25">
      <c r="A5" s="149">
        <v>1</v>
      </c>
      <c r="B5" s="152">
        <v>287.04000000000002</v>
      </c>
      <c r="C5" s="153">
        <v>337.78</v>
      </c>
      <c r="D5" s="153">
        <v>278.97000000000003</v>
      </c>
      <c r="E5" s="153">
        <v>384.21</v>
      </c>
      <c r="F5" s="153">
        <v>350.59</v>
      </c>
      <c r="G5" s="153">
        <v>359</v>
      </c>
      <c r="H5" s="153">
        <v>435.68</v>
      </c>
      <c r="I5" s="153">
        <v>412.3</v>
      </c>
      <c r="J5" s="153">
        <v>393.94</v>
      </c>
      <c r="K5" s="153">
        <v>316.27999999999997</v>
      </c>
      <c r="L5" s="153">
        <v>206.48</v>
      </c>
      <c r="M5" s="153">
        <v>296.33999999999997</v>
      </c>
      <c r="N5" s="153">
        <v>250.68</v>
      </c>
      <c r="O5" s="153">
        <v>244.16</v>
      </c>
      <c r="P5" s="153">
        <v>288.69</v>
      </c>
      <c r="Q5" s="153">
        <v>350.13</v>
      </c>
      <c r="R5" s="153">
        <v>273.22000000000003</v>
      </c>
      <c r="S5" s="153">
        <v>375.75</v>
      </c>
      <c r="T5" s="153">
        <v>326.93</v>
      </c>
      <c r="U5" s="153">
        <v>353.86</v>
      </c>
      <c r="V5" s="153">
        <v>331.98</v>
      </c>
      <c r="W5" s="153">
        <v>240.51</v>
      </c>
      <c r="X5" s="153">
        <v>303.82</v>
      </c>
      <c r="Y5" s="153">
        <v>299.11</v>
      </c>
      <c r="Z5" s="153">
        <v>281.76</v>
      </c>
      <c r="AA5" s="153">
        <v>387.13</v>
      </c>
      <c r="AB5" s="153">
        <v>360.94</v>
      </c>
      <c r="AC5" s="153">
        <v>341.62</v>
      </c>
      <c r="AD5" s="153">
        <v>443.98</v>
      </c>
      <c r="AE5" s="153">
        <v>341.28</v>
      </c>
      <c r="AF5" s="153">
        <v>295.07</v>
      </c>
      <c r="AG5" s="153">
        <v>391.96</v>
      </c>
      <c r="AH5" s="153">
        <v>238.66</v>
      </c>
      <c r="AI5" s="154">
        <v>10779.85</v>
      </c>
    </row>
    <row r="6" spans="1:35" ht="15" x14ac:dyDescent="0.25">
      <c r="A6" s="155">
        <v>2</v>
      </c>
      <c r="B6" s="156">
        <v>289.47000000000003</v>
      </c>
      <c r="C6" s="157">
        <v>340.45</v>
      </c>
      <c r="D6" s="157">
        <v>281.16000000000003</v>
      </c>
      <c r="E6" s="157">
        <v>387</v>
      </c>
      <c r="F6" s="157">
        <v>353.09</v>
      </c>
      <c r="G6" s="157">
        <v>361.56</v>
      </c>
      <c r="H6" s="157">
        <v>438.64</v>
      </c>
      <c r="I6" s="157">
        <v>415.24</v>
      </c>
      <c r="J6" s="157">
        <v>396.89</v>
      </c>
      <c r="K6" s="157">
        <v>318.81</v>
      </c>
      <c r="L6" s="157">
        <v>208.8</v>
      </c>
      <c r="M6" s="157">
        <v>298.89</v>
      </c>
      <c r="N6" s="157">
        <v>252.92</v>
      </c>
      <c r="O6" s="157">
        <v>246.32</v>
      </c>
      <c r="P6" s="157">
        <v>290.94</v>
      </c>
      <c r="Q6" s="157">
        <v>352.89</v>
      </c>
      <c r="R6" s="157">
        <v>275.33</v>
      </c>
      <c r="S6" s="157">
        <v>378.62</v>
      </c>
      <c r="T6" s="157">
        <v>329.52</v>
      </c>
      <c r="U6" s="157">
        <v>356.64</v>
      </c>
      <c r="V6" s="157">
        <v>334.89</v>
      </c>
      <c r="W6" s="157">
        <v>242.71</v>
      </c>
      <c r="X6" s="157">
        <v>306.42</v>
      </c>
      <c r="Y6" s="157">
        <v>301.45</v>
      </c>
      <c r="Z6" s="157">
        <v>284.05</v>
      </c>
      <c r="AA6" s="157">
        <v>390.08</v>
      </c>
      <c r="AB6" s="157">
        <v>363.81</v>
      </c>
      <c r="AC6" s="157">
        <v>344.26</v>
      </c>
      <c r="AD6" s="157">
        <v>447.12</v>
      </c>
      <c r="AE6" s="157">
        <v>343.63</v>
      </c>
      <c r="AF6" s="157">
        <v>298.26</v>
      </c>
      <c r="AG6" s="157">
        <v>395.35</v>
      </c>
      <c r="AH6" s="157">
        <v>241.77</v>
      </c>
      <c r="AI6" s="158">
        <v>10866.980000000001</v>
      </c>
    </row>
    <row r="7" spans="1:35" ht="15" x14ac:dyDescent="0.25">
      <c r="A7" s="155">
        <v>3</v>
      </c>
      <c r="B7" s="156">
        <v>292.49</v>
      </c>
      <c r="C7" s="157">
        <v>343.7</v>
      </c>
      <c r="D7" s="157">
        <v>283.82</v>
      </c>
      <c r="E7" s="157">
        <v>390.32</v>
      </c>
      <c r="F7" s="157">
        <v>356.04</v>
      </c>
      <c r="G7" s="157">
        <v>364.58</v>
      </c>
      <c r="H7" s="157">
        <v>442.06</v>
      </c>
      <c r="I7" s="157">
        <v>418.69</v>
      </c>
      <c r="J7" s="157">
        <v>400.42</v>
      </c>
      <c r="K7" s="157">
        <v>321.91000000000003</v>
      </c>
      <c r="L7" s="157">
        <v>211.9</v>
      </c>
      <c r="M7" s="157">
        <v>302.08</v>
      </c>
      <c r="N7" s="157">
        <v>255.76</v>
      </c>
      <c r="O7" s="157">
        <v>249.05</v>
      </c>
      <c r="P7" s="157">
        <v>293.68</v>
      </c>
      <c r="Q7" s="157">
        <v>356.24</v>
      </c>
      <c r="R7" s="157">
        <v>277.87</v>
      </c>
      <c r="S7" s="157">
        <v>382.07</v>
      </c>
      <c r="T7" s="157">
        <v>332.69</v>
      </c>
      <c r="U7" s="157">
        <v>360.01</v>
      </c>
      <c r="V7" s="157">
        <v>338.53</v>
      </c>
      <c r="W7" s="157">
        <v>245.5</v>
      </c>
      <c r="X7" s="157">
        <v>309.67</v>
      </c>
      <c r="Y7" s="157">
        <v>304.3</v>
      </c>
      <c r="Z7" s="157">
        <v>286.88</v>
      </c>
      <c r="AA7" s="157">
        <v>393.64</v>
      </c>
      <c r="AB7" s="157">
        <v>367.32</v>
      </c>
      <c r="AC7" s="157">
        <v>347.47</v>
      </c>
      <c r="AD7" s="157">
        <v>450.81</v>
      </c>
      <c r="AE7" s="157">
        <v>346.36</v>
      </c>
      <c r="AF7" s="157">
        <v>302.45</v>
      </c>
      <c r="AG7" s="157">
        <v>399.58</v>
      </c>
      <c r="AH7" s="157">
        <v>246</v>
      </c>
      <c r="AI7" s="158">
        <v>10973.89</v>
      </c>
    </row>
    <row r="8" spans="1:35" ht="15" x14ac:dyDescent="0.25">
      <c r="A8" s="155">
        <v>4</v>
      </c>
      <c r="B8" s="156">
        <v>295.74</v>
      </c>
      <c r="C8" s="157">
        <v>347.17</v>
      </c>
      <c r="D8" s="157">
        <v>286.67</v>
      </c>
      <c r="E8" s="157">
        <v>393.83</v>
      </c>
      <c r="F8" s="157">
        <v>359.16</v>
      </c>
      <c r="G8" s="157">
        <v>367.77</v>
      </c>
      <c r="H8" s="157">
        <v>445.65</v>
      </c>
      <c r="I8" s="157">
        <v>422.33</v>
      </c>
      <c r="J8" s="157">
        <v>404.16</v>
      </c>
      <c r="K8" s="157">
        <v>325.23</v>
      </c>
      <c r="L8" s="157">
        <v>215.28</v>
      </c>
      <c r="M8" s="157">
        <v>305.51</v>
      </c>
      <c r="N8" s="157">
        <v>258.83999999999997</v>
      </c>
      <c r="O8" s="157">
        <v>252</v>
      </c>
      <c r="P8" s="157">
        <v>296.60000000000002</v>
      </c>
      <c r="Q8" s="157">
        <v>359.81</v>
      </c>
      <c r="R8" s="157">
        <v>280.58</v>
      </c>
      <c r="S8" s="157">
        <v>385.75</v>
      </c>
      <c r="T8" s="157">
        <v>336.06</v>
      </c>
      <c r="U8" s="157">
        <v>363.6</v>
      </c>
      <c r="V8" s="157">
        <v>342.46</v>
      </c>
      <c r="W8" s="157">
        <v>248.53</v>
      </c>
      <c r="X8" s="157">
        <v>313.17</v>
      </c>
      <c r="Y8" s="157">
        <v>307.35000000000002</v>
      </c>
      <c r="Z8" s="157">
        <v>289.89999999999998</v>
      </c>
      <c r="AA8" s="157">
        <v>397.42</v>
      </c>
      <c r="AB8" s="157">
        <v>371.07</v>
      </c>
      <c r="AC8" s="157">
        <v>350.88</v>
      </c>
      <c r="AD8" s="157">
        <v>454.7</v>
      </c>
      <c r="AE8" s="157">
        <v>349.24</v>
      </c>
      <c r="AF8" s="157">
        <v>307.02</v>
      </c>
      <c r="AG8" s="157">
        <v>404.13</v>
      </c>
      <c r="AH8" s="157">
        <v>250.67</v>
      </c>
      <c r="AI8" s="158">
        <v>11088.28</v>
      </c>
    </row>
    <row r="9" spans="1:35" ht="15" x14ac:dyDescent="0.25">
      <c r="A9" s="155">
        <v>5</v>
      </c>
      <c r="B9" s="156">
        <v>299.14</v>
      </c>
      <c r="C9" s="157">
        <v>350.8</v>
      </c>
      <c r="D9" s="157">
        <v>289.64</v>
      </c>
      <c r="E9" s="157">
        <v>397.47</v>
      </c>
      <c r="F9" s="157">
        <v>362.41</v>
      </c>
      <c r="G9" s="157">
        <v>371.08</v>
      </c>
      <c r="H9" s="157">
        <v>449.34</v>
      </c>
      <c r="I9" s="157">
        <v>426.08</v>
      </c>
      <c r="J9" s="157">
        <v>408.03</v>
      </c>
      <c r="K9" s="157">
        <v>328.68</v>
      </c>
      <c r="L9" s="157">
        <v>218.86</v>
      </c>
      <c r="M9" s="157">
        <v>309.10000000000002</v>
      </c>
      <c r="N9" s="157">
        <v>262.07</v>
      </c>
      <c r="O9" s="157">
        <v>255.1</v>
      </c>
      <c r="P9" s="157">
        <v>299.64999999999998</v>
      </c>
      <c r="Q9" s="157">
        <v>363.52</v>
      </c>
      <c r="R9" s="157">
        <v>283.41000000000003</v>
      </c>
      <c r="S9" s="157">
        <v>389.56</v>
      </c>
      <c r="T9" s="157">
        <v>339.58</v>
      </c>
      <c r="U9" s="157">
        <v>367.33</v>
      </c>
      <c r="V9" s="157">
        <v>346.55</v>
      </c>
      <c r="W9" s="157">
        <v>251.73</v>
      </c>
      <c r="X9" s="157">
        <v>316.83</v>
      </c>
      <c r="Y9" s="157">
        <v>310.55</v>
      </c>
      <c r="Z9" s="157">
        <v>293.07</v>
      </c>
      <c r="AA9" s="157">
        <v>401.35</v>
      </c>
      <c r="AB9" s="157">
        <v>374.98</v>
      </c>
      <c r="AC9" s="157">
        <v>354.43</v>
      </c>
      <c r="AD9" s="157">
        <v>458.72</v>
      </c>
      <c r="AE9" s="157">
        <v>352.2</v>
      </c>
      <c r="AF9" s="157">
        <v>311.83</v>
      </c>
      <c r="AG9" s="157">
        <v>408.88</v>
      </c>
      <c r="AH9" s="157">
        <v>255.63</v>
      </c>
      <c r="AI9" s="158">
        <v>11207.6</v>
      </c>
    </row>
    <row r="10" spans="1:35" ht="15" x14ac:dyDescent="0.25">
      <c r="A10" s="155">
        <v>6</v>
      </c>
      <c r="B10" s="156">
        <v>302.69</v>
      </c>
      <c r="C10" s="157">
        <v>354.6</v>
      </c>
      <c r="D10" s="157">
        <v>292.73</v>
      </c>
      <c r="E10" s="157">
        <v>401.23</v>
      </c>
      <c r="F10" s="157">
        <v>365.79</v>
      </c>
      <c r="G10" s="157">
        <v>374.5</v>
      </c>
      <c r="H10" s="157">
        <v>453.14</v>
      </c>
      <c r="I10" s="157">
        <v>429.96</v>
      </c>
      <c r="J10" s="157">
        <v>412.04</v>
      </c>
      <c r="K10" s="157">
        <v>332.28</v>
      </c>
      <c r="L10" s="157">
        <v>222.65</v>
      </c>
      <c r="M10" s="157">
        <v>312.86</v>
      </c>
      <c r="N10" s="157">
        <v>265.45999999999998</v>
      </c>
      <c r="O10" s="157">
        <v>258.36</v>
      </c>
      <c r="P10" s="157">
        <v>302.83999999999997</v>
      </c>
      <c r="Q10" s="157">
        <v>367.37</v>
      </c>
      <c r="R10" s="157">
        <v>286.35000000000002</v>
      </c>
      <c r="S10" s="157">
        <v>393.51</v>
      </c>
      <c r="T10" s="157">
        <v>343.24</v>
      </c>
      <c r="U10" s="157">
        <v>371.22</v>
      </c>
      <c r="V10" s="157">
        <v>350.84</v>
      </c>
      <c r="W10" s="157">
        <v>255.11</v>
      </c>
      <c r="X10" s="157">
        <v>320.66000000000003</v>
      </c>
      <c r="Y10" s="157">
        <v>313.89</v>
      </c>
      <c r="Z10" s="157">
        <v>296.38</v>
      </c>
      <c r="AA10" s="157">
        <v>405.42</v>
      </c>
      <c r="AB10" s="157">
        <v>379.06</v>
      </c>
      <c r="AC10" s="157">
        <v>358.12</v>
      </c>
      <c r="AD10" s="157">
        <v>462.87</v>
      </c>
      <c r="AE10" s="157">
        <v>355.25</v>
      </c>
      <c r="AF10" s="157">
        <v>316.89</v>
      </c>
      <c r="AG10" s="157">
        <v>413.85</v>
      </c>
      <c r="AH10" s="157">
        <v>260.88</v>
      </c>
      <c r="AI10" s="158">
        <v>11332.04</v>
      </c>
    </row>
    <row r="11" spans="1:35" ht="15" x14ac:dyDescent="0.25">
      <c r="A11" s="155">
        <v>7</v>
      </c>
      <c r="B11" s="156">
        <v>306.39999999999998</v>
      </c>
      <c r="C11" s="157">
        <v>358.56</v>
      </c>
      <c r="D11" s="157">
        <v>295.95</v>
      </c>
      <c r="E11" s="157">
        <v>405.13</v>
      </c>
      <c r="F11" s="157">
        <v>369.29</v>
      </c>
      <c r="G11" s="157">
        <v>378.04</v>
      </c>
      <c r="H11" s="157">
        <v>457.05</v>
      </c>
      <c r="I11" s="157">
        <v>433.96</v>
      </c>
      <c r="J11" s="157">
        <v>416.19</v>
      </c>
      <c r="K11" s="157">
        <v>336.03</v>
      </c>
      <c r="L11" s="157">
        <v>226.65</v>
      </c>
      <c r="M11" s="157">
        <v>316.8</v>
      </c>
      <c r="N11" s="157">
        <v>269.04000000000002</v>
      </c>
      <c r="O11" s="157">
        <v>261.79000000000002</v>
      </c>
      <c r="P11" s="157">
        <v>306.16000000000003</v>
      </c>
      <c r="Q11" s="157">
        <v>371.39</v>
      </c>
      <c r="R11" s="157">
        <v>289.41000000000003</v>
      </c>
      <c r="S11" s="157">
        <v>397.62</v>
      </c>
      <c r="T11" s="157">
        <v>347.04</v>
      </c>
      <c r="U11" s="157">
        <v>375.25</v>
      </c>
      <c r="V11" s="157">
        <v>355.31</v>
      </c>
      <c r="W11" s="157">
        <v>258.67</v>
      </c>
      <c r="X11" s="157">
        <v>324.68</v>
      </c>
      <c r="Y11" s="157">
        <v>317.38</v>
      </c>
      <c r="Z11" s="157">
        <v>299.83999999999997</v>
      </c>
      <c r="AA11" s="157">
        <v>409.66</v>
      </c>
      <c r="AB11" s="157">
        <v>383.31</v>
      </c>
      <c r="AC11" s="157">
        <v>361.96</v>
      </c>
      <c r="AD11" s="157">
        <v>467.16</v>
      </c>
      <c r="AE11" s="157">
        <v>358.4</v>
      </c>
      <c r="AF11" s="157">
        <v>322.2</v>
      </c>
      <c r="AG11" s="157">
        <v>419.05</v>
      </c>
      <c r="AH11" s="157">
        <v>266.44</v>
      </c>
      <c r="AI11" s="158">
        <v>11461.81</v>
      </c>
    </row>
    <row r="12" spans="1:35" ht="15" x14ac:dyDescent="0.25">
      <c r="A12" s="155">
        <v>8</v>
      </c>
      <c r="B12" s="156">
        <v>310.29000000000002</v>
      </c>
      <c r="C12" s="157">
        <v>362.7</v>
      </c>
      <c r="D12" s="157">
        <v>299.31</v>
      </c>
      <c r="E12" s="157">
        <v>409.18</v>
      </c>
      <c r="F12" s="157">
        <v>372.95</v>
      </c>
      <c r="G12" s="157">
        <v>381.72</v>
      </c>
      <c r="H12" s="157">
        <v>461.08</v>
      </c>
      <c r="I12" s="157">
        <v>438.09</v>
      </c>
      <c r="J12" s="157">
        <v>420.49</v>
      </c>
      <c r="K12" s="157">
        <v>339.94</v>
      </c>
      <c r="L12" s="157">
        <v>230.88</v>
      </c>
      <c r="M12" s="157">
        <v>320.93</v>
      </c>
      <c r="N12" s="157">
        <v>272.8</v>
      </c>
      <c r="O12" s="157">
        <v>265.41000000000003</v>
      </c>
      <c r="P12" s="157">
        <v>309.64</v>
      </c>
      <c r="Q12" s="157">
        <v>375.56</v>
      </c>
      <c r="R12" s="157">
        <v>292.60000000000002</v>
      </c>
      <c r="S12" s="157">
        <v>401.88</v>
      </c>
      <c r="T12" s="157">
        <v>351.01</v>
      </c>
      <c r="U12" s="157">
        <v>379.46</v>
      </c>
      <c r="V12" s="157">
        <v>359.98</v>
      </c>
      <c r="W12" s="157">
        <v>262.44</v>
      </c>
      <c r="X12" s="157">
        <v>328.88</v>
      </c>
      <c r="Y12" s="157">
        <v>321.04000000000002</v>
      </c>
      <c r="Z12" s="157">
        <v>303.45999999999998</v>
      </c>
      <c r="AA12" s="157">
        <v>414.07</v>
      </c>
      <c r="AB12" s="157">
        <v>387.75</v>
      </c>
      <c r="AC12" s="157">
        <v>365.95</v>
      </c>
      <c r="AD12" s="157">
        <v>471.6</v>
      </c>
      <c r="AE12" s="157">
        <v>361.64</v>
      </c>
      <c r="AF12" s="157">
        <v>327.8</v>
      </c>
      <c r="AG12" s="157">
        <v>424.48</v>
      </c>
      <c r="AH12" s="157">
        <v>272.35000000000002</v>
      </c>
      <c r="AI12" s="158">
        <v>11597.36</v>
      </c>
    </row>
    <row r="13" spans="1:35" ht="15" x14ac:dyDescent="0.25">
      <c r="A13" s="155">
        <v>9</v>
      </c>
      <c r="B13" s="156">
        <v>314.36</v>
      </c>
      <c r="C13" s="157">
        <v>367.04</v>
      </c>
      <c r="D13" s="157">
        <v>302.81</v>
      </c>
      <c r="E13" s="157">
        <v>413.37</v>
      </c>
      <c r="F13" s="157">
        <v>376.75</v>
      </c>
      <c r="G13" s="157">
        <v>385.53</v>
      </c>
      <c r="H13" s="157">
        <v>465.23</v>
      </c>
      <c r="I13" s="157">
        <v>442.36</v>
      </c>
      <c r="J13" s="157">
        <v>424.95</v>
      </c>
      <c r="K13" s="157">
        <v>344.02</v>
      </c>
      <c r="L13" s="157">
        <v>235.35</v>
      </c>
      <c r="M13" s="157">
        <v>325.26</v>
      </c>
      <c r="N13" s="157">
        <v>276.77</v>
      </c>
      <c r="O13" s="157">
        <v>269.20999999999998</v>
      </c>
      <c r="P13" s="157">
        <v>313.27</v>
      </c>
      <c r="Q13" s="157">
        <v>379.9</v>
      </c>
      <c r="R13" s="157">
        <v>295.93</v>
      </c>
      <c r="S13" s="157">
        <v>406.31</v>
      </c>
      <c r="T13" s="157">
        <v>355.14</v>
      </c>
      <c r="U13" s="157">
        <v>383.83</v>
      </c>
      <c r="V13" s="157">
        <v>364.87</v>
      </c>
      <c r="W13" s="157">
        <v>266.41000000000003</v>
      </c>
      <c r="X13" s="157">
        <v>333.28</v>
      </c>
      <c r="Y13" s="157">
        <v>324.87</v>
      </c>
      <c r="Z13" s="157">
        <v>307.26</v>
      </c>
      <c r="AA13" s="157">
        <v>418.65</v>
      </c>
      <c r="AB13" s="157">
        <v>392.38</v>
      </c>
      <c r="AC13" s="157">
        <v>370.11</v>
      </c>
      <c r="AD13" s="157">
        <v>476.19</v>
      </c>
      <c r="AE13" s="157">
        <v>364.98</v>
      </c>
      <c r="AF13" s="157">
        <v>333.68</v>
      </c>
      <c r="AG13" s="157">
        <v>430.17</v>
      </c>
      <c r="AH13" s="157">
        <v>278.60000000000002</v>
      </c>
      <c r="AI13" s="158">
        <v>11738.84</v>
      </c>
    </row>
    <row r="14" spans="1:35" ht="15" x14ac:dyDescent="0.25">
      <c r="A14" s="155">
        <v>10</v>
      </c>
      <c r="B14" s="156">
        <v>318.61</v>
      </c>
      <c r="C14" s="157">
        <v>371.58</v>
      </c>
      <c r="D14" s="157">
        <v>306.47000000000003</v>
      </c>
      <c r="E14" s="157">
        <v>417.71</v>
      </c>
      <c r="F14" s="157">
        <v>380.71</v>
      </c>
      <c r="G14" s="157">
        <v>389.49</v>
      </c>
      <c r="H14" s="157">
        <v>469.5</v>
      </c>
      <c r="I14" s="157">
        <v>446.77</v>
      </c>
      <c r="J14" s="157">
        <v>429.58</v>
      </c>
      <c r="K14" s="157">
        <v>348.28</v>
      </c>
      <c r="L14" s="157">
        <v>240.08</v>
      </c>
      <c r="M14" s="157">
        <v>329.8</v>
      </c>
      <c r="N14" s="157">
        <v>280.94</v>
      </c>
      <c r="O14" s="157">
        <v>273.22000000000003</v>
      </c>
      <c r="P14" s="157">
        <v>317.06</v>
      </c>
      <c r="Q14" s="157">
        <v>384.42</v>
      </c>
      <c r="R14" s="157">
        <v>299.39999999999998</v>
      </c>
      <c r="S14" s="157">
        <v>410.92</v>
      </c>
      <c r="T14" s="157">
        <v>359.45</v>
      </c>
      <c r="U14" s="157">
        <v>388.38</v>
      </c>
      <c r="V14" s="157">
        <v>369.99</v>
      </c>
      <c r="W14" s="157">
        <v>270.61</v>
      </c>
      <c r="X14" s="157">
        <v>337.9</v>
      </c>
      <c r="Y14" s="157">
        <v>328.88</v>
      </c>
      <c r="Z14" s="157">
        <v>311.23</v>
      </c>
      <c r="AA14" s="157">
        <v>423.42</v>
      </c>
      <c r="AB14" s="157">
        <v>397.22</v>
      </c>
      <c r="AC14" s="157">
        <v>374.44</v>
      </c>
      <c r="AD14" s="157">
        <v>480.95</v>
      </c>
      <c r="AE14" s="157">
        <v>368.43</v>
      </c>
      <c r="AF14" s="157">
        <v>339.87</v>
      </c>
      <c r="AG14" s="157">
        <v>436.13</v>
      </c>
      <c r="AH14" s="157">
        <v>285.24</v>
      </c>
      <c r="AI14" s="158">
        <v>11886.679999999998</v>
      </c>
    </row>
    <row r="15" spans="1:35" ht="15" x14ac:dyDescent="0.25">
      <c r="A15" s="155">
        <v>11</v>
      </c>
      <c r="B15" s="156">
        <v>323.07</v>
      </c>
      <c r="C15" s="157">
        <v>376.33</v>
      </c>
      <c r="D15" s="157">
        <v>310.29000000000002</v>
      </c>
      <c r="E15" s="157">
        <v>422.22</v>
      </c>
      <c r="F15" s="157">
        <v>384.83</v>
      </c>
      <c r="G15" s="157">
        <v>393.59</v>
      </c>
      <c r="H15" s="157">
        <v>473.9</v>
      </c>
      <c r="I15" s="157">
        <v>451.32</v>
      </c>
      <c r="J15" s="157">
        <v>434.37</v>
      </c>
      <c r="K15" s="157">
        <v>352.72</v>
      </c>
      <c r="L15" s="157">
        <v>245.08</v>
      </c>
      <c r="M15" s="157">
        <v>334.56</v>
      </c>
      <c r="N15" s="157">
        <v>285.33999999999997</v>
      </c>
      <c r="O15" s="157">
        <v>277.45</v>
      </c>
      <c r="P15" s="157">
        <v>321.02999999999997</v>
      </c>
      <c r="Q15" s="157">
        <v>389.12</v>
      </c>
      <c r="R15" s="157">
        <v>303.02</v>
      </c>
      <c r="S15" s="157">
        <v>415.7</v>
      </c>
      <c r="T15" s="157">
        <v>363.93</v>
      </c>
      <c r="U15" s="157">
        <v>393.11</v>
      </c>
      <c r="V15" s="157">
        <v>375.34</v>
      </c>
      <c r="W15" s="157">
        <v>275.04000000000002</v>
      </c>
      <c r="X15" s="157">
        <v>342.74</v>
      </c>
      <c r="Y15" s="157">
        <v>333.09</v>
      </c>
      <c r="Z15" s="157">
        <v>315.39</v>
      </c>
      <c r="AA15" s="157">
        <v>428.38</v>
      </c>
      <c r="AB15" s="157">
        <v>402.28</v>
      </c>
      <c r="AC15" s="157">
        <v>378.95</v>
      </c>
      <c r="AD15" s="157">
        <v>485.87</v>
      </c>
      <c r="AE15" s="157">
        <v>371.98</v>
      </c>
      <c r="AF15" s="157">
        <v>346.39</v>
      </c>
      <c r="AG15" s="157">
        <v>442.37</v>
      </c>
      <c r="AH15" s="157">
        <v>292.27</v>
      </c>
      <c r="AI15" s="158">
        <v>12041.070000000002</v>
      </c>
    </row>
    <row r="16" spans="1:35" ht="15" x14ac:dyDescent="0.25">
      <c r="A16" s="155">
        <v>12</v>
      </c>
      <c r="B16" s="156">
        <v>327.75</v>
      </c>
      <c r="C16" s="157">
        <v>381.31</v>
      </c>
      <c r="D16" s="157">
        <v>314.27999999999997</v>
      </c>
      <c r="E16" s="157">
        <v>426.89</v>
      </c>
      <c r="F16" s="157">
        <v>389.14</v>
      </c>
      <c r="G16" s="157">
        <v>397.85</v>
      </c>
      <c r="H16" s="157">
        <v>478.44</v>
      </c>
      <c r="I16" s="157">
        <v>456.03</v>
      </c>
      <c r="J16" s="157">
        <v>439.34</v>
      </c>
      <c r="K16" s="157">
        <v>357.36</v>
      </c>
      <c r="L16" s="157">
        <v>250.37</v>
      </c>
      <c r="M16" s="157">
        <v>339.56</v>
      </c>
      <c r="N16" s="157">
        <v>289.98</v>
      </c>
      <c r="O16" s="157">
        <v>281.89999999999998</v>
      </c>
      <c r="P16" s="157">
        <v>325.19</v>
      </c>
      <c r="Q16" s="157">
        <v>394.01</v>
      </c>
      <c r="R16" s="157">
        <v>306.8</v>
      </c>
      <c r="S16" s="157">
        <v>420.68</v>
      </c>
      <c r="T16" s="157">
        <v>368.61</v>
      </c>
      <c r="U16" s="157">
        <v>398.05</v>
      </c>
      <c r="V16" s="157">
        <v>380.93</v>
      </c>
      <c r="W16" s="157">
        <v>279.73</v>
      </c>
      <c r="X16" s="157">
        <v>347.82</v>
      </c>
      <c r="Y16" s="157">
        <v>337.51</v>
      </c>
      <c r="Z16" s="157">
        <v>319.76</v>
      </c>
      <c r="AA16" s="157">
        <v>433.55</v>
      </c>
      <c r="AB16" s="157">
        <v>407.57</v>
      </c>
      <c r="AC16" s="157">
        <v>383.65</v>
      </c>
      <c r="AD16" s="157">
        <v>490.96</v>
      </c>
      <c r="AE16" s="157">
        <v>375.65</v>
      </c>
      <c r="AF16" s="157">
        <v>353.24</v>
      </c>
      <c r="AG16" s="157">
        <v>448.91</v>
      </c>
      <c r="AH16" s="157">
        <v>299.72000000000003</v>
      </c>
      <c r="AI16" s="158">
        <v>12202.539999999997</v>
      </c>
    </row>
    <row r="17" spans="1:35" ht="15" x14ac:dyDescent="0.25">
      <c r="A17" s="155">
        <v>13</v>
      </c>
      <c r="B17" s="156">
        <v>332.64</v>
      </c>
      <c r="C17" s="157">
        <v>386.53</v>
      </c>
      <c r="D17" s="157">
        <v>318.45</v>
      </c>
      <c r="E17" s="157">
        <v>431.74</v>
      </c>
      <c r="F17" s="157">
        <v>393.63</v>
      </c>
      <c r="G17" s="157">
        <v>402.27</v>
      </c>
      <c r="H17" s="157">
        <v>483.11</v>
      </c>
      <c r="I17" s="157">
        <v>460.9</v>
      </c>
      <c r="J17" s="157">
        <v>444.49</v>
      </c>
      <c r="K17" s="157">
        <v>362.21</v>
      </c>
      <c r="L17" s="157">
        <v>255.96</v>
      </c>
      <c r="M17" s="157">
        <v>344.8</v>
      </c>
      <c r="N17" s="157">
        <v>294.87</v>
      </c>
      <c r="O17" s="157">
        <v>286.58999999999997</v>
      </c>
      <c r="P17" s="157">
        <v>329.54</v>
      </c>
      <c r="Q17" s="157">
        <v>399.11</v>
      </c>
      <c r="R17" s="157">
        <v>310.75</v>
      </c>
      <c r="S17" s="157">
        <v>425.85</v>
      </c>
      <c r="T17" s="157">
        <v>373.48</v>
      </c>
      <c r="U17" s="157">
        <v>403.18</v>
      </c>
      <c r="V17" s="157">
        <v>386.78</v>
      </c>
      <c r="W17" s="157">
        <v>284.69</v>
      </c>
      <c r="X17" s="157">
        <v>353.15</v>
      </c>
      <c r="Y17" s="157">
        <v>342.14</v>
      </c>
      <c r="Z17" s="157">
        <v>324.33999999999997</v>
      </c>
      <c r="AA17" s="157">
        <v>438.93</v>
      </c>
      <c r="AB17" s="157">
        <v>413.09</v>
      </c>
      <c r="AC17" s="157">
        <v>388.54</v>
      </c>
      <c r="AD17" s="157">
        <v>496.24</v>
      </c>
      <c r="AE17" s="157">
        <v>379.42</v>
      </c>
      <c r="AF17" s="157">
        <v>360.44</v>
      </c>
      <c r="AG17" s="157">
        <v>455.76</v>
      </c>
      <c r="AH17" s="157">
        <v>307.62</v>
      </c>
      <c r="AI17" s="158">
        <v>12371.240000000002</v>
      </c>
    </row>
    <row r="18" spans="1:35" ht="15" x14ac:dyDescent="0.25">
      <c r="A18" s="155">
        <v>14</v>
      </c>
      <c r="B18" s="156">
        <v>337.77</v>
      </c>
      <c r="C18" s="157">
        <v>392.01</v>
      </c>
      <c r="D18" s="157">
        <v>322.8</v>
      </c>
      <c r="E18" s="157">
        <v>436.77</v>
      </c>
      <c r="F18" s="157">
        <v>398.32</v>
      </c>
      <c r="G18" s="157">
        <v>406.86</v>
      </c>
      <c r="H18" s="157">
        <v>487.93</v>
      </c>
      <c r="I18" s="157">
        <v>465.93</v>
      </c>
      <c r="J18" s="157">
        <v>449.84</v>
      </c>
      <c r="K18" s="157">
        <v>367.27</v>
      </c>
      <c r="L18" s="157">
        <v>261.88</v>
      </c>
      <c r="M18" s="157">
        <v>350.31</v>
      </c>
      <c r="N18" s="157">
        <v>300.02999999999997</v>
      </c>
      <c r="O18" s="157">
        <v>291.54000000000002</v>
      </c>
      <c r="P18" s="157">
        <v>334.09</v>
      </c>
      <c r="Q18" s="157">
        <v>404.42</v>
      </c>
      <c r="R18" s="157">
        <v>314.87</v>
      </c>
      <c r="S18" s="157">
        <v>431.23</v>
      </c>
      <c r="T18" s="157">
        <v>378.56</v>
      </c>
      <c r="U18" s="157">
        <v>408.53</v>
      </c>
      <c r="V18" s="157">
        <v>392.91</v>
      </c>
      <c r="W18" s="157">
        <v>289.94</v>
      </c>
      <c r="X18" s="157">
        <v>358.75</v>
      </c>
      <c r="Y18" s="157">
        <v>347.01</v>
      </c>
      <c r="Z18" s="157">
        <v>329.14</v>
      </c>
      <c r="AA18" s="157">
        <v>444.53</v>
      </c>
      <c r="AB18" s="157">
        <v>418.87</v>
      </c>
      <c r="AC18" s="157">
        <v>393.64</v>
      </c>
      <c r="AD18" s="157">
        <v>501.71</v>
      </c>
      <c r="AE18" s="157">
        <v>383.31</v>
      </c>
      <c r="AF18" s="157">
        <v>368.01</v>
      </c>
      <c r="AG18" s="157">
        <v>462.93</v>
      </c>
      <c r="AH18" s="157">
        <v>315.98</v>
      </c>
      <c r="AI18" s="158">
        <v>12547.689999999999</v>
      </c>
    </row>
    <row r="19" spans="1:35" ht="15" x14ac:dyDescent="0.25">
      <c r="A19" s="155">
        <v>15</v>
      </c>
      <c r="B19" s="156">
        <v>343.15</v>
      </c>
      <c r="C19" s="157">
        <v>397.76</v>
      </c>
      <c r="D19" s="157">
        <v>327.35000000000002</v>
      </c>
      <c r="E19" s="157">
        <v>442</v>
      </c>
      <c r="F19" s="157">
        <v>403.22</v>
      </c>
      <c r="G19" s="157">
        <v>411.62</v>
      </c>
      <c r="H19" s="157">
        <v>492.89</v>
      </c>
      <c r="I19" s="157">
        <v>471.12</v>
      </c>
      <c r="J19" s="157">
        <v>455.38</v>
      </c>
      <c r="K19" s="157">
        <v>372.55</v>
      </c>
      <c r="L19" s="157">
        <v>268.12</v>
      </c>
      <c r="M19" s="157">
        <v>356.08</v>
      </c>
      <c r="N19" s="157">
        <v>305.47000000000003</v>
      </c>
      <c r="O19" s="157">
        <v>296.77</v>
      </c>
      <c r="P19" s="157">
        <v>338.87</v>
      </c>
      <c r="Q19" s="157">
        <v>409.94</v>
      </c>
      <c r="R19" s="157">
        <v>319.17</v>
      </c>
      <c r="S19" s="157">
        <v>436.83</v>
      </c>
      <c r="T19" s="157">
        <v>383.86</v>
      </c>
      <c r="U19" s="157">
        <v>414.09</v>
      </c>
      <c r="V19" s="157">
        <v>399.31</v>
      </c>
      <c r="W19" s="157">
        <v>295.48</v>
      </c>
      <c r="X19" s="157">
        <v>364.62</v>
      </c>
      <c r="Y19" s="157">
        <v>352.11</v>
      </c>
      <c r="Z19" s="157">
        <v>334.18</v>
      </c>
      <c r="AA19" s="157">
        <v>450.37</v>
      </c>
      <c r="AB19" s="157">
        <v>424.91</v>
      </c>
      <c r="AC19" s="157">
        <v>398.96</v>
      </c>
      <c r="AD19" s="157">
        <v>507.37</v>
      </c>
      <c r="AE19" s="157">
        <v>387.32</v>
      </c>
      <c r="AF19" s="157">
        <v>375.97</v>
      </c>
      <c r="AG19" s="157">
        <v>470.45</v>
      </c>
      <c r="AH19" s="157">
        <v>324.83999999999997</v>
      </c>
      <c r="AI19" s="158">
        <v>12732.130000000001</v>
      </c>
    </row>
    <row r="20" spans="1:35" ht="15" x14ac:dyDescent="0.25">
      <c r="A20" s="155">
        <v>16</v>
      </c>
      <c r="B20" s="156">
        <v>348.79</v>
      </c>
      <c r="C20" s="157">
        <v>403.79</v>
      </c>
      <c r="D20" s="157">
        <v>332.1</v>
      </c>
      <c r="E20" s="157">
        <v>447.41</v>
      </c>
      <c r="F20" s="157">
        <v>408.34</v>
      </c>
      <c r="G20" s="157">
        <v>416.57</v>
      </c>
      <c r="H20" s="157">
        <v>498</v>
      </c>
      <c r="I20" s="157">
        <v>476.49</v>
      </c>
      <c r="J20" s="157">
        <v>461.12</v>
      </c>
      <c r="K20" s="157">
        <v>378.07</v>
      </c>
      <c r="L20" s="157">
        <v>274.72000000000003</v>
      </c>
      <c r="M20" s="157">
        <v>362.15</v>
      </c>
      <c r="N20" s="157">
        <v>311.22000000000003</v>
      </c>
      <c r="O20" s="157">
        <v>302.27999999999997</v>
      </c>
      <c r="P20" s="157">
        <v>343.86</v>
      </c>
      <c r="Q20" s="157">
        <v>415.7</v>
      </c>
      <c r="R20" s="157">
        <v>323.67</v>
      </c>
      <c r="S20" s="157">
        <v>442.65</v>
      </c>
      <c r="T20" s="157">
        <v>389.37</v>
      </c>
      <c r="U20" s="157">
        <v>419.88</v>
      </c>
      <c r="V20" s="157">
        <v>406.01</v>
      </c>
      <c r="W20" s="157">
        <v>301.35000000000002</v>
      </c>
      <c r="X20" s="157">
        <v>370.78</v>
      </c>
      <c r="Y20" s="157">
        <v>357.48</v>
      </c>
      <c r="Z20" s="157">
        <v>339.46</v>
      </c>
      <c r="AA20" s="157">
        <v>456.45</v>
      </c>
      <c r="AB20" s="157">
        <v>431.23</v>
      </c>
      <c r="AC20" s="157">
        <v>404.5</v>
      </c>
      <c r="AD20" s="157">
        <v>513.25</v>
      </c>
      <c r="AE20" s="157">
        <v>391.45</v>
      </c>
      <c r="AF20" s="157">
        <v>384.33</v>
      </c>
      <c r="AG20" s="157">
        <v>478.33</v>
      </c>
      <c r="AH20" s="157">
        <v>334.22</v>
      </c>
      <c r="AI20" s="158">
        <v>12925.019999999999</v>
      </c>
    </row>
    <row r="21" spans="1:35" ht="15" x14ac:dyDescent="0.25">
      <c r="A21" s="155">
        <v>17</v>
      </c>
      <c r="B21" s="156">
        <v>354.7</v>
      </c>
      <c r="C21" s="157">
        <v>410.12</v>
      </c>
      <c r="D21" s="157">
        <v>337.06</v>
      </c>
      <c r="E21" s="157">
        <v>453.04</v>
      </c>
      <c r="F21" s="157">
        <v>413.69</v>
      </c>
      <c r="G21" s="157">
        <v>421.71</v>
      </c>
      <c r="H21" s="157">
        <v>503.27</v>
      </c>
      <c r="I21" s="157">
        <v>482.02</v>
      </c>
      <c r="J21" s="157">
        <v>467.07</v>
      </c>
      <c r="K21" s="157">
        <v>383.83</v>
      </c>
      <c r="L21" s="157">
        <v>281.69</v>
      </c>
      <c r="M21" s="157">
        <v>368.52</v>
      </c>
      <c r="N21" s="157">
        <v>317.27999999999997</v>
      </c>
      <c r="O21" s="157">
        <v>308.08999999999997</v>
      </c>
      <c r="P21" s="157">
        <v>349.1</v>
      </c>
      <c r="Q21" s="157">
        <v>421.68</v>
      </c>
      <c r="R21" s="157">
        <v>328.37</v>
      </c>
      <c r="S21" s="157">
        <v>448.7</v>
      </c>
      <c r="T21" s="157">
        <v>395.12</v>
      </c>
      <c r="U21" s="157">
        <v>425.9</v>
      </c>
      <c r="V21" s="157">
        <v>413.01</v>
      </c>
      <c r="W21" s="157">
        <v>307.55</v>
      </c>
      <c r="X21" s="157">
        <v>377.25</v>
      </c>
      <c r="Y21" s="157">
        <v>363.12</v>
      </c>
      <c r="Z21" s="157">
        <v>345.01</v>
      </c>
      <c r="AA21" s="157">
        <v>462.79</v>
      </c>
      <c r="AB21" s="157">
        <v>437.84</v>
      </c>
      <c r="AC21" s="157">
        <v>410.28</v>
      </c>
      <c r="AD21" s="157">
        <v>519.33000000000004</v>
      </c>
      <c r="AE21" s="157">
        <v>395.7</v>
      </c>
      <c r="AF21" s="157">
        <v>393.11</v>
      </c>
      <c r="AG21" s="157">
        <v>486.58</v>
      </c>
      <c r="AH21" s="157">
        <v>344.14</v>
      </c>
      <c r="AI21" s="158">
        <v>13126.670000000002</v>
      </c>
    </row>
    <row r="22" spans="1:35" ht="15" x14ac:dyDescent="0.25">
      <c r="A22" s="155">
        <v>18</v>
      </c>
      <c r="B22" s="156">
        <v>360.89</v>
      </c>
      <c r="C22" s="157">
        <v>416.77</v>
      </c>
      <c r="D22" s="157">
        <v>342.25</v>
      </c>
      <c r="E22" s="157">
        <v>458.86</v>
      </c>
      <c r="F22" s="157">
        <v>419.29</v>
      </c>
      <c r="G22" s="157">
        <v>427.05</v>
      </c>
      <c r="H22" s="157">
        <v>508.68</v>
      </c>
      <c r="I22" s="157">
        <v>487.74</v>
      </c>
      <c r="J22" s="157">
        <v>473.23</v>
      </c>
      <c r="K22" s="157">
        <v>389.85</v>
      </c>
      <c r="L22" s="157">
        <v>289.04000000000002</v>
      </c>
      <c r="M22" s="157">
        <v>375.2</v>
      </c>
      <c r="N22" s="157">
        <v>323.68</v>
      </c>
      <c r="O22" s="157">
        <v>314.23</v>
      </c>
      <c r="P22" s="157">
        <v>354.59</v>
      </c>
      <c r="Q22" s="157">
        <v>427.91</v>
      </c>
      <c r="R22" s="157">
        <v>333.28</v>
      </c>
      <c r="S22" s="157">
        <v>454.99</v>
      </c>
      <c r="T22" s="157">
        <v>401.11</v>
      </c>
      <c r="U22" s="157">
        <v>432.17</v>
      </c>
      <c r="V22" s="157">
        <v>420.32</v>
      </c>
      <c r="W22" s="157">
        <v>314.10000000000002</v>
      </c>
      <c r="X22" s="157">
        <v>384.04</v>
      </c>
      <c r="Y22" s="157">
        <v>369.05</v>
      </c>
      <c r="Z22" s="157">
        <v>350.84</v>
      </c>
      <c r="AA22" s="157">
        <v>469.39</v>
      </c>
      <c r="AB22" s="157">
        <v>444.75</v>
      </c>
      <c r="AC22" s="157">
        <v>416.3</v>
      </c>
      <c r="AD22" s="157">
        <v>525.63</v>
      </c>
      <c r="AE22" s="157">
        <v>400.06</v>
      </c>
      <c r="AF22" s="157">
        <v>402.32</v>
      </c>
      <c r="AG22" s="157">
        <v>495.22</v>
      </c>
      <c r="AH22" s="157">
        <v>354.63</v>
      </c>
      <c r="AI22" s="158">
        <v>13337.459999999995</v>
      </c>
    </row>
    <row r="23" spans="1:35" ht="15" x14ac:dyDescent="0.25">
      <c r="A23" s="155">
        <v>19</v>
      </c>
      <c r="B23" s="156">
        <v>367.38</v>
      </c>
      <c r="C23" s="157">
        <v>423.75</v>
      </c>
      <c r="D23" s="157">
        <v>347.67</v>
      </c>
      <c r="E23" s="157">
        <v>464.91</v>
      </c>
      <c r="F23" s="157">
        <v>425.15</v>
      </c>
      <c r="G23" s="157">
        <v>432.58</v>
      </c>
      <c r="H23" s="157">
        <v>514.26</v>
      </c>
      <c r="I23" s="157">
        <v>493.63</v>
      </c>
      <c r="J23" s="157">
        <v>479.61</v>
      </c>
      <c r="K23" s="157">
        <v>396.13</v>
      </c>
      <c r="L23" s="157">
        <v>296.8</v>
      </c>
      <c r="M23" s="157">
        <v>382.21</v>
      </c>
      <c r="N23" s="157">
        <v>330.43</v>
      </c>
      <c r="O23" s="157">
        <v>320.70999999999998</v>
      </c>
      <c r="P23" s="157">
        <v>360.34</v>
      </c>
      <c r="Q23" s="157">
        <v>434.39</v>
      </c>
      <c r="R23" s="157">
        <v>338.41</v>
      </c>
      <c r="S23" s="157">
        <v>461.52</v>
      </c>
      <c r="T23" s="157">
        <v>407.34</v>
      </c>
      <c r="U23" s="157">
        <v>438.68</v>
      </c>
      <c r="V23" s="157">
        <v>427.96</v>
      </c>
      <c r="W23" s="157">
        <v>321.02999999999997</v>
      </c>
      <c r="X23" s="157">
        <v>391.15</v>
      </c>
      <c r="Y23" s="157">
        <v>375.28</v>
      </c>
      <c r="Z23" s="157">
        <v>356.95</v>
      </c>
      <c r="AA23" s="157">
        <v>476.26</v>
      </c>
      <c r="AB23" s="157">
        <v>451.98</v>
      </c>
      <c r="AC23" s="157">
        <v>422.57</v>
      </c>
      <c r="AD23" s="157">
        <v>532.16</v>
      </c>
      <c r="AE23" s="157">
        <v>404.55</v>
      </c>
      <c r="AF23" s="157">
        <v>411.97</v>
      </c>
      <c r="AG23" s="157">
        <v>504.26</v>
      </c>
      <c r="AH23" s="157">
        <v>365.71</v>
      </c>
      <c r="AI23" s="158">
        <v>13557.73</v>
      </c>
    </row>
    <row r="24" spans="1:35" ht="15" x14ac:dyDescent="0.25">
      <c r="A24" s="155">
        <v>20</v>
      </c>
      <c r="B24" s="156">
        <v>374.17</v>
      </c>
      <c r="C24" s="157">
        <v>431.09</v>
      </c>
      <c r="D24" s="157">
        <v>353.32</v>
      </c>
      <c r="E24" s="157">
        <v>471.17</v>
      </c>
      <c r="F24" s="157">
        <v>431.28</v>
      </c>
      <c r="G24" s="157">
        <v>438.33</v>
      </c>
      <c r="H24" s="157">
        <v>519.98</v>
      </c>
      <c r="I24" s="157">
        <v>499.7</v>
      </c>
      <c r="J24" s="157">
        <v>486.2</v>
      </c>
      <c r="K24" s="157">
        <v>402.68</v>
      </c>
      <c r="L24" s="157">
        <v>304.97000000000003</v>
      </c>
      <c r="M24" s="157">
        <v>389.56</v>
      </c>
      <c r="N24" s="157">
        <v>337.55</v>
      </c>
      <c r="O24" s="157">
        <v>327.54000000000002</v>
      </c>
      <c r="P24" s="157">
        <v>366.36</v>
      </c>
      <c r="Q24" s="157">
        <v>441.13</v>
      </c>
      <c r="R24" s="157">
        <v>343.76</v>
      </c>
      <c r="S24" s="157">
        <v>468.3</v>
      </c>
      <c r="T24" s="157">
        <v>413.82</v>
      </c>
      <c r="U24" s="157">
        <v>445.44</v>
      </c>
      <c r="V24" s="157">
        <v>435.93</v>
      </c>
      <c r="W24" s="157">
        <v>328.35</v>
      </c>
      <c r="X24" s="157">
        <v>398.62</v>
      </c>
      <c r="Y24" s="157">
        <v>381.83</v>
      </c>
      <c r="Z24" s="157">
        <v>363.37</v>
      </c>
      <c r="AA24" s="157">
        <v>483.42</v>
      </c>
      <c r="AB24" s="157">
        <v>459.53</v>
      </c>
      <c r="AC24" s="157">
        <v>429.09</v>
      </c>
      <c r="AD24" s="157">
        <v>538.91999999999996</v>
      </c>
      <c r="AE24" s="157">
        <v>409.15</v>
      </c>
      <c r="AF24" s="157">
        <v>422.08</v>
      </c>
      <c r="AG24" s="157">
        <v>513.72</v>
      </c>
      <c r="AH24" s="157">
        <v>377.4</v>
      </c>
      <c r="AI24" s="158">
        <v>13787.760000000002</v>
      </c>
    </row>
    <row r="25" spans="1:35" ht="15" x14ac:dyDescent="0.25">
      <c r="A25" s="155">
        <v>21</v>
      </c>
      <c r="B25" s="156">
        <v>381.27</v>
      </c>
      <c r="C25" s="157">
        <v>438.79</v>
      </c>
      <c r="D25" s="157">
        <v>359.22</v>
      </c>
      <c r="E25" s="157">
        <v>477.65</v>
      </c>
      <c r="F25" s="157">
        <v>437.7</v>
      </c>
      <c r="G25" s="157">
        <v>444.29</v>
      </c>
      <c r="H25" s="157">
        <v>525.86</v>
      </c>
      <c r="I25" s="157">
        <v>505.95</v>
      </c>
      <c r="J25" s="157">
        <v>493.01</v>
      </c>
      <c r="K25" s="157">
        <v>409.5</v>
      </c>
      <c r="L25" s="157">
        <v>313.58</v>
      </c>
      <c r="M25" s="157">
        <v>397.27</v>
      </c>
      <c r="N25" s="157">
        <v>345.07</v>
      </c>
      <c r="O25" s="157">
        <v>334.75</v>
      </c>
      <c r="P25" s="157">
        <v>372.67</v>
      </c>
      <c r="Q25" s="157">
        <v>448.12</v>
      </c>
      <c r="R25" s="157">
        <v>349.35</v>
      </c>
      <c r="S25" s="157">
        <v>475.34</v>
      </c>
      <c r="T25" s="157">
        <v>420.55</v>
      </c>
      <c r="U25" s="157">
        <v>452.46</v>
      </c>
      <c r="V25" s="157">
        <v>444.24</v>
      </c>
      <c r="W25" s="157">
        <v>336.08</v>
      </c>
      <c r="X25" s="157">
        <v>406.44</v>
      </c>
      <c r="Y25" s="157">
        <v>388.71</v>
      </c>
      <c r="Z25" s="157">
        <v>370.11</v>
      </c>
      <c r="AA25" s="157">
        <v>490.86</v>
      </c>
      <c r="AB25" s="157">
        <v>467.42</v>
      </c>
      <c r="AC25" s="157">
        <v>435.88</v>
      </c>
      <c r="AD25" s="157">
        <v>545.91999999999996</v>
      </c>
      <c r="AE25" s="157">
        <v>413.86</v>
      </c>
      <c r="AF25" s="157">
        <v>432.66</v>
      </c>
      <c r="AG25" s="157">
        <v>523.6</v>
      </c>
      <c r="AH25" s="157">
        <v>389.73</v>
      </c>
      <c r="AI25" s="158">
        <v>14027.91</v>
      </c>
    </row>
    <row r="26" spans="1:35" ht="15" x14ac:dyDescent="0.25">
      <c r="A26" s="155">
        <v>22</v>
      </c>
      <c r="B26" s="156">
        <v>388.7</v>
      </c>
      <c r="C26" s="157">
        <v>446.87</v>
      </c>
      <c r="D26" s="157">
        <v>365.38</v>
      </c>
      <c r="E26" s="157">
        <v>484.35</v>
      </c>
      <c r="F26" s="157">
        <v>444.41</v>
      </c>
      <c r="G26" s="157">
        <v>450.47</v>
      </c>
      <c r="H26" s="157">
        <v>531.89</v>
      </c>
      <c r="I26" s="157">
        <v>512.37</v>
      </c>
      <c r="J26" s="157">
        <v>500.05</v>
      </c>
      <c r="K26" s="157">
        <v>416.6</v>
      </c>
      <c r="L26" s="157">
        <v>322.62</v>
      </c>
      <c r="M26" s="157">
        <v>405.34</v>
      </c>
      <c r="N26" s="157">
        <v>352.99</v>
      </c>
      <c r="O26" s="157">
        <v>342.34</v>
      </c>
      <c r="P26" s="157">
        <v>379.27</v>
      </c>
      <c r="Q26" s="157">
        <v>455.39</v>
      </c>
      <c r="R26" s="157">
        <v>355.18</v>
      </c>
      <c r="S26" s="157">
        <v>482.63</v>
      </c>
      <c r="T26" s="157">
        <v>427.55</v>
      </c>
      <c r="U26" s="157">
        <v>459.73</v>
      </c>
      <c r="V26" s="157">
        <v>452.89</v>
      </c>
      <c r="W26" s="157">
        <v>344.22</v>
      </c>
      <c r="X26" s="157">
        <v>414.63</v>
      </c>
      <c r="Y26" s="157">
        <v>395.95</v>
      </c>
      <c r="Z26" s="157">
        <v>377.17</v>
      </c>
      <c r="AA26" s="157">
        <v>498.6</v>
      </c>
      <c r="AB26" s="157">
        <v>475.65</v>
      </c>
      <c r="AC26" s="157">
        <v>442.94</v>
      </c>
      <c r="AD26" s="157">
        <v>553.15</v>
      </c>
      <c r="AE26" s="157">
        <v>418.69</v>
      </c>
      <c r="AF26" s="157">
        <v>443.7</v>
      </c>
      <c r="AG26" s="157">
        <v>533.92999999999995</v>
      </c>
      <c r="AH26" s="157">
        <v>402.71</v>
      </c>
      <c r="AI26" s="158">
        <v>14278.36</v>
      </c>
    </row>
    <row r="27" spans="1:35" ht="15" x14ac:dyDescent="0.25">
      <c r="A27" s="155">
        <v>23</v>
      </c>
      <c r="B27" s="156">
        <v>396.47</v>
      </c>
      <c r="C27" s="157">
        <v>455.34</v>
      </c>
      <c r="D27" s="157">
        <v>371.78</v>
      </c>
      <c r="E27" s="157">
        <v>491.27</v>
      </c>
      <c r="F27" s="157">
        <v>451.44</v>
      </c>
      <c r="G27" s="157">
        <v>456.87</v>
      </c>
      <c r="H27" s="157">
        <v>538.07000000000005</v>
      </c>
      <c r="I27" s="157">
        <v>518.96</v>
      </c>
      <c r="J27" s="157">
        <v>507.3</v>
      </c>
      <c r="K27" s="157">
        <v>423.99</v>
      </c>
      <c r="L27" s="157">
        <v>332.12</v>
      </c>
      <c r="M27" s="157">
        <v>413.79</v>
      </c>
      <c r="N27" s="157">
        <v>361.35</v>
      </c>
      <c r="O27" s="157">
        <v>350.35</v>
      </c>
      <c r="P27" s="157">
        <v>386.18</v>
      </c>
      <c r="Q27" s="157">
        <v>462.92</v>
      </c>
      <c r="R27" s="157">
        <v>361.26</v>
      </c>
      <c r="S27" s="157">
        <v>490.19</v>
      </c>
      <c r="T27" s="157">
        <v>434.8</v>
      </c>
      <c r="U27" s="157">
        <v>467.26</v>
      </c>
      <c r="V27" s="157">
        <v>461.88</v>
      </c>
      <c r="W27" s="157">
        <v>352.81</v>
      </c>
      <c r="X27" s="157">
        <v>423.2</v>
      </c>
      <c r="Y27" s="157">
        <v>403.55</v>
      </c>
      <c r="Z27" s="157">
        <v>384.57</v>
      </c>
      <c r="AA27" s="157">
        <v>506.64</v>
      </c>
      <c r="AB27" s="157">
        <v>484.25</v>
      </c>
      <c r="AC27" s="157">
        <v>450.27</v>
      </c>
      <c r="AD27" s="157">
        <v>560.64</v>
      </c>
      <c r="AE27" s="157">
        <v>423.61</v>
      </c>
      <c r="AF27" s="157">
        <v>455.21</v>
      </c>
      <c r="AG27" s="157">
        <v>544.69000000000005</v>
      </c>
      <c r="AH27" s="157">
        <v>416.36</v>
      </c>
      <c r="AI27" s="158">
        <v>14539.39</v>
      </c>
    </row>
    <row r="28" spans="1:35" ht="15" x14ac:dyDescent="0.25">
      <c r="A28" s="155">
        <v>24</v>
      </c>
      <c r="B28" s="156">
        <v>404.57</v>
      </c>
      <c r="C28" s="157">
        <v>464.24</v>
      </c>
      <c r="D28" s="157">
        <v>378.45</v>
      </c>
      <c r="E28" s="157">
        <v>498.42</v>
      </c>
      <c r="F28" s="157">
        <v>458.8</v>
      </c>
      <c r="G28" s="157">
        <v>463.5</v>
      </c>
      <c r="H28" s="157">
        <v>544.39</v>
      </c>
      <c r="I28" s="157">
        <v>525.71</v>
      </c>
      <c r="J28" s="157">
        <v>514.76</v>
      </c>
      <c r="K28" s="157">
        <v>431.66</v>
      </c>
      <c r="L28" s="157">
        <v>342.08</v>
      </c>
      <c r="M28" s="157">
        <v>422.63</v>
      </c>
      <c r="N28" s="157">
        <v>370.15</v>
      </c>
      <c r="O28" s="157">
        <v>358.78</v>
      </c>
      <c r="P28" s="157">
        <v>393.41</v>
      </c>
      <c r="Q28" s="157">
        <v>470.72</v>
      </c>
      <c r="R28" s="157">
        <v>367.59</v>
      </c>
      <c r="S28" s="157">
        <v>498</v>
      </c>
      <c r="T28" s="157">
        <v>442.32</v>
      </c>
      <c r="U28" s="157">
        <v>475.05</v>
      </c>
      <c r="V28" s="157">
        <v>471.22</v>
      </c>
      <c r="W28" s="157">
        <v>361.84</v>
      </c>
      <c r="X28" s="157">
        <v>432.16</v>
      </c>
      <c r="Y28" s="157">
        <v>411.53</v>
      </c>
      <c r="Z28" s="157">
        <v>392.33</v>
      </c>
      <c r="AA28" s="157">
        <v>514.99</v>
      </c>
      <c r="AB28" s="157">
        <v>493.2</v>
      </c>
      <c r="AC28" s="157">
        <v>457.87</v>
      </c>
      <c r="AD28" s="157">
        <v>568.37</v>
      </c>
      <c r="AE28" s="157">
        <v>428.62</v>
      </c>
      <c r="AF28" s="157">
        <v>467.19</v>
      </c>
      <c r="AG28" s="157">
        <v>555.9</v>
      </c>
      <c r="AH28" s="157">
        <v>430.67</v>
      </c>
      <c r="AI28" s="158">
        <v>14811.120000000003</v>
      </c>
    </row>
    <row r="29" spans="1:35" ht="15" x14ac:dyDescent="0.25">
      <c r="A29" s="155">
        <v>25</v>
      </c>
      <c r="B29" s="156">
        <v>413.01</v>
      </c>
      <c r="C29" s="157">
        <v>473.55</v>
      </c>
      <c r="D29" s="157">
        <v>385.39</v>
      </c>
      <c r="E29" s="157">
        <v>505.78</v>
      </c>
      <c r="F29" s="157">
        <v>466.5</v>
      </c>
      <c r="G29" s="157">
        <v>470.35</v>
      </c>
      <c r="H29" s="157">
        <v>550.84</v>
      </c>
      <c r="I29" s="157">
        <v>532.61</v>
      </c>
      <c r="J29" s="157">
        <v>522.41999999999996</v>
      </c>
      <c r="K29" s="157">
        <v>439.62</v>
      </c>
      <c r="L29" s="157">
        <v>352.5</v>
      </c>
      <c r="M29" s="157">
        <v>431.85</v>
      </c>
      <c r="N29" s="157">
        <v>379.42</v>
      </c>
      <c r="O29" s="157">
        <v>367.66</v>
      </c>
      <c r="P29" s="157">
        <v>400.96</v>
      </c>
      <c r="Q29" s="157">
        <v>478.78</v>
      </c>
      <c r="R29" s="157">
        <v>374.18</v>
      </c>
      <c r="S29" s="157">
        <v>506.07</v>
      </c>
      <c r="T29" s="157">
        <v>450.09</v>
      </c>
      <c r="U29" s="157">
        <v>483.08</v>
      </c>
      <c r="V29" s="157">
        <v>480.89</v>
      </c>
      <c r="W29" s="157">
        <v>371.33</v>
      </c>
      <c r="X29" s="157">
        <v>441.51</v>
      </c>
      <c r="Y29" s="157">
        <v>419.9</v>
      </c>
      <c r="Z29" s="157">
        <v>400.45</v>
      </c>
      <c r="AA29" s="157">
        <v>523.65</v>
      </c>
      <c r="AB29" s="157">
        <v>502.53</v>
      </c>
      <c r="AC29" s="157">
        <v>465.75</v>
      </c>
      <c r="AD29" s="157">
        <v>576.35</v>
      </c>
      <c r="AE29" s="157">
        <v>433.72</v>
      </c>
      <c r="AF29" s="157">
        <v>479.63</v>
      </c>
      <c r="AG29" s="157">
        <v>567.54999999999995</v>
      </c>
      <c r="AH29" s="157">
        <v>445.65</v>
      </c>
      <c r="AI29" s="158">
        <v>15093.569999999998</v>
      </c>
    </row>
    <row r="30" spans="1:35" ht="15" x14ac:dyDescent="0.25">
      <c r="A30" s="155">
        <v>26</v>
      </c>
      <c r="B30" s="156">
        <v>421.79</v>
      </c>
      <c r="C30" s="157">
        <v>483.3</v>
      </c>
      <c r="D30" s="157">
        <v>392.58</v>
      </c>
      <c r="E30" s="157">
        <v>513.35</v>
      </c>
      <c r="F30" s="157">
        <v>474.54</v>
      </c>
      <c r="G30" s="157">
        <v>477.43</v>
      </c>
      <c r="H30" s="157">
        <v>557.41</v>
      </c>
      <c r="I30" s="157">
        <v>539.66</v>
      </c>
      <c r="J30" s="157">
        <v>530.28</v>
      </c>
      <c r="K30" s="157">
        <v>447.85</v>
      </c>
      <c r="L30" s="157">
        <v>363.37</v>
      </c>
      <c r="M30" s="157">
        <v>441.47</v>
      </c>
      <c r="N30" s="157">
        <v>389.16</v>
      </c>
      <c r="O30" s="157">
        <v>376.98</v>
      </c>
      <c r="P30" s="157">
        <v>408.84</v>
      </c>
      <c r="Q30" s="157">
        <v>487.12</v>
      </c>
      <c r="R30" s="157">
        <v>381.02</v>
      </c>
      <c r="S30" s="157">
        <v>514.39</v>
      </c>
      <c r="T30" s="157">
        <v>458.11</v>
      </c>
      <c r="U30" s="157">
        <v>491.34</v>
      </c>
      <c r="V30" s="157">
        <v>490.89</v>
      </c>
      <c r="W30" s="157">
        <v>381.27</v>
      </c>
      <c r="X30" s="157">
        <v>451.25</v>
      </c>
      <c r="Y30" s="157">
        <v>428.69</v>
      </c>
      <c r="Z30" s="157">
        <v>408.93</v>
      </c>
      <c r="AA30" s="157">
        <v>532.61</v>
      </c>
      <c r="AB30" s="157">
        <v>512.22</v>
      </c>
      <c r="AC30" s="157">
        <v>473.89</v>
      </c>
      <c r="AD30" s="157">
        <v>584.58000000000004</v>
      </c>
      <c r="AE30" s="157">
        <v>438.88</v>
      </c>
      <c r="AF30" s="157">
        <v>492.51</v>
      </c>
      <c r="AG30" s="157">
        <v>579.63</v>
      </c>
      <c r="AH30" s="157">
        <v>461.3</v>
      </c>
      <c r="AI30" s="158">
        <v>15386.639999999998</v>
      </c>
    </row>
    <row r="31" spans="1:35" ht="15" x14ac:dyDescent="0.25">
      <c r="A31" s="155">
        <v>27</v>
      </c>
      <c r="B31" s="156">
        <v>430.9</v>
      </c>
      <c r="C31" s="157">
        <v>493.49</v>
      </c>
      <c r="D31" s="157">
        <v>400.03</v>
      </c>
      <c r="E31" s="157">
        <v>521.11</v>
      </c>
      <c r="F31" s="157">
        <v>482.95</v>
      </c>
      <c r="G31" s="157">
        <v>484.72</v>
      </c>
      <c r="H31" s="157">
        <v>564.09</v>
      </c>
      <c r="I31" s="157">
        <v>546.83000000000004</v>
      </c>
      <c r="J31" s="157">
        <v>538.32000000000005</v>
      </c>
      <c r="K31" s="157">
        <v>456.35</v>
      </c>
      <c r="L31" s="157">
        <v>374.68</v>
      </c>
      <c r="M31" s="157">
        <v>451.48</v>
      </c>
      <c r="N31" s="157">
        <v>399.39</v>
      </c>
      <c r="O31" s="157">
        <v>386.77</v>
      </c>
      <c r="P31" s="157">
        <v>417.06</v>
      </c>
      <c r="Q31" s="157">
        <v>495.71</v>
      </c>
      <c r="R31" s="157">
        <v>388.12</v>
      </c>
      <c r="S31" s="157">
        <v>522.95000000000005</v>
      </c>
      <c r="T31" s="157">
        <v>466.37</v>
      </c>
      <c r="U31" s="157">
        <v>499.84</v>
      </c>
      <c r="V31" s="157">
        <v>501.2</v>
      </c>
      <c r="W31" s="157">
        <v>391.68</v>
      </c>
      <c r="X31" s="157">
        <v>461.37</v>
      </c>
      <c r="Y31" s="157">
        <v>437.89</v>
      </c>
      <c r="Z31" s="157">
        <v>417.8</v>
      </c>
      <c r="AA31" s="157">
        <v>541.88</v>
      </c>
      <c r="AB31" s="157">
        <v>522.29</v>
      </c>
      <c r="AC31" s="157">
        <v>482.3</v>
      </c>
      <c r="AD31" s="157">
        <v>593.05999999999995</v>
      </c>
      <c r="AE31" s="157">
        <v>444.1</v>
      </c>
      <c r="AF31" s="157">
        <v>505.81</v>
      </c>
      <c r="AG31" s="157">
        <v>592.14</v>
      </c>
      <c r="AH31" s="157">
        <v>477.59</v>
      </c>
      <c r="AI31" s="158">
        <v>15690.269999999999</v>
      </c>
    </row>
    <row r="32" spans="1:35" ht="15" x14ac:dyDescent="0.25">
      <c r="A32" s="155">
        <v>28</v>
      </c>
      <c r="B32" s="156">
        <v>440.35</v>
      </c>
      <c r="C32" s="157">
        <v>504.13</v>
      </c>
      <c r="D32" s="157">
        <v>407.74</v>
      </c>
      <c r="E32" s="157">
        <v>529.05999999999995</v>
      </c>
      <c r="F32" s="157">
        <v>491.73</v>
      </c>
      <c r="G32" s="157">
        <v>492.24</v>
      </c>
      <c r="H32" s="157">
        <v>570.86</v>
      </c>
      <c r="I32" s="157">
        <v>554.1</v>
      </c>
      <c r="J32" s="157">
        <v>546.51</v>
      </c>
      <c r="K32" s="157">
        <v>465.11</v>
      </c>
      <c r="L32" s="157">
        <v>386.43</v>
      </c>
      <c r="M32" s="157">
        <v>461.88</v>
      </c>
      <c r="N32" s="157">
        <v>410.11</v>
      </c>
      <c r="O32" s="157">
        <v>397.04</v>
      </c>
      <c r="P32" s="157">
        <v>425.62</v>
      </c>
      <c r="Q32" s="157">
        <v>504.55</v>
      </c>
      <c r="R32" s="157">
        <v>395.46</v>
      </c>
      <c r="S32" s="157">
        <v>531.74</v>
      </c>
      <c r="T32" s="157">
        <v>474.86</v>
      </c>
      <c r="U32" s="157">
        <v>508.54</v>
      </c>
      <c r="V32" s="157">
        <v>511.81</v>
      </c>
      <c r="W32" s="157">
        <v>402.54</v>
      </c>
      <c r="X32" s="157">
        <v>471.88</v>
      </c>
      <c r="Y32" s="157">
        <v>447.51</v>
      </c>
      <c r="Z32" s="157">
        <v>427.04</v>
      </c>
      <c r="AA32" s="157">
        <v>551.44000000000005</v>
      </c>
      <c r="AB32" s="157">
        <v>532.72</v>
      </c>
      <c r="AC32" s="157">
        <v>490.96</v>
      </c>
      <c r="AD32" s="157">
        <v>601.77</v>
      </c>
      <c r="AE32" s="157">
        <v>449.34</v>
      </c>
      <c r="AF32" s="157">
        <v>519.5</v>
      </c>
      <c r="AG32" s="157">
        <v>605.04</v>
      </c>
      <c r="AH32" s="157">
        <v>494.5</v>
      </c>
      <c r="AI32" s="158">
        <v>16004.11</v>
      </c>
    </row>
    <row r="33" spans="1:35" ht="15" x14ac:dyDescent="0.25">
      <c r="A33" s="155">
        <v>29</v>
      </c>
      <c r="B33" s="156">
        <v>450.11</v>
      </c>
      <c r="C33" s="157">
        <v>515.21</v>
      </c>
      <c r="D33" s="157">
        <v>415.68</v>
      </c>
      <c r="E33" s="157">
        <v>537.17999999999995</v>
      </c>
      <c r="F33" s="157">
        <v>500.89</v>
      </c>
      <c r="G33" s="157">
        <v>499.96</v>
      </c>
      <c r="H33" s="157">
        <v>577.71</v>
      </c>
      <c r="I33" s="157">
        <v>561.46</v>
      </c>
      <c r="J33" s="157">
        <v>554.85</v>
      </c>
      <c r="K33" s="157">
        <v>474.1</v>
      </c>
      <c r="L33" s="157">
        <v>398.58</v>
      </c>
      <c r="M33" s="157">
        <v>472.65</v>
      </c>
      <c r="N33" s="157">
        <v>421.34</v>
      </c>
      <c r="O33" s="157">
        <v>407.77</v>
      </c>
      <c r="P33" s="157">
        <v>434.51</v>
      </c>
      <c r="Q33" s="157">
        <v>513.62</v>
      </c>
      <c r="R33" s="157">
        <v>403.05</v>
      </c>
      <c r="S33" s="157">
        <v>540.75</v>
      </c>
      <c r="T33" s="157">
        <v>483.55</v>
      </c>
      <c r="U33" s="157">
        <v>517.42999999999995</v>
      </c>
      <c r="V33" s="157">
        <v>522.67999999999995</v>
      </c>
      <c r="W33" s="157">
        <v>413.83</v>
      </c>
      <c r="X33" s="157">
        <v>482.75</v>
      </c>
      <c r="Y33" s="157">
        <v>457.57</v>
      </c>
      <c r="Z33" s="157">
        <v>436.66</v>
      </c>
      <c r="AA33" s="157">
        <v>561.29</v>
      </c>
      <c r="AB33" s="157">
        <v>543.5</v>
      </c>
      <c r="AC33" s="157">
        <v>499.85</v>
      </c>
      <c r="AD33" s="157">
        <v>610.72</v>
      </c>
      <c r="AE33" s="157">
        <v>454.59</v>
      </c>
      <c r="AF33" s="157">
        <v>533.52</v>
      </c>
      <c r="AG33" s="157">
        <v>618.30999999999995</v>
      </c>
      <c r="AH33" s="157">
        <v>511.98</v>
      </c>
      <c r="AI33" s="158">
        <v>16327.65</v>
      </c>
    </row>
    <row r="34" spans="1:35" ht="15" x14ac:dyDescent="0.25">
      <c r="A34" s="155">
        <v>30</v>
      </c>
      <c r="B34" s="156">
        <v>460.16</v>
      </c>
      <c r="C34" s="157">
        <v>526.73</v>
      </c>
      <c r="D34" s="157">
        <v>423.85</v>
      </c>
      <c r="E34" s="157">
        <v>545.42999999999995</v>
      </c>
      <c r="F34" s="157">
        <v>510.42</v>
      </c>
      <c r="G34" s="157">
        <v>507.89</v>
      </c>
      <c r="H34" s="157">
        <v>584.6</v>
      </c>
      <c r="I34" s="157">
        <v>568.87</v>
      </c>
      <c r="J34" s="157">
        <v>563.29</v>
      </c>
      <c r="K34" s="157">
        <v>483.3</v>
      </c>
      <c r="L34" s="157">
        <v>411.09</v>
      </c>
      <c r="M34" s="157">
        <v>483.78</v>
      </c>
      <c r="N34" s="157">
        <v>433.07</v>
      </c>
      <c r="O34" s="157">
        <v>418.98</v>
      </c>
      <c r="P34" s="157">
        <v>443.73</v>
      </c>
      <c r="Q34" s="157">
        <v>522.91</v>
      </c>
      <c r="R34" s="157">
        <v>410.87</v>
      </c>
      <c r="S34" s="157">
        <v>549.94000000000005</v>
      </c>
      <c r="T34" s="157">
        <v>492.43</v>
      </c>
      <c r="U34" s="157">
        <v>526.49</v>
      </c>
      <c r="V34" s="157">
        <v>533.77</v>
      </c>
      <c r="W34" s="157">
        <v>425.54</v>
      </c>
      <c r="X34" s="157">
        <v>493.97</v>
      </c>
      <c r="Y34" s="157">
        <v>468.06</v>
      </c>
      <c r="Z34" s="157">
        <v>446.64</v>
      </c>
      <c r="AA34" s="157">
        <v>571.4</v>
      </c>
      <c r="AB34" s="157">
        <v>554.61</v>
      </c>
      <c r="AC34" s="157">
        <v>508.96</v>
      </c>
      <c r="AD34" s="157">
        <v>619.89</v>
      </c>
      <c r="AE34" s="157">
        <v>459.82</v>
      </c>
      <c r="AF34" s="157">
        <v>547.84</v>
      </c>
      <c r="AG34" s="157">
        <v>631.9</v>
      </c>
      <c r="AH34" s="157">
        <v>529.97</v>
      </c>
      <c r="AI34" s="158">
        <v>16660.199999999997</v>
      </c>
    </row>
    <row r="35" spans="1:35" ht="15" x14ac:dyDescent="0.25">
      <c r="A35" s="155">
        <v>31</v>
      </c>
      <c r="B35" s="156">
        <v>470.48</v>
      </c>
      <c r="C35" s="157">
        <v>538.66999999999996</v>
      </c>
      <c r="D35" s="157">
        <v>432.23</v>
      </c>
      <c r="E35" s="157">
        <v>553.79999999999995</v>
      </c>
      <c r="F35" s="157">
        <v>520.34</v>
      </c>
      <c r="G35" s="157">
        <v>516</v>
      </c>
      <c r="H35" s="157">
        <v>591.52</v>
      </c>
      <c r="I35" s="157">
        <v>576.29999999999995</v>
      </c>
      <c r="J35" s="157">
        <v>571.82000000000005</v>
      </c>
      <c r="K35" s="157">
        <v>492.68</v>
      </c>
      <c r="L35" s="157">
        <v>423.93</v>
      </c>
      <c r="M35" s="157">
        <v>495.24</v>
      </c>
      <c r="N35" s="157">
        <v>445.29</v>
      </c>
      <c r="O35" s="157">
        <v>430.66</v>
      </c>
      <c r="P35" s="157">
        <v>453.28</v>
      </c>
      <c r="Q35" s="157">
        <v>532.39</v>
      </c>
      <c r="R35" s="157">
        <v>418.91</v>
      </c>
      <c r="S35" s="157">
        <v>559.29999999999995</v>
      </c>
      <c r="T35" s="157">
        <v>501.47</v>
      </c>
      <c r="U35" s="157">
        <v>535.66</v>
      </c>
      <c r="V35" s="157">
        <v>545.04999999999995</v>
      </c>
      <c r="W35" s="157">
        <v>437.63</v>
      </c>
      <c r="X35" s="157">
        <v>505.5</v>
      </c>
      <c r="Y35" s="157">
        <v>478.98</v>
      </c>
      <c r="Z35" s="157">
        <v>456.99</v>
      </c>
      <c r="AA35" s="157">
        <v>581.77</v>
      </c>
      <c r="AB35" s="157">
        <v>566.04</v>
      </c>
      <c r="AC35" s="157">
        <v>518.26</v>
      </c>
      <c r="AD35" s="157">
        <v>629.27</v>
      </c>
      <c r="AE35" s="157">
        <v>465</v>
      </c>
      <c r="AF35" s="157">
        <v>562.37</v>
      </c>
      <c r="AG35" s="157">
        <v>645.78</v>
      </c>
      <c r="AH35" s="157">
        <v>548.39</v>
      </c>
      <c r="AI35" s="158">
        <v>17000.999999999996</v>
      </c>
    </row>
    <row r="36" spans="1:35" ht="15" x14ac:dyDescent="0.25">
      <c r="A36" s="155">
        <v>32</v>
      </c>
      <c r="B36" s="156">
        <v>481.03</v>
      </c>
      <c r="C36" s="157">
        <v>551.01</v>
      </c>
      <c r="D36" s="157">
        <v>440.78</v>
      </c>
      <c r="E36" s="157">
        <v>562.24</v>
      </c>
      <c r="F36" s="157">
        <v>530.62</v>
      </c>
      <c r="G36" s="157">
        <v>524.29</v>
      </c>
      <c r="H36" s="157">
        <v>598.44000000000005</v>
      </c>
      <c r="I36" s="157">
        <v>583.72</v>
      </c>
      <c r="J36" s="157">
        <v>580.38</v>
      </c>
      <c r="K36" s="157">
        <v>502.2</v>
      </c>
      <c r="L36" s="157">
        <v>437.02</v>
      </c>
      <c r="M36" s="157">
        <v>507</v>
      </c>
      <c r="N36" s="157">
        <v>457.98</v>
      </c>
      <c r="O36" s="157">
        <v>442.78</v>
      </c>
      <c r="P36" s="157">
        <v>463.13</v>
      </c>
      <c r="Q36" s="157">
        <v>542.03</v>
      </c>
      <c r="R36" s="157">
        <v>427.13</v>
      </c>
      <c r="S36" s="157">
        <v>568.79</v>
      </c>
      <c r="T36" s="157">
        <v>510.63</v>
      </c>
      <c r="U36" s="157">
        <v>544.92999999999995</v>
      </c>
      <c r="V36" s="157">
        <v>556.46</v>
      </c>
      <c r="W36" s="157">
        <v>450.05</v>
      </c>
      <c r="X36" s="157">
        <v>517.29999999999995</v>
      </c>
      <c r="Y36" s="157">
        <v>490.32</v>
      </c>
      <c r="Z36" s="157">
        <v>467.67</v>
      </c>
      <c r="AA36" s="157">
        <v>592.35</v>
      </c>
      <c r="AB36" s="157">
        <v>577.75</v>
      </c>
      <c r="AC36" s="157">
        <v>527.71</v>
      </c>
      <c r="AD36" s="157">
        <v>638.85</v>
      </c>
      <c r="AE36" s="157">
        <v>470.11</v>
      </c>
      <c r="AF36" s="157">
        <v>577.04999999999995</v>
      </c>
      <c r="AG36" s="157">
        <v>659.86</v>
      </c>
      <c r="AH36" s="157">
        <v>567.15</v>
      </c>
      <c r="AI36" s="158">
        <v>17348.759999999998</v>
      </c>
    </row>
    <row r="37" spans="1:35" ht="15" x14ac:dyDescent="0.25">
      <c r="A37" s="155">
        <v>33</v>
      </c>
      <c r="B37" s="156">
        <v>491.77</v>
      </c>
      <c r="C37" s="157">
        <v>563.72</v>
      </c>
      <c r="D37" s="157">
        <v>449.47</v>
      </c>
      <c r="E37" s="157">
        <v>570.73</v>
      </c>
      <c r="F37" s="157">
        <v>541.26</v>
      </c>
      <c r="G37" s="157">
        <v>532.72</v>
      </c>
      <c r="H37" s="157">
        <v>605.32000000000005</v>
      </c>
      <c r="I37" s="157">
        <v>591.09</v>
      </c>
      <c r="J37" s="157">
        <v>588.95000000000005</v>
      </c>
      <c r="K37" s="157">
        <v>511.82</v>
      </c>
      <c r="L37" s="157">
        <v>450.31</v>
      </c>
      <c r="M37" s="157">
        <v>519.01</v>
      </c>
      <c r="N37" s="157">
        <v>471.13</v>
      </c>
      <c r="O37" s="157">
        <v>455.33</v>
      </c>
      <c r="P37" s="157">
        <v>473.26</v>
      </c>
      <c r="Q37" s="157">
        <v>551.80999999999995</v>
      </c>
      <c r="R37" s="157">
        <v>435.52</v>
      </c>
      <c r="S37" s="157">
        <v>578.37</v>
      </c>
      <c r="T37" s="157">
        <v>519.87</v>
      </c>
      <c r="U37" s="157">
        <v>554.25</v>
      </c>
      <c r="V37" s="157">
        <v>567.95000000000005</v>
      </c>
      <c r="W37" s="157">
        <v>462.76</v>
      </c>
      <c r="X37" s="157">
        <v>529.33000000000004</v>
      </c>
      <c r="Y37" s="157">
        <v>502.07</v>
      </c>
      <c r="Z37" s="157">
        <v>478.68</v>
      </c>
      <c r="AA37" s="157">
        <v>603.13</v>
      </c>
      <c r="AB37" s="157">
        <v>589.71</v>
      </c>
      <c r="AC37" s="157">
        <v>537.27</v>
      </c>
      <c r="AD37" s="157">
        <v>648.59</v>
      </c>
      <c r="AE37" s="157">
        <v>475.09</v>
      </c>
      <c r="AF37" s="157">
        <v>591.77</v>
      </c>
      <c r="AG37" s="157">
        <v>674.08</v>
      </c>
      <c r="AH37" s="157">
        <v>586.13</v>
      </c>
      <c r="AI37" s="158">
        <v>17702.270000000008</v>
      </c>
    </row>
    <row r="38" spans="1:35" ht="15" x14ac:dyDescent="0.25">
      <c r="A38" s="155">
        <v>34</v>
      </c>
      <c r="B38" s="156">
        <v>502.65</v>
      </c>
      <c r="C38" s="157">
        <v>576.75</v>
      </c>
      <c r="D38" s="157">
        <v>458.28</v>
      </c>
      <c r="E38" s="157">
        <v>579.21</v>
      </c>
      <c r="F38" s="157">
        <v>552.24</v>
      </c>
      <c r="G38" s="157">
        <v>541.29</v>
      </c>
      <c r="H38" s="157">
        <v>612.14</v>
      </c>
      <c r="I38" s="157">
        <v>598.37</v>
      </c>
      <c r="J38" s="157">
        <v>597.48</v>
      </c>
      <c r="K38" s="157">
        <v>521.48</v>
      </c>
      <c r="L38" s="157">
        <v>463.7</v>
      </c>
      <c r="M38" s="157">
        <v>531.22</v>
      </c>
      <c r="N38" s="157">
        <v>484.7</v>
      </c>
      <c r="O38" s="157">
        <v>468.27</v>
      </c>
      <c r="P38" s="157">
        <v>483.65</v>
      </c>
      <c r="Q38" s="157">
        <v>561.69000000000005</v>
      </c>
      <c r="R38" s="157">
        <v>444.03</v>
      </c>
      <c r="S38" s="157">
        <v>588.02</v>
      </c>
      <c r="T38" s="157">
        <v>529.14</v>
      </c>
      <c r="U38" s="157">
        <v>563.55999999999995</v>
      </c>
      <c r="V38" s="157">
        <v>579.42999999999995</v>
      </c>
      <c r="W38" s="157">
        <v>475.68</v>
      </c>
      <c r="X38" s="157">
        <v>541.53</v>
      </c>
      <c r="Y38" s="157">
        <v>514.20000000000005</v>
      </c>
      <c r="Z38" s="157">
        <v>489.96</v>
      </c>
      <c r="AA38" s="157">
        <v>614.05999999999995</v>
      </c>
      <c r="AB38" s="157">
        <v>601.86</v>
      </c>
      <c r="AC38" s="157">
        <v>546.9</v>
      </c>
      <c r="AD38" s="157">
        <v>658.49</v>
      </c>
      <c r="AE38" s="157">
        <v>479.92</v>
      </c>
      <c r="AF38" s="157">
        <v>606.42999999999995</v>
      </c>
      <c r="AG38" s="157">
        <v>688.34</v>
      </c>
      <c r="AH38" s="157">
        <v>605.20000000000005</v>
      </c>
      <c r="AI38" s="158">
        <v>18059.87</v>
      </c>
    </row>
    <row r="39" spans="1:35" ht="15" x14ac:dyDescent="0.25">
      <c r="A39" s="155">
        <v>35</v>
      </c>
      <c r="B39" s="156">
        <v>513.61</v>
      </c>
      <c r="C39" s="157">
        <v>590.04</v>
      </c>
      <c r="D39" s="157">
        <v>467.14</v>
      </c>
      <c r="E39" s="157">
        <v>587.63</v>
      </c>
      <c r="F39" s="157">
        <v>563.52</v>
      </c>
      <c r="G39" s="157">
        <v>549.96</v>
      </c>
      <c r="H39" s="157">
        <v>618.85</v>
      </c>
      <c r="I39" s="157">
        <v>605.52</v>
      </c>
      <c r="J39" s="157">
        <v>605.91</v>
      </c>
      <c r="K39" s="157">
        <v>531.12</v>
      </c>
      <c r="L39" s="157">
        <v>477.1</v>
      </c>
      <c r="M39" s="157">
        <v>543.55999999999995</v>
      </c>
      <c r="N39" s="157">
        <v>498.64</v>
      </c>
      <c r="O39" s="157">
        <v>481.55</v>
      </c>
      <c r="P39" s="157">
        <v>494.27</v>
      </c>
      <c r="Q39" s="157">
        <v>571.62</v>
      </c>
      <c r="R39" s="157">
        <v>452.63</v>
      </c>
      <c r="S39" s="157">
        <v>597.66999999999996</v>
      </c>
      <c r="T39" s="157">
        <v>538.4</v>
      </c>
      <c r="U39" s="157">
        <v>572.83000000000004</v>
      </c>
      <c r="V39" s="157">
        <v>590.85</v>
      </c>
      <c r="W39" s="157">
        <v>488.73</v>
      </c>
      <c r="X39" s="157">
        <v>553.80999999999995</v>
      </c>
      <c r="Y39" s="157">
        <v>526.66999999999996</v>
      </c>
      <c r="Z39" s="157">
        <v>501.48</v>
      </c>
      <c r="AA39" s="157">
        <v>625.09</v>
      </c>
      <c r="AB39" s="157">
        <v>614.16</v>
      </c>
      <c r="AC39" s="157">
        <v>556.54999999999995</v>
      </c>
      <c r="AD39" s="157">
        <v>668.51</v>
      </c>
      <c r="AE39" s="157">
        <v>484.56</v>
      </c>
      <c r="AF39" s="157">
        <v>620.91</v>
      </c>
      <c r="AG39" s="157">
        <v>702.55</v>
      </c>
      <c r="AH39" s="157">
        <v>624.19000000000005</v>
      </c>
      <c r="AI39" s="158">
        <v>18419.629999999997</v>
      </c>
    </row>
    <row r="40" spans="1:35" ht="15" x14ac:dyDescent="0.25">
      <c r="A40" s="155">
        <v>36</v>
      </c>
      <c r="B40" s="156">
        <v>524.58000000000004</v>
      </c>
      <c r="C40" s="157">
        <v>603.54</v>
      </c>
      <c r="D40" s="157">
        <v>476</v>
      </c>
      <c r="E40" s="157">
        <v>595.92999999999995</v>
      </c>
      <c r="F40" s="157">
        <v>575.08000000000004</v>
      </c>
      <c r="G40" s="157">
        <v>558.71</v>
      </c>
      <c r="H40" s="157">
        <v>625.42999999999995</v>
      </c>
      <c r="I40" s="157">
        <v>612.47</v>
      </c>
      <c r="J40" s="157">
        <v>614.20000000000005</v>
      </c>
      <c r="K40" s="157">
        <v>540.66999999999996</v>
      </c>
      <c r="L40" s="157">
        <v>490.4</v>
      </c>
      <c r="M40" s="157">
        <v>555.97</v>
      </c>
      <c r="N40" s="157">
        <v>512.89</v>
      </c>
      <c r="O40" s="157">
        <v>495.13</v>
      </c>
      <c r="P40" s="157">
        <v>505.07</v>
      </c>
      <c r="Q40" s="157">
        <v>581.55999999999995</v>
      </c>
      <c r="R40" s="157">
        <v>461.27</v>
      </c>
      <c r="S40" s="157">
        <v>607.29</v>
      </c>
      <c r="T40" s="157">
        <v>547.57000000000005</v>
      </c>
      <c r="U40" s="157">
        <v>581.98</v>
      </c>
      <c r="V40" s="157">
        <v>602.11</v>
      </c>
      <c r="W40" s="157">
        <v>501.82</v>
      </c>
      <c r="X40" s="157">
        <v>566.11</v>
      </c>
      <c r="Y40" s="157">
        <v>539.46</v>
      </c>
      <c r="Z40" s="157">
        <v>513.19000000000005</v>
      </c>
      <c r="AA40" s="157">
        <v>636.19000000000005</v>
      </c>
      <c r="AB40" s="157">
        <v>626.54</v>
      </c>
      <c r="AC40" s="157">
        <v>566.14</v>
      </c>
      <c r="AD40" s="157">
        <v>678.62</v>
      </c>
      <c r="AE40" s="157">
        <v>488.97</v>
      </c>
      <c r="AF40" s="157">
        <v>635.09</v>
      </c>
      <c r="AG40" s="157">
        <v>716.6</v>
      </c>
      <c r="AH40" s="157">
        <v>642.95000000000005</v>
      </c>
      <c r="AI40" s="158">
        <v>18779.53</v>
      </c>
    </row>
    <row r="41" spans="1:35" ht="15" x14ac:dyDescent="0.25">
      <c r="A41" s="155">
        <v>37</v>
      </c>
      <c r="B41" s="156">
        <v>535.49</v>
      </c>
      <c r="C41" s="157">
        <v>617.15</v>
      </c>
      <c r="D41" s="157">
        <v>484.81</v>
      </c>
      <c r="E41" s="157">
        <v>604.05999999999995</v>
      </c>
      <c r="F41" s="157">
        <v>586.85</v>
      </c>
      <c r="G41" s="157">
        <v>567.49</v>
      </c>
      <c r="H41" s="157">
        <v>631.83000000000004</v>
      </c>
      <c r="I41" s="157">
        <v>619.20000000000005</v>
      </c>
      <c r="J41" s="157">
        <v>622.28</v>
      </c>
      <c r="K41" s="157">
        <v>550.07000000000005</v>
      </c>
      <c r="L41" s="157">
        <v>503.5</v>
      </c>
      <c r="M41" s="157">
        <v>568.35</v>
      </c>
      <c r="N41" s="157">
        <v>527.39</v>
      </c>
      <c r="O41" s="157">
        <v>508.93</v>
      </c>
      <c r="P41" s="157">
        <v>516</v>
      </c>
      <c r="Q41" s="157">
        <v>591.45000000000005</v>
      </c>
      <c r="R41" s="157">
        <v>469.89</v>
      </c>
      <c r="S41" s="157">
        <v>616.80999999999995</v>
      </c>
      <c r="T41" s="157">
        <v>556.62</v>
      </c>
      <c r="U41" s="157">
        <v>590.97</v>
      </c>
      <c r="V41" s="157">
        <v>613.12</v>
      </c>
      <c r="W41" s="157">
        <v>514.86</v>
      </c>
      <c r="X41" s="157">
        <v>578.33000000000004</v>
      </c>
      <c r="Y41" s="157">
        <v>552.51</v>
      </c>
      <c r="Z41" s="157">
        <v>525.03</v>
      </c>
      <c r="AA41" s="157">
        <v>647.29</v>
      </c>
      <c r="AB41" s="157">
        <v>638.91999999999996</v>
      </c>
      <c r="AC41" s="157">
        <v>575.62</v>
      </c>
      <c r="AD41" s="157">
        <v>688.79</v>
      </c>
      <c r="AE41" s="157">
        <v>493.1</v>
      </c>
      <c r="AF41" s="157">
        <v>648.84</v>
      </c>
      <c r="AG41" s="157">
        <v>730.35</v>
      </c>
      <c r="AH41" s="157">
        <v>661.27</v>
      </c>
      <c r="AI41" s="158">
        <v>19137.170000000002</v>
      </c>
    </row>
    <row r="42" spans="1:35" ht="15" x14ac:dyDescent="0.25">
      <c r="A42" s="155">
        <v>38</v>
      </c>
      <c r="B42" s="156">
        <v>546.24</v>
      </c>
      <c r="C42" s="157">
        <v>630.79</v>
      </c>
      <c r="D42" s="157">
        <v>493.49</v>
      </c>
      <c r="E42" s="157">
        <v>611.95000000000005</v>
      </c>
      <c r="F42" s="157">
        <v>598.78</v>
      </c>
      <c r="G42" s="157">
        <v>576.29</v>
      </c>
      <c r="H42" s="157">
        <v>638.03</v>
      </c>
      <c r="I42" s="157">
        <v>625.65</v>
      </c>
      <c r="J42" s="157">
        <v>630.11</v>
      </c>
      <c r="K42" s="157">
        <v>559.25</v>
      </c>
      <c r="L42" s="157">
        <v>516.28</v>
      </c>
      <c r="M42" s="157">
        <v>580.61</v>
      </c>
      <c r="N42" s="157">
        <v>542.05999999999995</v>
      </c>
      <c r="O42" s="157">
        <v>522.88</v>
      </c>
      <c r="P42" s="157">
        <v>527.01</v>
      </c>
      <c r="Q42" s="157">
        <v>601.25</v>
      </c>
      <c r="R42" s="157">
        <v>478.43</v>
      </c>
      <c r="S42" s="157">
        <v>626.19000000000005</v>
      </c>
      <c r="T42" s="157">
        <v>565.45000000000005</v>
      </c>
      <c r="U42" s="157">
        <v>599.74</v>
      </c>
      <c r="V42" s="157">
        <v>623.80999999999995</v>
      </c>
      <c r="W42" s="157">
        <v>527.74</v>
      </c>
      <c r="X42" s="157">
        <v>590.36</v>
      </c>
      <c r="Y42" s="157">
        <v>565.77</v>
      </c>
      <c r="Z42" s="157">
        <v>536.92999999999995</v>
      </c>
      <c r="AA42" s="157">
        <v>658.33</v>
      </c>
      <c r="AB42" s="157">
        <v>651.24</v>
      </c>
      <c r="AC42" s="157">
        <v>584.91</v>
      </c>
      <c r="AD42" s="157">
        <v>698.98</v>
      </c>
      <c r="AE42" s="157">
        <v>496.93</v>
      </c>
      <c r="AF42" s="157">
        <v>662.01</v>
      </c>
      <c r="AG42" s="157">
        <v>743.7</v>
      </c>
      <c r="AH42" s="157">
        <v>678.97</v>
      </c>
      <c r="AI42" s="158">
        <v>19490.16</v>
      </c>
    </row>
    <row r="43" spans="1:35" ht="15" x14ac:dyDescent="0.25">
      <c r="A43" s="155">
        <v>39</v>
      </c>
      <c r="B43" s="156">
        <v>556.76</v>
      </c>
      <c r="C43" s="157">
        <v>644.35</v>
      </c>
      <c r="D43" s="157">
        <v>501.98</v>
      </c>
      <c r="E43" s="157">
        <v>619.54</v>
      </c>
      <c r="F43" s="157">
        <v>610.79999999999995</v>
      </c>
      <c r="G43" s="157">
        <v>585.05999999999995</v>
      </c>
      <c r="H43" s="157">
        <v>643.98</v>
      </c>
      <c r="I43" s="157">
        <v>631.78</v>
      </c>
      <c r="J43" s="157">
        <v>637.63</v>
      </c>
      <c r="K43" s="157">
        <v>568.12</v>
      </c>
      <c r="L43" s="157">
        <v>528.6</v>
      </c>
      <c r="M43" s="157">
        <v>592.64</v>
      </c>
      <c r="N43" s="157">
        <v>556.79</v>
      </c>
      <c r="O43" s="157">
        <v>536.89</v>
      </c>
      <c r="P43" s="157">
        <v>538.04</v>
      </c>
      <c r="Q43" s="157">
        <v>610.88</v>
      </c>
      <c r="R43" s="157">
        <v>486.83</v>
      </c>
      <c r="S43" s="157">
        <v>635.36</v>
      </c>
      <c r="T43" s="157">
        <v>574.03</v>
      </c>
      <c r="U43" s="157">
        <v>608.24</v>
      </c>
      <c r="V43" s="157">
        <v>634.07000000000005</v>
      </c>
      <c r="W43" s="157">
        <v>540.36</v>
      </c>
      <c r="X43" s="157">
        <v>602.1</v>
      </c>
      <c r="Y43" s="157">
        <v>579.16999999999996</v>
      </c>
      <c r="Z43" s="157">
        <v>548.80999999999995</v>
      </c>
      <c r="AA43" s="157">
        <v>669.25</v>
      </c>
      <c r="AB43" s="157">
        <v>663.39</v>
      </c>
      <c r="AC43" s="157">
        <v>593.92999999999995</v>
      </c>
      <c r="AD43" s="157">
        <v>709.15</v>
      </c>
      <c r="AE43" s="157">
        <v>500.43</v>
      </c>
      <c r="AF43" s="157">
        <v>674.47</v>
      </c>
      <c r="AG43" s="157">
        <v>756.5</v>
      </c>
      <c r="AH43" s="157">
        <v>695.84</v>
      </c>
      <c r="AI43" s="158">
        <v>19835.77</v>
      </c>
    </row>
    <row r="44" spans="1:35" ht="15" x14ac:dyDescent="0.25">
      <c r="A44" s="155">
        <v>40</v>
      </c>
      <c r="B44" s="156">
        <v>566.96</v>
      </c>
      <c r="C44" s="157">
        <v>657.71</v>
      </c>
      <c r="D44" s="157">
        <v>510.2</v>
      </c>
      <c r="E44" s="157">
        <v>626.74</v>
      </c>
      <c r="F44" s="157">
        <v>622.82000000000005</v>
      </c>
      <c r="G44" s="157">
        <v>593.77</v>
      </c>
      <c r="H44" s="157">
        <v>649.66</v>
      </c>
      <c r="I44" s="157">
        <v>637.54</v>
      </c>
      <c r="J44" s="157">
        <v>644.79</v>
      </c>
      <c r="K44" s="157">
        <v>576.61</v>
      </c>
      <c r="L44" s="157">
        <v>540.37</v>
      </c>
      <c r="M44" s="157">
        <v>604.32000000000005</v>
      </c>
      <c r="N44" s="157">
        <v>571.49</v>
      </c>
      <c r="O44" s="157">
        <v>550.86</v>
      </c>
      <c r="P44" s="157">
        <v>549.02</v>
      </c>
      <c r="Q44" s="157">
        <v>620.29</v>
      </c>
      <c r="R44" s="157">
        <v>495.01</v>
      </c>
      <c r="S44" s="157">
        <v>644.28</v>
      </c>
      <c r="T44" s="157">
        <v>582.27</v>
      </c>
      <c r="U44" s="157">
        <v>616.42999999999995</v>
      </c>
      <c r="V44" s="157">
        <v>643.82000000000005</v>
      </c>
      <c r="W44" s="157">
        <v>552.61</v>
      </c>
      <c r="X44" s="157">
        <v>613.42999999999995</v>
      </c>
      <c r="Y44" s="157">
        <v>592.63</v>
      </c>
      <c r="Z44" s="157">
        <v>560.58000000000004</v>
      </c>
      <c r="AA44" s="157">
        <v>679.98</v>
      </c>
      <c r="AB44" s="157">
        <v>675.29</v>
      </c>
      <c r="AC44" s="157">
        <v>602.59</v>
      </c>
      <c r="AD44" s="157">
        <v>719.25</v>
      </c>
      <c r="AE44" s="157">
        <v>503.57</v>
      </c>
      <c r="AF44" s="157">
        <v>686.1</v>
      </c>
      <c r="AG44" s="157">
        <v>768.62</v>
      </c>
      <c r="AH44" s="157">
        <v>711.69</v>
      </c>
      <c r="AI44" s="158">
        <v>20171.3</v>
      </c>
    </row>
    <row r="45" spans="1:35" ht="15" x14ac:dyDescent="0.25">
      <c r="A45" s="155">
        <v>41</v>
      </c>
      <c r="B45" s="156">
        <v>576.73</v>
      </c>
      <c r="C45" s="157">
        <v>670.75</v>
      </c>
      <c r="D45" s="157">
        <v>518.05999999999995</v>
      </c>
      <c r="E45" s="157">
        <v>633.51</v>
      </c>
      <c r="F45" s="157">
        <v>634.75</v>
      </c>
      <c r="G45" s="157">
        <v>602.38</v>
      </c>
      <c r="H45" s="157">
        <v>655.04</v>
      </c>
      <c r="I45" s="157">
        <v>642.91</v>
      </c>
      <c r="J45" s="157">
        <v>651.53</v>
      </c>
      <c r="K45" s="157">
        <v>584.65</v>
      </c>
      <c r="L45" s="157">
        <v>551.47</v>
      </c>
      <c r="M45" s="157">
        <v>615.54999999999995</v>
      </c>
      <c r="N45" s="157">
        <v>586.03</v>
      </c>
      <c r="O45" s="157">
        <v>564.67999999999995</v>
      </c>
      <c r="P45" s="157">
        <v>559.88</v>
      </c>
      <c r="Q45" s="157">
        <v>629.42999999999995</v>
      </c>
      <c r="R45" s="157">
        <v>502.91</v>
      </c>
      <c r="S45" s="157">
        <v>652.9</v>
      </c>
      <c r="T45" s="157">
        <v>590.11</v>
      </c>
      <c r="U45" s="157">
        <v>624.27</v>
      </c>
      <c r="V45" s="157">
        <v>652.98</v>
      </c>
      <c r="W45" s="157">
        <v>564.4</v>
      </c>
      <c r="X45" s="157">
        <v>624.21</v>
      </c>
      <c r="Y45" s="157">
        <v>606.07000000000005</v>
      </c>
      <c r="Z45" s="157">
        <v>572.14</v>
      </c>
      <c r="AA45" s="157">
        <v>690.45</v>
      </c>
      <c r="AB45" s="157">
        <v>686.85</v>
      </c>
      <c r="AC45" s="157">
        <v>610.82000000000005</v>
      </c>
      <c r="AD45" s="157">
        <v>729.23</v>
      </c>
      <c r="AE45" s="157">
        <v>506.34</v>
      </c>
      <c r="AF45" s="157">
        <v>696.78</v>
      </c>
      <c r="AG45" s="157">
        <v>779.94</v>
      </c>
      <c r="AH45" s="157">
        <v>726.34</v>
      </c>
      <c r="AI45" s="158">
        <v>20494.089999999993</v>
      </c>
    </row>
    <row r="46" spans="1:35" ht="15" x14ac:dyDescent="0.25">
      <c r="A46" s="155">
        <v>42</v>
      </c>
      <c r="B46" s="156">
        <v>585.99</v>
      </c>
      <c r="C46" s="157">
        <v>683.34</v>
      </c>
      <c r="D46" s="157">
        <v>525.51</v>
      </c>
      <c r="E46" s="157">
        <v>639.77</v>
      </c>
      <c r="F46" s="157">
        <v>646.49</v>
      </c>
      <c r="G46" s="157">
        <v>610.86</v>
      </c>
      <c r="H46" s="157">
        <v>660.1</v>
      </c>
      <c r="I46" s="157">
        <v>647.86</v>
      </c>
      <c r="J46" s="157">
        <v>657.83</v>
      </c>
      <c r="K46" s="157">
        <v>592.16999999999996</v>
      </c>
      <c r="L46" s="157">
        <v>561.83000000000004</v>
      </c>
      <c r="M46" s="157">
        <v>626.17999999999995</v>
      </c>
      <c r="N46" s="157">
        <v>600.30999999999995</v>
      </c>
      <c r="O46" s="157">
        <v>578.25</v>
      </c>
      <c r="P46" s="157">
        <v>570.54999999999995</v>
      </c>
      <c r="Q46" s="157">
        <v>638.22</v>
      </c>
      <c r="R46" s="157">
        <v>510.44</v>
      </c>
      <c r="S46" s="157">
        <v>661.18</v>
      </c>
      <c r="T46" s="157">
        <v>597.52</v>
      </c>
      <c r="U46" s="157">
        <v>631.74</v>
      </c>
      <c r="V46" s="157">
        <v>661.49</v>
      </c>
      <c r="W46" s="157">
        <v>575.67999999999995</v>
      </c>
      <c r="X46" s="157">
        <v>634.35</v>
      </c>
      <c r="Y46" s="157">
        <v>619.41</v>
      </c>
      <c r="Z46" s="157">
        <v>583.39</v>
      </c>
      <c r="AA46" s="157">
        <v>700.59</v>
      </c>
      <c r="AB46" s="157">
        <v>697.97</v>
      </c>
      <c r="AC46" s="157">
        <v>618.53</v>
      </c>
      <c r="AD46" s="157">
        <v>739.03</v>
      </c>
      <c r="AE46" s="157">
        <v>508.75</v>
      </c>
      <c r="AF46" s="157">
        <v>706.41</v>
      </c>
      <c r="AG46" s="157">
        <v>790.34</v>
      </c>
      <c r="AH46" s="157">
        <v>739.65</v>
      </c>
      <c r="AI46" s="158">
        <v>20801.73</v>
      </c>
    </row>
    <row r="47" spans="1:35" ht="15" x14ac:dyDescent="0.25">
      <c r="A47" s="155">
        <v>43</v>
      </c>
      <c r="B47" s="156">
        <v>594.65</v>
      </c>
      <c r="C47" s="157">
        <v>695.37</v>
      </c>
      <c r="D47" s="157">
        <v>532.45000000000005</v>
      </c>
      <c r="E47" s="157">
        <v>645.47</v>
      </c>
      <c r="F47" s="157">
        <v>657.92</v>
      </c>
      <c r="G47" s="157">
        <v>619.16999999999996</v>
      </c>
      <c r="H47" s="157">
        <v>664.82</v>
      </c>
      <c r="I47" s="157">
        <v>652.36</v>
      </c>
      <c r="J47" s="157">
        <v>663.65</v>
      </c>
      <c r="K47" s="157">
        <v>599.12</v>
      </c>
      <c r="L47" s="157">
        <v>571.4</v>
      </c>
      <c r="M47" s="157">
        <v>636.12</v>
      </c>
      <c r="N47" s="157">
        <v>614.17999999999995</v>
      </c>
      <c r="O47" s="157">
        <v>591.44000000000005</v>
      </c>
      <c r="P47" s="157">
        <v>580.95000000000005</v>
      </c>
      <c r="Q47" s="157">
        <v>646.61</v>
      </c>
      <c r="R47" s="157">
        <v>517.53</v>
      </c>
      <c r="S47" s="157">
        <v>669.06</v>
      </c>
      <c r="T47" s="157">
        <v>604.44000000000005</v>
      </c>
      <c r="U47" s="157">
        <v>638.86</v>
      </c>
      <c r="V47" s="157">
        <v>669.28</v>
      </c>
      <c r="W47" s="157">
        <v>586.39</v>
      </c>
      <c r="X47" s="157">
        <v>643.71</v>
      </c>
      <c r="Y47" s="157">
        <v>632.55999999999995</v>
      </c>
      <c r="Z47" s="157">
        <v>594.22</v>
      </c>
      <c r="AA47" s="157">
        <v>710.33</v>
      </c>
      <c r="AB47" s="157">
        <v>708.56</v>
      </c>
      <c r="AC47" s="157">
        <v>625.63</v>
      </c>
      <c r="AD47" s="157">
        <v>748.61</v>
      </c>
      <c r="AE47" s="157">
        <v>510.81</v>
      </c>
      <c r="AF47" s="157">
        <v>714.94</v>
      </c>
      <c r="AG47" s="157">
        <v>799.73</v>
      </c>
      <c r="AH47" s="157">
        <v>751.48</v>
      </c>
      <c r="AI47" s="158">
        <v>21091.82</v>
      </c>
    </row>
    <row r="48" spans="1:35" ht="15" x14ac:dyDescent="0.25">
      <c r="A48" s="155">
        <v>44</v>
      </c>
      <c r="B48" s="156">
        <v>602.66</v>
      </c>
      <c r="C48" s="157">
        <v>706.71</v>
      </c>
      <c r="D48" s="157">
        <v>538.84</v>
      </c>
      <c r="E48" s="157">
        <v>650.57000000000005</v>
      </c>
      <c r="F48" s="157">
        <v>668.96</v>
      </c>
      <c r="G48" s="157">
        <v>627.29</v>
      </c>
      <c r="H48" s="157">
        <v>669.21</v>
      </c>
      <c r="I48" s="157">
        <v>656.42</v>
      </c>
      <c r="J48" s="157">
        <v>668.97</v>
      </c>
      <c r="K48" s="157">
        <v>605.45000000000005</v>
      </c>
      <c r="L48" s="157">
        <v>580.13</v>
      </c>
      <c r="M48" s="157">
        <v>645.23</v>
      </c>
      <c r="N48" s="157">
        <v>627.53</v>
      </c>
      <c r="O48" s="157">
        <v>604.16999999999996</v>
      </c>
      <c r="P48" s="157">
        <v>591.02</v>
      </c>
      <c r="Q48" s="157">
        <v>654.55999999999995</v>
      </c>
      <c r="R48" s="157">
        <v>524.14</v>
      </c>
      <c r="S48" s="157">
        <v>676.55</v>
      </c>
      <c r="T48" s="157">
        <v>610.85</v>
      </c>
      <c r="U48" s="157">
        <v>645.64</v>
      </c>
      <c r="V48" s="157">
        <v>676.31</v>
      </c>
      <c r="W48" s="157">
        <v>596.52</v>
      </c>
      <c r="X48" s="157">
        <v>652.17999999999995</v>
      </c>
      <c r="Y48" s="157">
        <v>645.44000000000005</v>
      </c>
      <c r="Z48" s="157">
        <v>604.54</v>
      </c>
      <c r="AA48" s="157">
        <v>719.61</v>
      </c>
      <c r="AB48" s="157">
        <v>718.55</v>
      </c>
      <c r="AC48" s="157">
        <v>632.05999999999995</v>
      </c>
      <c r="AD48" s="157">
        <v>757.9</v>
      </c>
      <c r="AE48" s="157">
        <v>512.55999999999995</v>
      </c>
      <c r="AF48" s="157">
        <v>722.34</v>
      </c>
      <c r="AG48" s="157">
        <v>808.02</v>
      </c>
      <c r="AH48" s="157">
        <v>761.77</v>
      </c>
      <c r="AI48" s="158">
        <v>21362.700000000004</v>
      </c>
    </row>
    <row r="49" spans="1:35" ht="15" x14ac:dyDescent="0.25">
      <c r="A49" s="155">
        <v>45</v>
      </c>
      <c r="B49" s="156">
        <v>609.92999999999995</v>
      </c>
      <c r="C49" s="157">
        <v>717.26</v>
      </c>
      <c r="D49" s="157">
        <v>544.62</v>
      </c>
      <c r="E49" s="157">
        <v>655.04999999999995</v>
      </c>
      <c r="F49" s="157">
        <v>679.49</v>
      </c>
      <c r="G49" s="157">
        <v>635.21</v>
      </c>
      <c r="H49" s="157">
        <v>673.26</v>
      </c>
      <c r="I49" s="157">
        <v>660.05</v>
      </c>
      <c r="J49" s="157">
        <v>673.78</v>
      </c>
      <c r="K49" s="157">
        <v>611.15</v>
      </c>
      <c r="L49" s="157">
        <v>588.07000000000005</v>
      </c>
      <c r="M49" s="157">
        <v>653.41</v>
      </c>
      <c r="N49" s="157">
        <v>640.24</v>
      </c>
      <c r="O49" s="157">
        <v>616.32000000000005</v>
      </c>
      <c r="P49" s="157">
        <v>600.69000000000005</v>
      </c>
      <c r="Q49" s="157">
        <v>662.01</v>
      </c>
      <c r="R49" s="157">
        <v>530.19000000000005</v>
      </c>
      <c r="S49" s="157">
        <v>683.61</v>
      </c>
      <c r="T49" s="157">
        <v>616.76</v>
      </c>
      <c r="U49" s="157">
        <v>652.16</v>
      </c>
      <c r="V49" s="157">
        <v>682.57</v>
      </c>
      <c r="W49" s="157">
        <v>606.12</v>
      </c>
      <c r="X49" s="157">
        <v>659.68</v>
      </c>
      <c r="Y49" s="157">
        <v>657.96</v>
      </c>
      <c r="Z49" s="157">
        <v>614.24</v>
      </c>
      <c r="AA49" s="157">
        <v>728.35</v>
      </c>
      <c r="AB49" s="157">
        <v>727.87</v>
      </c>
      <c r="AC49" s="157">
        <v>637.75</v>
      </c>
      <c r="AD49" s="157">
        <v>766.85</v>
      </c>
      <c r="AE49" s="157">
        <v>514.07000000000005</v>
      </c>
      <c r="AF49" s="157">
        <v>728.62</v>
      </c>
      <c r="AG49" s="157">
        <v>815.18</v>
      </c>
      <c r="AH49" s="157">
        <v>770.51</v>
      </c>
      <c r="AI49" s="158">
        <v>21613.029999999995</v>
      </c>
    </row>
    <row r="50" spans="1:35" ht="15" x14ac:dyDescent="0.25">
      <c r="A50" s="155">
        <v>46</v>
      </c>
      <c r="B50" s="156">
        <v>616.45000000000005</v>
      </c>
      <c r="C50" s="157">
        <v>726.96</v>
      </c>
      <c r="D50" s="157">
        <v>549.76</v>
      </c>
      <c r="E50" s="157">
        <v>658.9</v>
      </c>
      <c r="F50" s="157">
        <v>689.45</v>
      </c>
      <c r="G50" s="157">
        <v>642.91999999999996</v>
      </c>
      <c r="H50" s="157">
        <v>676.99</v>
      </c>
      <c r="I50" s="157">
        <v>663.26</v>
      </c>
      <c r="J50" s="157">
        <v>678.09</v>
      </c>
      <c r="K50" s="157">
        <v>616.19000000000005</v>
      </c>
      <c r="L50" s="157">
        <v>595.28</v>
      </c>
      <c r="M50" s="157">
        <v>660.58</v>
      </c>
      <c r="N50" s="157">
        <v>652.20000000000005</v>
      </c>
      <c r="O50" s="157">
        <v>627.83000000000004</v>
      </c>
      <c r="P50" s="157">
        <v>609.94000000000005</v>
      </c>
      <c r="Q50" s="157">
        <v>668.94</v>
      </c>
      <c r="R50" s="157">
        <v>535.66</v>
      </c>
      <c r="S50" s="157">
        <v>690.27</v>
      </c>
      <c r="T50" s="157">
        <v>622.20000000000005</v>
      </c>
      <c r="U50" s="157">
        <v>658.49</v>
      </c>
      <c r="V50" s="157">
        <v>688.05</v>
      </c>
      <c r="W50" s="157">
        <v>615.27</v>
      </c>
      <c r="X50" s="157">
        <v>666.14</v>
      </c>
      <c r="Y50" s="157">
        <v>670.06</v>
      </c>
      <c r="Z50" s="157">
        <v>623.23</v>
      </c>
      <c r="AA50" s="157">
        <v>736.51</v>
      </c>
      <c r="AB50" s="157">
        <v>736.47</v>
      </c>
      <c r="AC50" s="157">
        <v>642.66999999999996</v>
      </c>
      <c r="AD50" s="157">
        <v>775.4</v>
      </c>
      <c r="AE50" s="157">
        <v>515.42999999999995</v>
      </c>
      <c r="AF50" s="157">
        <v>733.84</v>
      </c>
      <c r="AG50" s="157">
        <v>821.18</v>
      </c>
      <c r="AH50" s="157">
        <v>777.74</v>
      </c>
      <c r="AI50" s="158">
        <v>21842.350000000002</v>
      </c>
    </row>
    <row r="51" spans="1:35" ht="15" x14ac:dyDescent="0.25">
      <c r="A51" s="155">
        <v>47</v>
      </c>
      <c r="B51" s="156">
        <v>622.17999999999995</v>
      </c>
      <c r="C51" s="157">
        <v>735.76</v>
      </c>
      <c r="D51" s="157">
        <v>554.26</v>
      </c>
      <c r="E51" s="157">
        <v>662.15</v>
      </c>
      <c r="F51" s="157">
        <v>698.78</v>
      </c>
      <c r="G51" s="157">
        <v>650.42999999999995</v>
      </c>
      <c r="H51" s="157">
        <v>680.42</v>
      </c>
      <c r="I51" s="157">
        <v>666.11</v>
      </c>
      <c r="J51" s="157">
        <v>681.93</v>
      </c>
      <c r="K51" s="157">
        <v>620.59</v>
      </c>
      <c r="L51" s="157">
        <v>601.87</v>
      </c>
      <c r="M51" s="157">
        <v>666.66</v>
      </c>
      <c r="N51" s="157">
        <v>663.33</v>
      </c>
      <c r="O51" s="157">
        <v>638.65</v>
      </c>
      <c r="P51" s="157">
        <v>618.72</v>
      </c>
      <c r="Q51" s="157">
        <v>675.35</v>
      </c>
      <c r="R51" s="157">
        <v>540.53</v>
      </c>
      <c r="S51" s="157">
        <v>696.54</v>
      </c>
      <c r="T51" s="157">
        <v>627.22</v>
      </c>
      <c r="U51" s="157">
        <v>664.77</v>
      </c>
      <c r="V51" s="157">
        <v>692.79</v>
      </c>
      <c r="W51" s="157">
        <v>624.12</v>
      </c>
      <c r="X51" s="157">
        <v>671.5</v>
      </c>
      <c r="Y51" s="157">
        <v>681.68</v>
      </c>
      <c r="Z51" s="157">
        <v>631.42999999999995</v>
      </c>
      <c r="AA51" s="157">
        <v>744.04</v>
      </c>
      <c r="AB51" s="157">
        <v>744.35</v>
      </c>
      <c r="AC51" s="157">
        <v>646.78</v>
      </c>
      <c r="AD51" s="157">
        <v>783.52</v>
      </c>
      <c r="AE51" s="157">
        <v>516.78</v>
      </c>
      <c r="AF51" s="157">
        <v>738.1</v>
      </c>
      <c r="AG51" s="157">
        <v>826.03</v>
      </c>
      <c r="AH51" s="157">
        <v>783.58</v>
      </c>
      <c r="AI51" s="158">
        <v>22050.949999999993</v>
      </c>
    </row>
    <row r="52" spans="1:35" ht="15" x14ac:dyDescent="0.25">
      <c r="A52" s="155">
        <v>48</v>
      </c>
      <c r="B52" s="156">
        <v>627.16</v>
      </c>
      <c r="C52" s="157">
        <v>743.67</v>
      </c>
      <c r="D52" s="157">
        <v>558.16</v>
      </c>
      <c r="E52" s="157">
        <v>664.87</v>
      </c>
      <c r="F52" s="157">
        <v>707.48</v>
      </c>
      <c r="G52" s="157">
        <v>657.78</v>
      </c>
      <c r="H52" s="157">
        <v>683.6</v>
      </c>
      <c r="I52" s="157">
        <v>668.65</v>
      </c>
      <c r="J52" s="157">
        <v>685.34</v>
      </c>
      <c r="K52" s="157">
        <v>624.39</v>
      </c>
      <c r="L52" s="157">
        <v>608.02</v>
      </c>
      <c r="M52" s="157">
        <v>671.61</v>
      </c>
      <c r="N52" s="157">
        <v>673.57</v>
      </c>
      <c r="O52" s="157">
        <v>648.76</v>
      </c>
      <c r="P52" s="157">
        <v>627.04</v>
      </c>
      <c r="Q52" s="157">
        <v>681.23</v>
      </c>
      <c r="R52" s="157">
        <v>544.79999999999995</v>
      </c>
      <c r="S52" s="157">
        <v>702.49</v>
      </c>
      <c r="T52" s="157">
        <v>631.95000000000005</v>
      </c>
      <c r="U52" s="157">
        <v>671.18</v>
      </c>
      <c r="V52" s="157">
        <v>696.83</v>
      </c>
      <c r="W52" s="157">
        <v>632.86</v>
      </c>
      <c r="X52" s="157">
        <v>675.74</v>
      </c>
      <c r="Y52" s="157">
        <v>692.8</v>
      </c>
      <c r="Z52" s="157">
        <v>638.78</v>
      </c>
      <c r="AA52" s="157">
        <v>750.91</v>
      </c>
      <c r="AB52" s="157">
        <v>751.52</v>
      </c>
      <c r="AC52" s="157">
        <v>650.08000000000004</v>
      </c>
      <c r="AD52" s="157">
        <v>791.18</v>
      </c>
      <c r="AE52" s="157">
        <v>518.27</v>
      </c>
      <c r="AF52" s="157">
        <v>741.57</v>
      </c>
      <c r="AG52" s="157">
        <v>829.8</v>
      </c>
      <c r="AH52" s="157">
        <v>788.22</v>
      </c>
      <c r="AI52" s="158">
        <v>22240.310000000005</v>
      </c>
    </row>
    <row r="53" spans="1:35" ht="15" x14ac:dyDescent="0.25">
      <c r="A53" s="155">
        <v>49</v>
      </c>
      <c r="B53" s="156">
        <v>631.41</v>
      </c>
      <c r="C53" s="157">
        <v>750.72</v>
      </c>
      <c r="D53" s="157">
        <v>561.52</v>
      </c>
      <c r="E53" s="157">
        <v>667.18</v>
      </c>
      <c r="F53" s="157">
        <v>715.58</v>
      </c>
      <c r="G53" s="157">
        <v>665.04</v>
      </c>
      <c r="H53" s="157">
        <v>686.59</v>
      </c>
      <c r="I53" s="157">
        <v>670.99</v>
      </c>
      <c r="J53" s="157">
        <v>688.41</v>
      </c>
      <c r="K53" s="157">
        <v>627.64</v>
      </c>
      <c r="L53" s="157">
        <v>613.95000000000005</v>
      </c>
      <c r="M53" s="157">
        <v>675.44</v>
      </c>
      <c r="N53" s="157">
        <v>682.9</v>
      </c>
      <c r="O53" s="157">
        <v>658.18</v>
      </c>
      <c r="P53" s="157">
        <v>634.94000000000005</v>
      </c>
      <c r="Q53" s="157">
        <v>686.65</v>
      </c>
      <c r="R53" s="157">
        <v>548.51</v>
      </c>
      <c r="S53" s="157">
        <v>708.18</v>
      </c>
      <c r="T53" s="157">
        <v>636.54</v>
      </c>
      <c r="U53" s="157">
        <v>677.92</v>
      </c>
      <c r="V53" s="157">
        <v>700.26</v>
      </c>
      <c r="W53" s="157">
        <v>641.74</v>
      </c>
      <c r="X53" s="157">
        <v>678.9</v>
      </c>
      <c r="Y53" s="157">
        <v>703.42</v>
      </c>
      <c r="Z53" s="157">
        <v>645.26</v>
      </c>
      <c r="AA53" s="157">
        <v>757.11</v>
      </c>
      <c r="AB53" s="157">
        <v>758.05</v>
      </c>
      <c r="AC53" s="157">
        <v>652.61</v>
      </c>
      <c r="AD53" s="157">
        <v>798.38</v>
      </c>
      <c r="AE53" s="157">
        <v>520.12</v>
      </c>
      <c r="AF53" s="157">
        <v>744.47</v>
      </c>
      <c r="AG53" s="157">
        <v>832.58</v>
      </c>
      <c r="AH53" s="157">
        <v>791.91</v>
      </c>
      <c r="AI53" s="158">
        <v>22413.100000000002</v>
      </c>
    </row>
    <row r="54" spans="1:35" ht="15" x14ac:dyDescent="0.25">
      <c r="A54" s="155">
        <v>50</v>
      </c>
      <c r="B54" s="156">
        <v>635.03</v>
      </c>
      <c r="C54" s="157">
        <v>757.03</v>
      </c>
      <c r="D54" s="157">
        <v>564.46</v>
      </c>
      <c r="E54" s="157">
        <v>669.25</v>
      </c>
      <c r="F54" s="157">
        <v>723.18</v>
      </c>
      <c r="G54" s="157">
        <v>672.31</v>
      </c>
      <c r="H54" s="157">
        <v>689.45</v>
      </c>
      <c r="I54" s="157">
        <v>673.22</v>
      </c>
      <c r="J54" s="157">
        <v>691.22</v>
      </c>
      <c r="K54" s="157">
        <v>630.41</v>
      </c>
      <c r="L54" s="157">
        <v>619.92999999999995</v>
      </c>
      <c r="M54" s="157">
        <v>678.19</v>
      </c>
      <c r="N54" s="157">
        <v>691.32</v>
      </c>
      <c r="O54" s="157">
        <v>666.99</v>
      </c>
      <c r="P54" s="157">
        <v>642.49</v>
      </c>
      <c r="Q54" s="157">
        <v>691.67</v>
      </c>
      <c r="R54" s="157">
        <v>551.73</v>
      </c>
      <c r="S54" s="157">
        <v>713.73</v>
      </c>
      <c r="T54" s="157">
        <v>641.20000000000005</v>
      </c>
      <c r="U54" s="157">
        <v>685.26</v>
      </c>
      <c r="V54" s="157">
        <v>703.18</v>
      </c>
      <c r="W54" s="157">
        <v>651.04999999999995</v>
      </c>
      <c r="X54" s="157">
        <v>681.04</v>
      </c>
      <c r="Y54" s="157">
        <v>713.57</v>
      </c>
      <c r="Z54" s="157">
        <v>650.86</v>
      </c>
      <c r="AA54" s="157">
        <v>762.64</v>
      </c>
      <c r="AB54" s="157">
        <v>764.06</v>
      </c>
      <c r="AC54" s="157">
        <v>654.42999999999995</v>
      </c>
      <c r="AD54" s="157">
        <v>805.15</v>
      </c>
      <c r="AE54" s="157">
        <v>522.55999999999995</v>
      </c>
      <c r="AF54" s="157">
        <v>747.06</v>
      </c>
      <c r="AG54" s="157">
        <v>834.49</v>
      </c>
      <c r="AH54" s="157">
        <v>794.98</v>
      </c>
      <c r="AI54" s="158">
        <v>22573.140000000007</v>
      </c>
    </row>
    <row r="55" spans="1:35" ht="15" x14ac:dyDescent="0.25">
      <c r="A55" s="155">
        <v>51</v>
      </c>
      <c r="B55" s="156">
        <v>638.14</v>
      </c>
      <c r="C55" s="157">
        <v>762.76</v>
      </c>
      <c r="D55" s="157">
        <v>567.16</v>
      </c>
      <c r="E55" s="157">
        <v>671.31</v>
      </c>
      <c r="F55" s="157">
        <v>730.45</v>
      </c>
      <c r="G55" s="157">
        <v>679.72</v>
      </c>
      <c r="H55" s="157">
        <v>692.27</v>
      </c>
      <c r="I55" s="157">
        <v>675.48</v>
      </c>
      <c r="J55" s="157">
        <v>693.9</v>
      </c>
      <c r="K55" s="157">
        <v>632.82000000000005</v>
      </c>
      <c r="L55" s="157">
        <v>626.28</v>
      </c>
      <c r="M55" s="157">
        <v>679.96</v>
      </c>
      <c r="N55" s="157">
        <v>698.92</v>
      </c>
      <c r="O55" s="157">
        <v>675.34</v>
      </c>
      <c r="P55" s="157">
        <v>649.80999999999995</v>
      </c>
      <c r="Q55" s="157">
        <v>696.43</v>
      </c>
      <c r="R55" s="157">
        <v>554.57000000000005</v>
      </c>
      <c r="S55" s="157">
        <v>719.27</v>
      </c>
      <c r="T55" s="157">
        <v>646.24</v>
      </c>
      <c r="U55" s="157">
        <v>693.46</v>
      </c>
      <c r="V55" s="157">
        <v>705.71</v>
      </c>
      <c r="W55" s="157">
        <v>661.12</v>
      </c>
      <c r="X55" s="157">
        <v>682.27</v>
      </c>
      <c r="Y55" s="157">
        <v>723.33</v>
      </c>
      <c r="Z55" s="157">
        <v>655.62</v>
      </c>
      <c r="AA55" s="157">
        <v>767.54</v>
      </c>
      <c r="AB55" s="157">
        <v>769.7</v>
      </c>
      <c r="AC55" s="157">
        <v>655.66</v>
      </c>
      <c r="AD55" s="157">
        <v>811.54</v>
      </c>
      <c r="AE55" s="157">
        <v>525.88</v>
      </c>
      <c r="AF55" s="157">
        <v>749.66</v>
      </c>
      <c r="AG55" s="157">
        <v>835.69</v>
      </c>
      <c r="AH55" s="157">
        <v>797.79</v>
      </c>
      <c r="AI55" s="158">
        <v>22725.8</v>
      </c>
    </row>
    <row r="56" spans="1:35" ht="15" x14ac:dyDescent="0.25">
      <c r="A56" s="155">
        <v>52</v>
      </c>
      <c r="B56" s="156">
        <v>640.91</v>
      </c>
      <c r="C56" s="157">
        <v>768.12</v>
      </c>
      <c r="D56" s="157">
        <v>569.85</v>
      </c>
      <c r="E56" s="157">
        <v>673.66</v>
      </c>
      <c r="F56" s="157">
        <v>737.64</v>
      </c>
      <c r="G56" s="157">
        <v>687.48</v>
      </c>
      <c r="H56" s="157">
        <v>695.18</v>
      </c>
      <c r="I56" s="157">
        <v>677.95</v>
      </c>
      <c r="J56" s="157">
        <v>696.59</v>
      </c>
      <c r="K56" s="157">
        <v>634.96</v>
      </c>
      <c r="L56" s="157">
        <v>633.32000000000005</v>
      </c>
      <c r="M56" s="157">
        <v>680.91</v>
      </c>
      <c r="N56" s="157">
        <v>705.79</v>
      </c>
      <c r="O56" s="157">
        <v>683.41</v>
      </c>
      <c r="P56" s="157">
        <v>657.07</v>
      </c>
      <c r="Q56" s="157">
        <v>701.1</v>
      </c>
      <c r="R56" s="157">
        <v>557.16999999999996</v>
      </c>
      <c r="S56" s="157">
        <v>724.96</v>
      </c>
      <c r="T56" s="157">
        <v>651.98</v>
      </c>
      <c r="U56" s="157">
        <v>702.83</v>
      </c>
      <c r="V56" s="157">
        <v>708.02</v>
      </c>
      <c r="W56" s="157">
        <v>672.26</v>
      </c>
      <c r="X56" s="157">
        <v>682.78</v>
      </c>
      <c r="Y56" s="157">
        <v>732.82</v>
      </c>
      <c r="Z56" s="157">
        <v>659.64</v>
      </c>
      <c r="AA56" s="157">
        <v>771.86</v>
      </c>
      <c r="AB56" s="157">
        <v>775.23</v>
      </c>
      <c r="AC56" s="157">
        <v>656.44</v>
      </c>
      <c r="AD56" s="157">
        <v>817.68</v>
      </c>
      <c r="AE56" s="157">
        <v>530.39</v>
      </c>
      <c r="AF56" s="157">
        <v>752.61</v>
      </c>
      <c r="AG56" s="157">
        <v>836.38</v>
      </c>
      <c r="AH56" s="157">
        <v>800.76</v>
      </c>
      <c r="AI56" s="158">
        <v>22877.75</v>
      </c>
    </row>
    <row r="57" spans="1:35" ht="15" x14ac:dyDescent="0.25">
      <c r="A57" s="155">
        <v>53</v>
      </c>
      <c r="B57" s="156">
        <v>643.54</v>
      </c>
      <c r="C57" s="157">
        <v>773.38</v>
      </c>
      <c r="D57" s="157">
        <v>572.83000000000004</v>
      </c>
      <c r="E57" s="157">
        <v>676.7</v>
      </c>
      <c r="F57" s="157">
        <v>745.05</v>
      </c>
      <c r="G57" s="157">
        <v>695.83</v>
      </c>
      <c r="H57" s="157">
        <v>698.31</v>
      </c>
      <c r="I57" s="157">
        <v>680.83</v>
      </c>
      <c r="J57" s="157">
        <v>699.49</v>
      </c>
      <c r="K57" s="157">
        <v>636.99</v>
      </c>
      <c r="L57" s="157">
        <v>641.4</v>
      </c>
      <c r="M57" s="157">
        <v>681.27</v>
      </c>
      <c r="N57" s="157">
        <v>712.13</v>
      </c>
      <c r="O57" s="157">
        <v>691.45</v>
      </c>
      <c r="P57" s="157">
        <v>664.5</v>
      </c>
      <c r="Q57" s="157">
        <v>705.92</v>
      </c>
      <c r="R57" s="157">
        <v>559.72</v>
      </c>
      <c r="S57" s="157">
        <v>730.99</v>
      </c>
      <c r="T57" s="157">
        <v>658.85</v>
      </c>
      <c r="U57" s="157">
        <v>713.68</v>
      </c>
      <c r="V57" s="157">
        <v>710.29</v>
      </c>
      <c r="W57" s="157">
        <v>684.79</v>
      </c>
      <c r="X57" s="157">
        <v>682.79</v>
      </c>
      <c r="Y57" s="157">
        <v>742.22</v>
      </c>
      <c r="Z57" s="157">
        <v>663.05</v>
      </c>
      <c r="AA57" s="157">
        <v>775.69</v>
      </c>
      <c r="AB57" s="157">
        <v>780.91</v>
      </c>
      <c r="AC57" s="157">
        <v>657</v>
      </c>
      <c r="AD57" s="157">
        <v>823.73</v>
      </c>
      <c r="AE57" s="157">
        <v>536.41</v>
      </c>
      <c r="AF57" s="157">
        <v>756.29</v>
      </c>
      <c r="AG57" s="157">
        <v>836.79</v>
      </c>
      <c r="AH57" s="157">
        <v>804.33</v>
      </c>
      <c r="AI57" s="158">
        <v>23037.15</v>
      </c>
    </row>
    <row r="58" spans="1:35" ht="15" x14ac:dyDescent="0.25">
      <c r="A58" s="155">
        <v>54</v>
      </c>
      <c r="B58" s="156">
        <v>646.29999999999995</v>
      </c>
      <c r="C58" s="157">
        <v>778.86</v>
      </c>
      <c r="D58" s="157">
        <v>576.45000000000005</v>
      </c>
      <c r="E58" s="157">
        <v>680.89</v>
      </c>
      <c r="F58" s="157">
        <v>753.08</v>
      </c>
      <c r="G58" s="157">
        <v>705.08</v>
      </c>
      <c r="H58" s="157">
        <v>701.81</v>
      </c>
      <c r="I58" s="157">
        <v>684.34</v>
      </c>
      <c r="J58" s="157">
        <v>702.79</v>
      </c>
      <c r="K58" s="157">
        <v>639.04</v>
      </c>
      <c r="L58" s="157">
        <v>650.84</v>
      </c>
      <c r="M58" s="157">
        <v>681.37</v>
      </c>
      <c r="N58" s="157">
        <v>718.15</v>
      </c>
      <c r="O58" s="157">
        <v>699.8</v>
      </c>
      <c r="P58" s="157">
        <v>672.36</v>
      </c>
      <c r="Q58" s="157">
        <v>711.17</v>
      </c>
      <c r="R58" s="157">
        <v>562.46</v>
      </c>
      <c r="S58" s="157">
        <v>737.57</v>
      </c>
      <c r="T58" s="157">
        <v>667.32</v>
      </c>
      <c r="U58" s="157">
        <v>726.3</v>
      </c>
      <c r="V58" s="157">
        <v>712.71</v>
      </c>
      <c r="W58" s="157">
        <v>698.97</v>
      </c>
      <c r="X58" s="157">
        <v>682.59</v>
      </c>
      <c r="Y58" s="157">
        <v>751.73</v>
      </c>
      <c r="Z58" s="157">
        <v>666.02</v>
      </c>
      <c r="AA58" s="157">
        <v>779.17</v>
      </c>
      <c r="AB58" s="157">
        <v>787.12</v>
      </c>
      <c r="AC58" s="157">
        <v>657.57</v>
      </c>
      <c r="AD58" s="157">
        <v>829.92</v>
      </c>
      <c r="AE58" s="157">
        <v>544.29</v>
      </c>
      <c r="AF58" s="157">
        <v>761.1</v>
      </c>
      <c r="AG58" s="157">
        <v>837.14</v>
      </c>
      <c r="AH58" s="157">
        <v>808.92</v>
      </c>
      <c r="AI58" s="158">
        <v>23213.229999999992</v>
      </c>
    </row>
    <row r="59" spans="1:35" ht="15" x14ac:dyDescent="0.25">
      <c r="A59" s="155">
        <v>55</v>
      </c>
      <c r="B59" s="156">
        <v>649.49</v>
      </c>
      <c r="C59" s="157">
        <v>784.92</v>
      </c>
      <c r="D59" s="157">
        <v>581.12</v>
      </c>
      <c r="E59" s="157">
        <v>686.76</v>
      </c>
      <c r="F59" s="157">
        <v>762.16</v>
      </c>
      <c r="G59" s="157">
        <v>715.59</v>
      </c>
      <c r="H59" s="157">
        <v>705.89</v>
      </c>
      <c r="I59" s="157">
        <v>688.77</v>
      </c>
      <c r="J59" s="157">
        <v>706.75</v>
      </c>
      <c r="K59" s="157">
        <v>641.27</v>
      </c>
      <c r="L59" s="157">
        <v>661.96</v>
      </c>
      <c r="M59" s="157">
        <v>681.6</v>
      </c>
      <c r="N59" s="157">
        <v>724.14</v>
      </c>
      <c r="O59" s="157">
        <v>708.8</v>
      </c>
      <c r="P59" s="157">
        <v>680.99</v>
      </c>
      <c r="Q59" s="157">
        <v>717.2</v>
      </c>
      <c r="R59" s="157">
        <v>565.65</v>
      </c>
      <c r="S59" s="157">
        <v>744.94</v>
      </c>
      <c r="T59" s="157">
        <v>677.9</v>
      </c>
      <c r="U59" s="157">
        <v>740.94</v>
      </c>
      <c r="V59" s="157">
        <v>715.51</v>
      </c>
      <c r="W59" s="157">
        <v>715.02</v>
      </c>
      <c r="X59" s="157">
        <v>682.55</v>
      </c>
      <c r="Y59" s="157">
        <v>761.63</v>
      </c>
      <c r="Z59" s="157">
        <v>668.81</v>
      </c>
      <c r="AA59" s="157">
        <v>782.44</v>
      </c>
      <c r="AB59" s="157">
        <v>794.26</v>
      </c>
      <c r="AC59" s="157">
        <v>658.5</v>
      </c>
      <c r="AD59" s="157">
        <v>836.52</v>
      </c>
      <c r="AE59" s="157">
        <v>554.34</v>
      </c>
      <c r="AF59" s="157">
        <v>767.45</v>
      </c>
      <c r="AG59" s="157">
        <v>837.69</v>
      </c>
      <c r="AH59" s="157">
        <v>814.99</v>
      </c>
      <c r="AI59" s="158">
        <v>23416.55</v>
      </c>
    </row>
    <row r="60" spans="1:35" ht="15" x14ac:dyDescent="0.25">
      <c r="A60" s="155">
        <v>56</v>
      </c>
      <c r="B60" s="156">
        <v>653.46</v>
      </c>
      <c r="C60" s="157">
        <v>791.98</v>
      </c>
      <c r="D60" s="157">
        <v>587.33000000000004</v>
      </c>
      <c r="E60" s="157">
        <v>694.91</v>
      </c>
      <c r="F60" s="157">
        <v>772.79</v>
      </c>
      <c r="G60" s="157">
        <v>727.78</v>
      </c>
      <c r="H60" s="157">
        <v>710.76</v>
      </c>
      <c r="I60" s="157">
        <v>694.43</v>
      </c>
      <c r="J60" s="157">
        <v>711.64</v>
      </c>
      <c r="K60" s="157">
        <v>643.86</v>
      </c>
      <c r="L60" s="157">
        <v>675</v>
      </c>
      <c r="M60" s="157">
        <v>682.47</v>
      </c>
      <c r="N60" s="157">
        <v>730.42</v>
      </c>
      <c r="O60" s="157">
        <v>718.89</v>
      </c>
      <c r="P60" s="157">
        <v>690.73</v>
      </c>
      <c r="Q60" s="157">
        <v>724.41</v>
      </c>
      <c r="R60" s="157">
        <v>569.62</v>
      </c>
      <c r="S60" s="157">
        <v>753.32</v>
      </c>
      <c r="T60" s="157">
        <v>691.12</v>
      </c>
      <c r="U60" s="157">
        <v>757.79</v>
      </c>
      <c r="V60" s="157">
        <v>718.95</v>
      </c>
      <c r="W60" s="157">
        <v>733.03</v>
      </c>
      <c r="X60" s="157">
        <v>683.1</v>
      </c>
      <c r="Y60" s="157">
        <v>772.22</v>
      </c>
      <c r="Z60" s="157">
        <v>671.7</v>
      </c>
      <c r="AA60" s="157">
        <v>785.71</v>
      </c>
      <c r="AB60" s="157">
        <v>802.78</v>
      </c>
      <c r="AC60" s="157">
        <v>660.14</v>
      </c>
      <c r="AD60" s="157">
        <v>843.87</v>
      </c>
      <c r="AE60" s="157">
        <v>566.88</v>
      </c>
      <c r="AF60" s="157">
        <v>775.72</v>
      </c>
      <c r="AG60" s="157">
        <v>838.73</v>
      </c>
      <c r="AH60" s="157">
        <v>822.93</v>
      </c>
      <c r="AI60" s="158">
        <v>23658.47</v>
      </c>
    </row>
    <row r="61" spans="1:35" ht="15" x14ac:dyDescent="0.25">
      <c r="A61" s="155">
        <v>57</v>
      </c>
      <c r="B61" s="156">
        <v>658.59</v>
      </c>
      <c r="C61" s="157">
        <v>800.45</v>
      </c>
      <c r="D61" s="157">
        <v>595.58000000000004</v>
      </c>
      <c r="E61" s="157">
        <v>705.97</v>
      </c>
      <c r="F61" s="157">
        <v>785.45</v>
      </c>
      <c r="G61" s="157">
        <v>742.08</v>
      </c>
      <c r="H61" s="157">
        <v>716.68</v>
      </c>
      <c r="I61" s="157">
        <v>701.68</v>
      </c>
      <c r="J61" s="157">
        <v>717.8</v>
      </c>
      <c r="K61" s="157">
        <v>646.99</v>
      </c>
      <c r="L61" s="157">
        <v>690.14</v>
      </c>
      <c r="M61" s="157">
        <v>684.61</v>
      </c>
      <c r="N61" s="157">
        <v>737.35</v>
      </c>
      <c r="O61" s="157">
        <v>730.47</v>
      </c>
      <c r="P61" s="157">
        <v>701.97</v>
      </c>
      <c r="Q61" s="157">
        <v>733.22</v>
      </c>
      <c r="R61" s="157">
        <v>574.72</v>
      </c>
      <c r="S61" s="157">
        <v>762.93</v>
      </c>
      <c r="T61" s="157">
        <v>707.47</v>
      </c>
      <c r="U61" s="157">
        <v>776.96</v>
      </c>
      <c r="V61" s="157">
        <v>723.29</v>
      </c>
      <c r="W61" s="157">
        <v>753.01</v>
      </c>
      <c r="X61" s="157">
        <v>684.76</v>
      </c>
      <c r="Y61" s="157">
        <v>783.85</v>
      </c>
      <c r="Z61" s="157">
        <v>675.02</v>
      </c>
      <c r="AA61" s="157">
        <v>789.2</v>
      </c>
      <c r="AB61" s="157">
        <v>813.15</v>
      </c>
      <c r="AC61" s="157">
        <v>662.95</v>
      </c>
      <c r="AD61" s="157">
        <v>852.32</v>
      </c>
      <c r="AE61" s="157">
        <v>582.13</v>
      </c>
      <c r="AF61" s="157">
        <v>786.29</v>
      </c>
      <c r="AG61" s="157">
        <v>840.54</v>
      </c>
      <c r="AH61" s="157">
        <v>833.11</v>
      </c>
      <c r="AI61" s="158">
        <v>23950.730000000003</v>
      </c>
    </row>
    <row r="62" spans="1:35" ht="15" x14ac:dyDescent="0.25">
      <c r="A62" s="155">
        <v>58</v>
      </c>
      <c r="B62" s="156">
        <v>665.32</v>
      </c>
      <c r="C62" s="157">
        <v>810.79</v>
      </c>
      <c r="D62" s="157">
        <v>606.42999999999995</v>
      </c>
      <c r="E62" s="157">
        <v>720.54</v>
      </c>
      <c r="F62" s="157">
        <v>800.66</v>
      </c>
      <c r="G62" s="157">
        <v>758.91</v>
      </c>
      <c r="H62" s="157">
        <v>723.97</v>
      </c>
      <c r="I62" s="157">
        <v>710.93</v>
      </c>
      <c r="J62" s="157">
        <v>725.59</v>
      </c>
      <c r="K62" s="157">
        <v>650.88</v>
      </c>
      <c r="L62" s="157">
        <v>707.5</v>
      </c>
      <c r="M62" s="157">
        <v>688.75</v>
      </c>
      <c r="N62" s="157">
        <v>745.32</v>
      </c>
      <c r="O62" s="157">
        <v>744</v>
      </c>
      <c r="P62" s="157">
        <v>715.08</v>
      </c>
      <c r="Q62" s="157">
        <v>744.1</v>
      </c>
      <c r="R62" s="157">
        <v>581.37</v>
      </c>
      <c r="S62" s="157">
        <v>774</v>
      </c>
      <c r="T62" s="157">
        <v>727.38</v>
      </c>
      <c r="U62" s="157">
        <v>798.45</v>
      </c>
      <c r="V62" s="157">
        <v>728.87</v>
      </c>
      <c r="W62" s="157">
        <v>774.84</v>
      </c>
      <c r="X62" s="157">
        <v>688.11</v>
      </c>
      <c r="Y62" s="157">
        <v>796.86</v>
      </c>
      <c r="Z62" s="157">
        <v>679.15</v>
      </c>
      <c r="AA62" s="157">
        <v>793.18</v>
      </c>
      <c r="AB62" s="157">
        <v>825.88</v>
      </c>
      <c r="AC62" s="157">
        <v>667.46</v>
      </c>
      <c r="AD62" s="157">
        <v>862.3</v>
      </c>
      <c r="AE62" s="157">
        <v>600.27</v>
      </c>
      <c r="AF62" s="157">
        <v>799.48</v>
      </c>
      <c r="AG62" s="157">
        <v>843.45</v>
      </c>
      <c r="AH62" s="157">
        <v>845.85</v>
      </c>
      <c r="AI62" s="158">
        <v>24305.670000000002</v>
      </c>
    </row>
    <row r="63" spans="1:35" ht="15" x14ac:dyDescent="0.25">
      <c r="A63" s="155">
        <v>59</v>
      </c>
      <c r="B63" s="156">
        <v>674.1</v>
      </c>
      <c r="C63" s="157">
        <v>823.45</v>
      </c>
      <c r="D63" s="157">
        <v>620.41</v>
      </c>
      <c r="E63" s="157">
        <v>739.2</v>
      </c>
      <c r="F63" s="157">
        <v>818.88</v>
      </c>
      <c r="G63" s="157">
        <v>778.67</v>
      </c>
      <c r="H63" s="157">
        <v>732.97</v>
      </c>
      <c r="I63" s="157">
        <v>722.62</v>
      </c>
      <c r="J63" s="157">
        <v>735.43</v>
      </c>
      <c r="K63" s="157">
        <v>655.74</v>
      </c>
      <c r="L63" s="157">
        <v>727.09</v>
      </c>
      <c r="M63" s="157">
        <v>695.76</v>
      </c>
      <c r="N63" s="157">
        <v>754.73</v>
      </c>
      <c r="O63" s="157">
        <v>759.88</v>
      </c>
      <c r="P63" s="157">
        <v>730.43</v>
      </c>
      <c r="Q63" s="157">
        <v>757.51</v>
      </c>
      <c r="R63" s="157">
        <v>590.02</v>
      </c>
      <c r="S63" s="157">
        <v>786.7</v>
      </c>
      <c r="T63" s="157">
        <v>751.14</v>
      </c>
      <c r="U63" s="157">
        <v>822.17</v>
      </c>
      <c r="V63" s="157">
        <v>736.03</v>
      </c>
      <c r="W63" s="157">
        <v>798.31</v>
      </c>
      <c r="X63" s="157">
        <v>693.82</v>
      </c>
      <c r="Y63" s="157">
        <v>811.61</v>
      </c>
      <c r="Z63" s="157">
        <v>684.51</v>
      </c>
      <c r="AA63" s="157">
        <v>797.95</v>
      </c>
      <c r="AB63" s="157">
        <v>841.42</v>
      </c>
      <c r="AC63" s="157">
        <v>674.25</v>
      </c>
      <c r="AD63" s="157">
        <v>874.21</v>
      </c>
      <c r="AE63" s="157">
        <v>621.41</v>
      </c>
      <c r="AF63" s="157">
        <v>815.56</v>
      </c>
      <c r="AG63" s="157">
        <v>847.84</v>
      </c>
      <c r="AH63" s="157">
        <v>861.41</v>
      </c>
      <c r="AI63" s="158">
        <v>24735.23</v>
      </c>
    </row>
    <row r="64" spans="1:35" ht="15" x14ac:dyDescent="0.25">
      <c r="A64" s="155">
        <v>60</v>
      </c>
      <c r="B64" s="156">
        <v>685.41</v>
      </c>
      <c r="C64" s="157">
        <v>838.9</v>
      </c>
      <c r="D64" s="157">
        <v>638.04999999999995</v>
      </c>
      <c r="E64" s="157">
        <v>762.36</v>
      </c>
      <c r="F64" s="157">
        <v>840.5</v>
      </c>
      <c r="G64" s="157">
        <v>801.67</v>
      </c>
      <c r="H64" s="157">
        <v>744.08</v>
      </c>
      <c r="I64" s="157">
        <v>737.24</v>
      </c>
      <c r="J64" s="157">
        <v>747.79</v>
      </c>
      <c r="K64" s="157">
        <v>661.86</v>
      </c>
      <c r="L64" s="157">
        <v>748.82</v>
      </c>
      <c r="M64" s="157">
        <v>706.62</v>
      </c>
      <c r="N64" s="157">
        <v>765.98</v>
      </c>
      <c r="O64" s="157">
        <v>778.47</v>
      </c>
      <c r="P64" s="157">
        <v>748.32</v>
      </c>
      <c r="Q64" s="157">
        <v>773.89</v>
      </c>
      <c r="R64" s="157">
        <v>601.19000000000005</v>
      </c>
      <c r="S64" s="157">
        <v>801.17</v>
      </c>
      <c r="T64" s="157">
        <v>778.85</v>
      </c>
      <c r="U64" s="157">
        <v>847.93</v>
      </c>
      <c r="V64" s="157">
        <v>745.19</v>
      </c>
      <c r="W64" s="157">
        <v>823.12</v>
      </c>
      <c r="X64" s="157">
        <v>702.63</v>
      </c>
      <c r="Y64" s="157">
        <v>828.44</v>
      </c>
      <c r="Z64" s="157">
        <v>691.51</v>
      </c>
      <c r="AA64" s="157">
        <v>803.84</v>
      </c>
      <c r="AB64" s="157">
        <v>860.22</v>
      </c>
      <c r="AC64" s="157">
        <v>684.01</v>
      </c>
      <c r="AD64" s="157">
        <v>888.5</v>
      </c>
      <c r="AE64" s="157">
        <v>645.59</v>
      </c>
      <c r="AF64" s="157">
        <v>834.74</v>
      </c>
      <c r="AG64" s="157">
        <v>854.14</v>
      </c>
      <c r="AH64" s="157">
        <v>879.96</v>
      </c>
      <c r="AI64" s="158">
        <v>25250.989999999998</v>
      </c>
    </row>
    <row r="65" spans="1:35" ht="15" x14ac:dyDescent="0.25">
      <c r="A65" s="155">
        <v>61</v>
      </c>
      <c r="B65" s="156">
        <v>699.73</v>
      </c>
      <c r="C65" s="157">
        <v>857.57</v>
      </c>
      <c r="D65" s="157">
        <v>659.84</v>
      </c>
      <c r="E65" s="157">
        <v>790.23</v>
      </c>
      <c r="F65" s="157">
        <v>865.83</v>
      </c>
      <c r="G65" s="157">
        <v>828.08</v>
      </c>
      <c r="H65" s="157">
        <v>757.79</v>
      </c>
      <c r="I65" s="157">
        <v>755.31</v>
      </c>
      <c r="J65" s="157">
        <v>763.21</v>
      </c>
      <c r="K65" s="157">
        <v>669.56</v>
      </c>
      <c r="L65" s="157">
        <v>772.56</v>
      </c>
      <c r="M65" s="157">
        <v>722.4</v>
      </c>
      <c r="N65" s="157">
        <v>779.46</v>
      </c>
      <c r="O65" s="157">
        <v>800.07</v>
      </c>
      <c r="P65" s="157">
        <v>768.96</v>
      </c>
      <c r="Q65" s="157">
        <v>793.62</v>
      </c>
      <c r="R65" s="157">
        <v>615.42999999999995</v>
      </c>
      <c r="S65" s="157">
        <v>817.52</v>
      </c>
      <c r="T65" s="157">
        <v>810.36</v>
      </c>
      <c r="U65" s="157">
        <v>875.51</v>
      </c>
      <c r="V65" s="157">
        <v>756.86</v>
      </c>
      <c r="W65" s="157">
        <v>848.98</v>
      </c>
      <c r="X65" s="157">
        <v>715.34</v>
      </c>
      <c r="Y65" s="157">
        <v>847.68</v>
      </c>
      <c r="Z65" s="157">
        <v>700.62</v>
      </c>
      <c r="AA65" s="157">
        <v>811.22</v>
      </c>
      <c r="AB65" s="157">
        <v>882.62</v>
      </c>
      <c r="AC65" s="157">
        <v>697.52</v>
      </c>
      <c r="AD65" s="157">
        <v>905.58</v>
      </c>
      <c r="AE65" s="157">
        <v>672.79</v>
      </c>
      <c r="AF65" s="157">
        <v>857.12</v>
      </c>
      <c r="AG65" s="157">
        <v>862.87</v>
      </c>
      <c r="AH65" s="157">
        <v>901.62</v>
      </c>
      <c r="AI65" s="158">
        <v>25863.86</v>
      </c>
    </row>
    <row r="66" spans="1:35" ht="15" x14ac:dyDescent="0.25">
      <c r="A66" s="155">
        <v>62</v>
      </c>
      <c r="B66" s="156">
        <v>717.55</v>
      </c>
      <c r="C66" s="157">
        <v>879.9</v>
      </c>
      <c r="D66" s="157">
        <v>686.16</v>
      </c>
      <c r="E66" s="157">
        <v>822.76</v>
      </c>
      <c r="F66" s="157">
        <v>895.03</v>
      </c>
      <c r="G66" s="157">
        <v>857.94</v>
      </c>
      <c r="H66" s="157">
        <v>774.61</v>
      </c>
      <c r="I66" s="157">
        <v>777.37</v>
      </c>
      <c r="J66" s="157">
        <v>782.29</v>
      </c>
      <c r="K66" s="157">
        <v>679.26</v>
      </c>
      <c r="L66" s="157">
        <v>798.11</v>
      </c>
      <c r="M66" s="157">
        <v>744.24</v>
      </c>
      <c r="N66" s="157">
        <v>795.55</v>
      </c>
      <c r="O66" s="157">
        <v>824.9</v>
      </c>
      <c r="P66" s="157">
        <v>792.51</v>
      </c>
      <c r="Q66" s="157">
        <v>817.04</v>
      </c>
      <c r="R66" s="157">
        <v>633.4</v>
      </c>
      <c r="S66" s="157">
        <v>835.83</v>
      </c>
      <c r="T66" s="157">
        <v>845.28</v>
      </c>
      <c r="U66" s="157">
        <v>904.71</v>
      </c>
      <c r="V66" s="157">
        <v>771.63</v>
      </c>
      <c r="W66" s="157">
        <v>875.65</v>
      </c>
      <c r="X66" s="157">
        <v>732.79</v>
      </c>
      <c r="Y66" s="157">
        <v>869.63</v>
      </c>
      <c r="Z66" s="157">
        <v>712.29</v>
      </c>
      <c r="AA66" s="157">
        <v>820.52</v>
      </c>
      <c r="AB66" s="157">
        <v>908.9</v>
      </c>
      <c r="AC66" s="157">
        <v>715.64</v>
      </c>
      <c r="AD66" s="157">
        <v>925.88</v>
      </c>
      <c r="AE66" s="157">
        <v>703.01</v>
      </c>
      <c r="AF66" s="157">
        <v>882.73</v>
      </c>
      <c r="AG66" s="157">
        <v>874.7</v>
      </c>
      <c r="AH66" s="157">
        <v>926.44</v>
      </c>
      <c r="AI66" s="158">
        <v>26584.250000000004</v>
      </c>
    </row>
    <row r="67" spans="1:35" ht="15" x14ac:dyDescent="0.25">
      <c r="A67" s="155">
        <v>63</v>
      </c>
      <c r="B67" s="156">
        <v>739.3</v>
      </c>
      <c r="C67" s="157">
        <v>906.3</v>
      </c>
      <c r="D67" s="157">
        <v>717.28</v>
      </c>
      <c r="E67" s="157">
        <v>859.59</v>
      </c>
      <c r="F67" s="157">
        <v>928.18</v>
      </c>
      <c r="G67" s="157">
        <v>891.15</v>
      </c>
      <c r="H67" s="157">
        <v>795.17</v>
      </c>
      <c r="I67" s="157">
        <v>803.94</v>
      </c>
      <c r="J67" s="157">
        <v>805.69</v>
      </c>
      <c r="K67" s="157">
        <v>691.5</v>
      </c>
      <c r="L67" s="157">
        <v>825.34</v>
      </c>
      <c r="M67" s="157">
        <v>773.24</v>
      </c>
      <c r="N67" s="157">
        <v>814.67</v>
      </c>
      <c r="O67" s="157">
        <v>853.12</v>
      </c>
      <c r="P67" s="157">
        <v>819.04</v>
      </c>
      <c r="Q67" s="157">
        <v>844.37</v>
      </c>
      <c r="R67" s="157">
        <v>655.79</v>
      </c>
      <c r="S67" s="157">
        <v>856.17</v>
      </c>
      <c r="T67" s="157">
        <v>883</v>
      </c>
      <c r="U67" s="157">
        <v>935.41</v>
      </c>
      <c r="V67" s="157">
        <v>790.25</v>
      </c>
      <c r="W67" s="157">
        <v>903.11</v>
      </c>
      <c r="X67" s="157">
        <v>755.79</v>
      </c>
      <c r="Y67" s="157">
        <v>894.67</v>
      </c>
      <c r="Z67" s="157">
        <v>726.99</v>
      </c>
      <c r="AA67" s="157">
        <v>832.26</v>
      </c>
      <c r="AB67" s="157">
        <v>939.24</v>
      </c>
      <c r="AC67" s="157">
        <v>739.35</v>
      </c>
      <c r="AD67" s="157">
        <v>949.85</v>
      </c>
      <c r="AE67" s="157">
        <v>736.24</v>
      </c>
      <c r="AF67" s="157">
        <v>911.53</v>
      </c>
      <c r="AG67" s="157">
        <v>890.48</v>
      </c>
      <c r="AH67" s="157">
        <v>954.45</v>
      </c>
      <c r="AI67" s="158">
        <v>27422.460000000003</v>
      </c>
    </row>
    <row r="68" spans="1:35" ht="15" x14ac:dyDescent="0.25">
      <c r="A68" s="155">
        <v>64</v>
      </c>
      <c r="B68" s="156">
        <v>765.44</v>
      </c>
      <c r="C68" s="157">
        <v>937.18</v>
      </c>
      <c r="D68" s="157">
        <v>753.37</v>
      </c>
      <c r="E68" s="157">
        <v>900.14</v>
      </c>
      <c r="F68" s="157">
        <v>965.23</v>
      </c>
      <c r="G68" s="157">
        <v>927.58</v>
      </c>
      <c r="H68" s="157">
        <v>820.17</v>
      </c>
      <c r="I68" s="157">
        <v>835.54</v>
      </c>
      <c r="J68" s="157">
        <v>834.14</v>
      </c>
      <c r="K68" s="157">
        <v>707.01</v>
      </c>
      <c r="L68" s="157">
        <v>854.27</v>
      </c>
      <c r="M68" s="157">
        <v>810.38</v>
      </c>
      <c r="N68" s="157">
        <v>837.24</v>
      </c>
      <c r="O68" s="157">
        <v>884.89</v>
      </c>
      <c r="P68" s="157">
        <v>848.58</v>
      </c>
      <c r="Q68" s="157">
        <v>875.77</v>
      </c>
      <c r="R68" s="157">
        <v>683.36</v>
      </c>
      <c r="S68" s="157">
        <v>878.68</v>
      </c>
      <c r="T68" s="157">
        <v>922.88</v>
      </c>
      <c r="U68" s="157">
        <v>967.69</v>
      </c>
      <c r="V68" s="157">
        <v>813.65</v>
      </c>
      <c r="W68" s="157">
        <v>931.6</v>
      </c>
      <c r="X68" s="157">
        <v>785.08</v>
      </c>
      <c r="Y68" s="157">
        <v>923.27</v>
      </c>
      <c r="Z68" s="157">
        <v>745.24</v>
      </c>
      <c r="AA68" s="157">
        <v>847.12</v>
      </c>
      <c r="AB68" s="157">
        <v>973.73</v>
      </c>
      <c r="AC68" s="157">
        <v>769.68</v>
      </c>
      <c r="AD68" s="157">
        <v>977.94</v>
      </c>
      <c r="AE68" s="157">
        <v>772.56</v>
      </c>
      <c r="AF68" s="157">
        <v>943.46</v>
      </c>
      <c r="AG68" s="157">
        <v>911.3</v>
      </c>
      <c r="AH68" s="157">
        <v>985.74</v>
      </c>
      <c r="AI68" s="158">
        <v>28389.91</v>
      </c>
    </row>
    <row r="69" spans="1:35" ht="15" x14ac:dyDescent="0.25">
      <c r="A69" s="155">
        <v>65</v>
      </c>
      <c r="B69" s="156">
        <v>796.37</v>
      </c>
      <c r="C69" s="157">
        <v>973.01</v>
      </c>
      <c r="D69" s="157">
        <v>794.47</v>
      </c>
      <c r="E69" s="157">
        <v>943.78</v>
      </c>
      <c r="F69" s="157">
        <v>1006.2</v>
      </c>
      <c r="G69" s="157">
        <v>967.15</v>
      </c>
      <c r="H69" s="157">
        <v>850.46</v>
      </c>
      <c r="I69" s="157">
        <v>872.65</v>
      </c>
      <c r="J69" s="157">
        <v>868.42</v>
      </c>
      <c r="K69" s="157">
        <v>726.77</v>
      </c>
      <c r="L69" s="157">
        <v>885.23</v>
      </c>
      <c r="M69" s="157">
        <v>856.34</v>
      </c>
      <c r="N69" s="157">
        <v>863.86</v>
      </c>
      <c r="O69" s="157">
        <v>920.48</v>
      </c>
      <c r="P69" s="157">
        <v>881.28</v>
      </c>
      <c r="Q69" s="157">
        <v>911.39</v>
      </c>
      <c r="R69" s="157">
        <v>716.88</v>
      </c>
      <c r="S69" s="157">
        <v>903.63</v>
      </c>
      <c r="T69" s="157">
        <v>964.45</v>
      </c>
      <c r="U69" s="157">
        <v>1001.92</v>
      </c>
      <c r="V69" s="157">
        <v>843.03</v>
      </c>
      <c r="W69" s="157">
        <v>961.8</v>
      </c>
      <c r="X69" s="157">
        <v>821.25</v>
      </c>
      <c r="Y69" s="157">
        <v>956.21</v>
      </c>
      <c r="Z69" s="157">
        <v>767.63</v>
      </c>
      <c r="AA69" s="157">
        <v>866.04</v>
      </c>
      <c r="AB69" s="157">
        <v>1012.49</v>
      </c>
      <c r="AC69" s="157">
        <v>807.72</v>
      </c>
      <c r="AD69" s="157">
        <v>1010.7</v>
      </c>
      <c r="AE69" s="157">
        <v>812.14</v>
      </c>
      <c r="AF69" s="157">
        <v>978.54</v>
      </c>
      <c r="AG69" s="157">
        <v>938.57</v>
      </c>
      <c r="AH69" s="157">
        <v>1020.57</v>
      </c>
      <c r="AI69" s="158">
        <v>29501.429999999997</v>
      </c>
    </row>
    <row r="70" spans="1:35" ht="15" x14ac:dyDescent="0.25">
      <c r="A70" s="155">
        <v>66</v>
      </c>
      <c r="B70" s="156">
        <v>832.55</v>
      </c>
      <c r="C70" s="157">
        <v>1014.45</v>
      </c>
      <c r="D70" s="157">
        <v>840.65</v>
      </c>
      <c r="E70" s="157">
        <v>990.15</v>
      </c>
      <c r="F70" s="157">
        <v>1051.29</v>
      </c>
      <c r="G70" s="157">
        <v>1010.12</v>
      </c>
      <c r="H70" s="157">
        <v>887.06</v>
      </c>
      <c r="I70" s="157">
        <v>915.78</v>
      </c>
      <c r="J70" s="157">
        <v>909.41</v>
      </c>
      <c r="K70" s="157">
        <v>752.17</v>
      </c>
      <c r="L70" s="157">
        <v>919.03</v>
      </c>
      <c r="M70" s="157">
        <v>911.42</v>
      </c>
      <c r="N70" s="157">
        <v>895.37</v>
      </c>
      <c r="O70" s="157">
        <v>960.44</v>
      </c>
      <c r="P70" s="157">
        <v>917.5</v>
      </c>
      <c r="Q70" s="157">
        <v>951.48</v>
      </c>
      <c r="R70" s="157">
        <v>757.16</v>
      </c>
      <c r="S70" s="157">
        <v>931.6</v>
      </c>
      <c r="T70" s="157">
        <v>1007.75</v>
      </c>
      <c r="U70" s="157">
        <v>1038.8699999999999</v>
      </c>
      <c r="V70" s="157">
        <v>879.85</v>
      </c>
      <c r="W70" s="157">
        <v>994.94</v>
      </c>
      <c r="X70" s="157">
        <v>864.73</v>
      </c>
      <c r="Y70" s="157">
        <v>994.63</v>
      </c>
      <c r="Z70" s="157">
        <v>794.96</v>
      </c>
      <c r="AA70" s="157">
        <v>890.37</v>
      </c>
      <c r="AB70" s="157">
        <v>1055.79</v>
      </c>
      <c r="AC70" s="157">
        <v>854.55</v>
      </c>
      <c r="AD70" s="157">
        <v>1048.8699999999999</v>
      </c>
      <c r="AE70" s="157">
        <v>855.27</v>
      </c>
      <c r="AF70" s="157">
        <v>1017.08</v>
      </c>
      <c r="AG70" s="157">
        <v>974.11</v>
      </c>
      <c r="AH70" s="157">
        <v>1059.56</v>
      </c>
      <c r="AI70" s="158">
        <v>30778.959999999999</v>
      </c>
    </row>
    <row r="71" spans="1:35" ht="15" x14ac:dyDescent="0.25">
      <c r="A71" s="155">
        <v>67</v>
      </c>
      <c r="B71" s="156">
        <v>874.61</v>
      </c>
      <c r="C71" s="157">
        <v>1062.51</v>
      </c>
      <c r="D71" s="157">
        <v>892.18</v>
      </c>
      <c r="E71" s="157">
        <v>1039.69</v>
      </c>
      <c r="F71" s="157">
        <v>1101.23</v>
      </c>
      <c r="G71" s="157">
        <v>1057.4100000000001</v>
      </c>
      <c r="H71" s="157">
        <v>931.26</v>
      </c>
      <c r="I71" s="157">
        <v>965.56</v>
      </c>
      <c r="J71" s="157">
        <v>958.11</v>
      </c>
      <c r="K71" s="157">
        <v>785.12</v>
      </c>
      <c r="L71" s="157">
        <v>957.12</v>
      </c>
      <c r="M71" s="157">
        <v>975.49</v>
      </c>
      <c r="N71" s="157">
        <v>933.09</v>
      </c>
      <c r="O71" s="157">
        <v>1005.85</v>
      </c>
      <c r="P71" s="157">
        <v>958.15</v>
      </c>
      <c r="Q71" s="157">
        <v>996.64</v>
      </c>
      <c r="R71" s="157">
        <v>804.98</v>
      </c>
      <c r="S71" s="157">
        <v>963.64</v>
      </c>
      <c r="T71" s="157">
        <v>1053.7</v>
      </c>
      <c r="U71" s="157">
        <v>1079.8599999999999</v>
      </c>
      <c r="V71" s="157">
        <v>926.01</v>
      </c>
      <c r="W71" s="157">
        <v>1032.8399999999999</v>
      </c>
      <c r="X71" s="157">
        <v>915.83</v>
      </c>
      <c r="Y71" s="157">
        <v>1040.27</v>
      </c>
      <c r="Z71" s="157">
        <v>828.48</v>
      </c>
      <c r="AA71" s="157">
        <v>922.12</v>
      </c>
      <c r="AB71" s="157">
        <v>1104.28</v>
      </c>
      <c r="AC71" s="157">
        <v>911.23</v>
      </c>
      <c r="AD71" s="157">
        <v>1093.56</v>
      </c>
      <c r="AE71" s="157">
        <v>902.47</v>
      </c>
      <c r="AF71" s="157">
        <v>1059.8599999999999</v>
      </c>
      <c r="AG71" s="157">
        <v>1020.27</v>
      </c>
      <c r="AH71" s="157">
        <v>1103.95</v>
      </c>
      <c r="AI71" s="158">
        <v>32257.370000000003</v>
      </c>
    </row>
    <row r="72" spans="1:35" ht="15" x14ac:dyDescent="0.25">
      <c r="A72" s="155">
        <v>68</v>
      </c>
      <c r="B72" s="156">
        <v>923.63</v>
      </c>
      <c r="C72" s="157">
        <v>1118.8900000000001</v>
      </c>
      <c r="D72" s="157">
        <v>949.96</v>
      </c>
      <c r="E72" s="157">
        <v>1094.04</v>
      </c>
      <c r="F72" s="157">
        <v>1157.6199999999999</v>
      </c>
      <c r="G72" s="157">
        <v>1110.9100000000001</v>
      </c>
      <c r="H72" s="157">
        <v>984.78</v>
      </c>
      <c r="I72" s="157">
        <v>1022.98</v>
      </c>
      <c r="J72" s="157">
        <v>1015.82</v>
      </c>
      <c r="K72" s="157">
        <v>828.35</v>
      </c>
      <c r="L72" s="157">
        <v>1001.82</v>
      </c>
      <c r="M72" s="157">
        <v>1048.2</v>
      </c>
      <c r="N72" s="157">
        <v>979.14</v>
      </c>
      <c r="O72" s="157">
        <v>1058.6400000000001</v>
      </c>
      <c r="P72" s="157">
        <v>1004.94</v>
      </c>
      <c r="Q72" s="157">
        <v>1048.1400000000001</v>
      </c>
      <c r="R72" s="157">
        <v>861.18</v>
      </c>
      <c r="S72" s="157">
        <v>1001.5</v>
      </c>
      <c r="T72" s="157">
        <v>1104.3699999999999</v>
      </c>
      <c r="U72" s="157">
        <v>1126.99</v>
      </c>
      <c r="V72" s="157">
        <v>983.92</v>
      </c>
      <c r="W72" s="157">
        <v>1078.1199999999999</v>
      </c>
      <c r="X72" s="157">
        <v>975.04</v>
      </c>
      <c r="Y72" s="157">
        <v>1095.55</v>
      </c>
      <c r="Z72" s="157">
        <v>870.22</v>
      </c>
      <c r="AA72" s="157">
        <v>964.3</v>
      </c>
      <c r="AB72" s="157">
        <v>1159.3499999999999</v>
      </c>
      <c r="AC72" s="157">
        <v>978.77</v>
      </c>
      <c r="AD72" s="157">
        <v>1146.53</v>
      </c>
      <c r="AE72" s="157">
        <v>954.69</v>
      </c>
      <c r="AF72" s="157">
        <v>1108.49</v>
      </c>
      <c r="AG72" s="157">
        <v>1080.06</v>
      </c>
      <c r="AH72" s="157">
        <v>1155.8800000000001</v>
      </c>
      <c r="AI72" s="158">
        <v>33992.819999999992</v>
      </c>
    </row>
    <row r="73" spans="1:35" ht="15" x14ac:dyDescent="0.25">
      <c r="A73" s="155">
        <v>69</v>
      </c>
      <c r="B73" s="156">
        <v>981.47</v>
      </c>
      <c r="C73" s="157">
        <v>1186.42</v>
      </c>
      <c r="D73" s="157">
        <v>1016.04</v>
      </c>
      <c r="E73" s="157">
        <v>1156.5899999999999</v>
      </c>
      <c r="F73" s="157">
        <v>1223.47</v>
      </c>
      <c r="G73" s="157">
        <v>1173.94</v>
      </c>
      <c r="H73" s="157">
        <v>1050.07</v>
      </c>
      <c r="I73" s="157">
        <v>1089.8</v>
      </c>
      <c r="J73" s="157">
        <v>1084.4100000000001</v>
      </c>
      <c r="K73" s="157">
        <v>885.72</v>
      </c>
      <c r="L73" s="157">
        <v>1056.52</v>
      </c>
      <c r="M73" s="157">
        <v>1129.67</v>
      </c>
      <c r="N73" s="157">
        <v>1036.93</v>
      </c>
      <c r="O73" s="157">
        <v>1121.92</v>
      </c>
      <c r="P73" s="157">
        <v>1060.78</v>
      </c>
      <c r="Q73" s="157">
        <v>1108.3900000000001</v>
      </c>
      <c r="R73" s="157">
        <v>926.88</v>
      </c>
      <c r="S73" s="157">
        <v>1047.95</v>
      </c>
      <c r="T73" s="157">
        <v>1163.23</v>
      </c>
      <c r="U73" s="157">
        <v>1183.42</v>
      </c>
      <c r="V73" s="157">
        <v>1056.76</v>
      </c>
      <c r="W73" s="157">
        <v>1134.33</v>
      </c>
      <c r="X73" s="157">
        <v>1043.48</v>
      </c>
      <c r="Y73" s="157">
        <v>1163.78</v>
      </c>
      <c r="Z73" s="157">
        <v>923.54</v>
      </c>
      <c r="AA73" s="157">
        <v>1021.35</v>
      </c>
      <c r="AB73" s="157">
        <v>1223.57</v>
      </c>
      <c r="AC73" s="157">
        <v>1058.44</v>
      </c>
      <c r="AD73" s="157">
        <v>1210.6300000000001</v>
      </c>
      <c r="AE73" s="157">
        <v>1013.71</v>
      </c>
      <c r="AF73" s="157">
        <v>1165.7</v>
      </c>
      <c r="AG73" s="157">
        <v>1157.31</v>
      </c>
      <c r="AH73" s="157">
        <v>1218.76</v>
      </c>
      <c r="AI73" s="158">
        <v>36074.979999999996</v>
      </c>
    </row>
    <row r="74" spans="1:35" ht="15" x14ac:dyDescent="0.25">
      <c r="A74" s="155">
        <v>70</v>
      </c>
      <c r="B74" s="156">
        <v>1051.44</v>
      </c>
      <c r="C74" s="157">
        <v>1269.7</v>
      </c>
      <c r="D74" s="157">
        <v>1094.42</v>
      </c>
      <c r="E74" s="157">
        <v>1232.79</v>
      </c>
      <c r="F74" s="157">
        <v>1303.71</v>
      </c>
      <c r="G74" s="157">
        <v>1251.7</v>
      </c>
      <c r="H74" s="157">
        <v>1130.82</v>
      </c>
      <c r="I74" s="157">
        <v>1169.21</v>
      </c>
      <c r="J74" s="157">
        <v>1166.8699999999999</v>
      </c>
      <c r="K74" s="157">
        <v>962.74</v>
      </c>
      <c r="L74" s="157">
        <v>1126.02</v>
      </c>
      <c r="M74" s="157">
        <v>1221.5999999999999</v>
      </c>
      <c r="N74" s="157">
        <v>1111.8599999999999</v>
      </c>
      <c r="O74" s="157">
        <v>1200.46</v>
      </c>
      <c r="P74" s="157">
        <v>1130.23</v>
      </c>
      <c r="Q74" s="157">
        <v>1181.52</v>
      </c>
      <c r="R74" s="157">
        <v>1004.14</v>
      </c>
      <c r="S74" s="157">
        <v>1107.22</v>
      </c>
      <c r="T74" s="157">
        <v>1235.3399999999999</v>
      </c>
      <c r="U74" s="157">
        <v>1253.74</v>
      </c>
      <c r="V74" s="157">
        <v>1148.92</v>
      </c>
      <c r="W74" s="157">
        <v>1206.32</v>
      </c>
      <c r="X74" s="157">
        <v>1123.6600000000001</v>
      </c>
      <c r="Y74" s="157">
        <v>1249.45</v>
      </c>
      <c r="Z74" s="157">
        <v>993.78</v>
      </c>
      <c r="AA74" s="157">
        <v>1099.55</v>
      </c>
      <c r="AB74" s="157">
        <v>1301.2</v>
      </c>
      <c r="AC74" s="157">
        <v>1152.26</v>
      </c>
      <c r="AD74" s="157">
        <v>1290.3399999999999</v>
      </c>
      <c r="AE74" s="157">
        <v>1082.75</v>
      </c>
      <c r="AF74" s="157">
        <v>1235.82</v>
      </c>
      <c r="AG74" s="157">
        <v>1256.95</v>
      </c>
      <c r="AH74" s="157">
        <v>1297.72</v>
      </c>
      <c r="AI74" s="158">
        <v>38644.25</v>
      </c>
    </row>
    <row r="75" spans="1:35" ht="15" x14ac:dyDescent="0.25">
      <c r="A75" s="155">
        <v>71</v>
      </c>
      <c r="B75" s="156">
        <v>1139.05</v>
      </c>
      <c r="C75" s="157">
        <v>1375.99</v>
      </c>
      <c r="D75" s="157">
        <v>1191.83</v>
      </c>
      <c r="E75" s="157">
        <v>1330.48</v>
      </c>
      <c r="F75" s="157">
        <v>1405.86</v>
      </c>
      <c r="G75" s="157">
        <v>1351.9</v>
      </c>
      <c r="H75" s="157">
        <v>1232.77</v>
      </c>
      <c r="I75" s="157">
        <v>1266.74</v>
      </c>
      <c r="J75" s="157">
        <v>1268.2</v>
      </c>
      <c r="K75" s="157">
        <v>1067.33</v>
      </c>
      <c r="L75" s="157">
        <v>1217.17</v>
      </c>
      <c r="M75" s="157">
        <v>1328.82</v>
      </c>
      <c r="N75" s="157">
        <v>1212.3</v>
      </c>
      <c r="O75" s="157">
        <v>1301.21</v>
      </c>
      <c r="P75" s="157">
        <v>1219.92</v>
      </c>
      <c r="Q75" s="157">
        <v>1274.03</v>
      </c>
      <c r="R75" s="157">
        <v>1097.05</v>
      </c>
      <c r="S75" s="157">
        <v>1185.6400000000001</v>
      </c>
      <c r="T75" s="157">
        <v>1327.71</v>
      </c>
      <c r="U75" s="157">
        <v>1344.57</v>
      </c>
      <c r="V75" s="157">
        <v>1266.78</v>
      </c>
      <c r="W75" s="157">
        <v>1300.92</v>
      </c>
      <c r="X75" s="157">
        <v>1220.4000000000001</v>
      </c>
      <c r="Y75" s="157">
        <v>1358.91</v>
      </c>
      <c r="Z75" s="157">
        <v>1088.8499999999999</v>
      </c>
      <c r="AA75" s="157">
        <v>1207.4000000000001</v>
      </c>
      <c r="AB75" s="157">
        <v>1398.81</v>
      </c>
      <c r="AC75" s="157">
        <v>1264.3</v>
      </c>
      <c r="AD75" s="157">
        <v>1392.56</v>
      </c>
      <c r="AE75" s="157">
        <v>1167.1400000000001</v>
      </c>
      <c r="AF75" s="157">
        <v>1325.22</v>
      </c>
      <c r="AG75" s="157">
        <v>1385.52</v>
      </c>
      <c r="AH75" s="157">
        <v>1400.17</v>
      </c>
      <c r="AI75" s="158">
        <v>41915.549999999996</v>
      </c>
    </row>
    <row r="76" spans="1:35" ht="15" x14ac:dyDescent="0.25">
      <c r="A76" s="155">
        <v>72</v>
      </c>
      <c r="B76" s="156">
        <v>1252.97</v>
      </c>
      <c r="C76" s="157">
        <v>1516.3</v>
      </c>
      <c r="D76" s="157">
        <v>1318.53</v>
      </c>
      <c r="E76" s="157">
        <v>1460.47</v>
      </c>
      <c r="F76" s="157">
        <v>1540.76</v>
      </c>
      <c r="G76" s="157">
        <v>1485.8</v>
      </c>
      <c r="H76" s="157">
        <v>1364.94</v>
      </c>
      <c r="I76" s="157">
        <v>1391.37</v>
      </c>
      <c r="J76" s="157">
        <v>1396.64</v>
      </c>
      <c r="K76" s="157">
        <v>1210.74</v>
      </c>
      <c r="L76" s="157">
        <v>1339.78</v>
      </c>
      <c r="M76" s="157">
        <v>1460.8</v>
      </c>
      <c r="N76" s="157">
        <v>1350.59</v>
      </c>
      <c r="O76" s="157">
        <v>1434.06</v>
      </c>
      <c r="P76" s="157">
        <v>1339.28</v>
      </c>
      <c r="Q76" s="157">
        <v>1395.7</v>
      </c>
      <c r="R76" s="157">
        <v>1213.1600000000001</v>
      </c>
      <c r="S76" s="157">
        <v>1292.77</v>
      </c>
      <c r="T76" s="157">
        <v>1449.97</v>
      </c>
      <c r="U76" s="157">
        <v>1465.27</v>
      </c>
      <c r="V76" s="157">
        <v>1420.04</v>
      </c>
      <c r="W76" s="157">
        <v>1427.78</v>
      </c>
      <c r="X76" s="157">
        <v>1341.78</v>
      </c>
      <c r="Y76" s="157">
        <v>1501.52</v>
      </c>
      <c r="Z76" s="157">
        <v>1219.6500000000001</v>
      </c>
      <c r="AA76" s="157">
        <v>1355.61</v>
      </c>
      <c r="AB76" s="157">
        <v>1526.1</v>
      </c>
      <c r="AC76" s="157">
        <v>1402.32</v>
      </c>
      <c r="AD76" s="157">
        <v>1527.55</v>
      </c>
      <c r="AE76" s="157">
        <v>1275.07</v>
      </c>
      <c r="AF76" s="157">
        <v>1443.13</v>
      </c>
      <c r="AG76" s="157">
        <v>1552.12</v>
      </c>
      <c r="AH76" s="157">
        <v>1536.74</v>
      </c>
      <c r="AI76" s="158">
        <v>46209.31</v>
      </c>
    </row>
    <row r="77" spans="1:35" ht="15" x14ac:dyDescent="0.25">
      <c r="A77" s="155">
        <v>73</v>
      </c>
      <c r="B77" s="156">
        <v>1406.05</v>
      </c>
      <c r="C77" s="157">
        <v>1706.65</v>
      </c>
      <c r="D77" s="157">
        <v>1489.11</v>
      </c>
      <c r="E77" s="157">
        <v>1637.57</v>
      </c>
      <c r="F77" s="157">
        <v>1723.78</v>
      </c>
      <c r="G77" s="157">
        <v>1669.56</v>
      </c>
      <c r="H77" s="157">
        <v>1541.19</v>
      </c>
      <c r="I77" s="157">
        <v>1556.79</v>
      </c>
      <c r="J77" s="157">
        <v>1565.23</v>
      </c>
      <c r="K77" s="157">
        <v>1408.8</v>
      </c>
      <c r="L77" s="157">
        <v>1508.07</v>
      </c>
      <c r="M77" s="157">
        <v>1632.75</v>
      </c>
      <c r="N77" s="157">
        <v>1543.84</v>
      </c>
      <c r="O77" s="157">
        <v>1612.96</v>
      </c>
      <c r="P77" s="157">
        <v>1501.5</v>
      </c>
      <c r="Q77" s="157">
        <v>1560.7</v>
      </c>
      <c r="R77" s="157">
        <v>1364.88</v>
      </c>
      <c r="S77" s="157">
        <v>1443.06</v>
      </c>
      <c r="T77" s="157">
        <v>1615.42</v>
      </c>
      <c r="U77" s="157">
        <v>1629.02</v>
      </c>
      <c r="V77" s="157">
        <v>1623.67</v>
      </c>
      <c r="W77" s="157">
        <v>1600.66</v>
      </c>
      <c r="X77" s="157">
        <v>1500.21</v>
      </c>
      <c r="Y77" s="157">
        <v>1691.07</v>
      </c>
      <c r="Z77" s="157">
        <v>1399.88</v>
      </c>
      <c r="AA77" s="157">
        <v>1556.91</v>
      </c>
      <c r="AB77" s="157">
        <v>1696.99</v>
      </c>
      <c r="AC77" s="157">
        <v>1579.74</v>
      </c>
      <c r="AD77" s="157">
        <v>1710.2</v>
      </c>
      <c r="AE77" s="157">
        <v>1418.35</v>
      </c>
      <c r="AF77" s="157">
        <v>1602.75</v>
      </c>
      <c r="AG77" s="157">
        <v>1770.2</v>
      </c>
      <c r="AH77" s="157">
        <v>1722.61</v>
      </c>
      <c r="AI77" s="158">
        <v>51990.17</v>
      </c>
    </row>
    <row r="78" spans="1:35" ht="15" x14ac:dyDescent="0.25">
      <c r="A78" s="155">
        <v>74</v>
      </c>
      <c r="B78" s="156">
        <v>1616.77</v>
      </c>
      <c r="C78" s="157">
        <v>1969.68</v>
      </c>
      <c r="D78" s="157">
        <v>1723.62</v>
      </c>
      <c r="E78" s="157">
        <v>1882.21</v>
      </c>
      <c r="F78" s="157">
        <v>1976.51</v>
      </c>
      <c r="G78" s="157">
        <v>1926.09</v>
      </c>
      <c r="H78" s="157">
        <v>1782.01</v>
      </c>
      <c r="I78" s="157">
        <v>1782.98</v>
      </c>
      <c r="J78" s="157">
        <v>1793.59</v>
      </c>
      <c r="K78" s="157">
        <v>1683.45</v>
      </c>
      <c r="L78" s="157">
        <v>1742.46</v>
      </c>
      <c r="M78" s="157">
        <v>1866.49</v>
      </c>
      <c r="N78" s="157">
        <v>1814.01</v>
      </c>
      <c r="O78" s="157">
        <v>1857.45</v>
      </c>
      <c r="P78" s="157">
        <v>1724.99</v>
      </c>
      <c r="Q78" s="157">
        <v>1789.22</v>
      </c>
      <c r="R78" s="157">
        <v>1570.5</v>
      </c>
      <c r="S78" s="157">
        <v>1658.5</v>
      </c>
      <c r="T78" s="157">
        <v>1842.66</v>
      </c>
      <c r="U78" s="157">
        <v>1854.26</v>
      </c>
      <c r="V78" s="157">
        <v>1900.67</v>
      </c>
      <c r="W78" s="157">
        <v>1839.09</v>
      </c>
      <c r="X78" s="157">
        <v>1713.69</v>
      </c>
      <c r="Y78" s="157">
        <v>1947.64</v>
      </c>
      <c r="Z78" s="157">
        <v>1646.11</v>
      </c>
      <c r="AA78" s="157">
        <v>1826.47</v>
      </c>
      <c r="AB78" s="157">
        <v>1931.45</v>
      </c>
      <c r="AC78" s="157">
        <v>1817.2</v>
      </c>
      <c r="AD78" s="157">
        <v>1961.68</v>
      </c>
      <c r="AE78" s="157">
        <v>1613.48</v>
      </c>
      <c r="AF78" s="157">
        <v>1822.93</v>
      </c>
      <c r="AG78" s="157">
        <v>2060.5</v>
      </c>
      <c r="AH78" s="157">
        <v>1979.42</v>
      </c>
      <c r="AI78" s="158">
        <v>59917.78</v>
      </c>
    </row>
    <row r="79" spans="1:35" ht="15" x14ac:dyDescent="0.25">
      <c r="A79" s="155">
        <v>75</v>
      </c>
      <c r="B79" s="156">
        <v>1911.2</v>
      </c>
      <c r="C79" s="157">
        <v>2337.11</v>
      </c>
      <c r="D79" s="157">
        <v>2049.65</v>
      </c>
      <c r="E79" s="157">
        <v>2222.94</v>
      </c>
      <c r="F79" s="157">
        <v>2329.29</v>
      </c>
      <c r="G79" s="157">
        <v>2287.34</v>
      </c>
      <c r="H79" s="157">
        <v>2116.83</v>
      </c>
      <c r="I79" s="157">
        <v>2098.2800000000002</v>
      </c>
      <c r="J79" s="157">
        <v>2109.96</v>
      </c>
      <c r="K79" s="157">
        <v>2064.77</v>
      </c>
      <c r="L79" s="157">
        <v>2072.16</v>
      </c>
      <c r="M79" s="157">
        <v>2192.0300000000002</v>
      </c>
      <c r="N79" s="157">
        <v>2187.6999999999998</v>
      </c>
      <c r="O79" s="157">
        <v>2194.89</v>
      </c>
      <c r="P79" s="157">
        <v>2035.57</v>
      </c>
      <c r="Q79" s="157">
        <v>2110.02</v>
      </c>
      <c r="R79" s="157">
        <v>1855.25</v>
      </c>
      <c r="S79" s="157">
        <v>1972.53</v>
      </c>
      <c r="T79" s="157">
        <v>2157.88</v>
      </c>
      <c r="U79" s="157">
        <v>2166.89</v>
      </c>
      <c r="V79" s="157">
        <v>2285.37</v>
      </c>
      <c r="W79" s="157">
        <v>2170.6999999999998</v>
      </c>
      <c r="X79" s="157">
        <v>2007.8</v>
      </c>
      <c r="Y79" s="157">
        <v>2299.7399999999998</v>
      </c>
      <c r="Z79" s="157">
        <v>1979.33</v>
      </c>
      <c r="AA79" s="157">
        <v>2184.89</v>
      </c>
      <c r="AB79" s="157">
        <v>2258.35</v>
      </c>
      <c r="AC79" s="157">
        <v>2143.94</v>
      </c>
      <c r="AD79" s="157">
        <v>2311.89</v>
      </c>
      <c r="AE79" s="157">
        <v>1883.32</v>
      </c>
      <c r="AF79" s="157">
        <v>2130.4499999999998</v>
      </c>
      <c r="AG79" s="157">
        <v>2454.9699999999998</v>
      </c>
      <c r="AH79" s="157">
        <v>2337.9499999999998</v>
      </c>
      <c r="AI79" s="158">
        <v>70920.989999999991</v>
      </c>
    </row>
    <row r="80" spans="1:35" ht="15" x14ac:dyDescent="0.25">
      <c r="A80" s="155">
        <v>76</v>
      </c>
      <c r="B80" s="156">
        <v>2325.85</v>
      </c>
      <c r="C80" s="157">
        <v>2853.54</v>
      </c>
      <c r="D80" s="157">
        <v>2505.38</v>
      </c>
      <c r="E80" s="157">
        <v>2699.61</v>
      </c>
      <c r="F80" s="157">
        <v>2824.49</v>
      </c>
      <c r="G80" s="157">
        <v>2797.4</v>
      </c>
      <c r="H80" s="157">
        <v>2586.98</v>
      </c>
      <c r="I80" s="157">
        <v>2542.23</v>
      </c>
      <c r="J80" s="157">
        <v>2553.81</v>
      </c>
      <c r="K80" s="157">
        <v>2593.56</v>
      </c>
      <c r="L80" s="157">
        <v>2538.33</v>
      </c>
      <c r="M80" s="157">
        <v>2650.53</v>
      </c>
      <c r="N80" s="157">
        <v>2697.82</v>
      </c>
      <c r="O80" s="157">
        <v>2663.11</v>
      </c>
      <c r="P80" s="157">
        <v>2469.31</v>
      </c>
      <c r="Q80" s="157">
        <v>2564.08</v>
      </c>
      <c r="R80" s="157">
        <v>2253.23</v>
      </c>
      <c r="S80" s="157">
        <v>2434.86</v>
      </c>
      <c r="T80" s="157">
        <v>2597.9299999999998</v>
      </c>
      <c r="U80" s="157">
        <v>2603.34</v>
      </c>
      <c r="V80" s="157">
        <v>2826.93</v>
      </c>
      <c r="W80" s="157">
        <v>2634.18</v>
      </c>
      <c r="X80" s="157">
        <v>2418.5</v>
      </c>
      <c r="Y80" s="157">
        <v>2787.47</v>
      </c>
      <c r="Z80" s="157">
        <v>2429.85</v>
      </c>
      <c r="AA80" s="157">
        <v>2664.76</v>
      </c>
      <c r="AB80" s="157">
        <v>2719.97</v>
      </c>
      <c r="AC80" s="157">
        <v>2599.87</v>
      </c>
      <c r="AD80" s="157">
        <v>2802.74</v>
      </c>
      <c r="AE80" s="157">
        <v>2259.5700000000002</v>
      </c>
      <c r="AF80" s="157">
        <v>2562.8200000000002</v>
      </c>
      <c r="AG80" s="157">
        <v>3001.09</v>
      </c>
      <c r="AH80" s="157">
        <v>2841.44</v>
      </c>
      <c r="AI80" s="158">
        <v>86304.580000000016</v>
      </c>
    </row>
    <row r="81" spans="1:35" ht="15" x14ac:dyDescent="0.25">
      <c r="A81" s="155">
        <v>77</v>
      </c>
      <c r="B81" s="156">
        <v>2910.45</v>
      </c>
      <c r="C81" s="157">
        <v>3580.13</v>
      </c>
      <c r="D81" s="157">
        <v>3142.24</v>
      </c>
      <c r="E81" s="157">
        <v>3366.38</v>
      </c>
      <c r="F81" s="157">
        <v>3519.29</v>
      </c>
      <c r="G81" s="157">
        <v>3514.79</v>
      </c>
      <c r="H81" s="157">
        <v>3248.52</v>
      </c>
      <c r="I81" s="157">
        <v>3168.43</v>
      </c>
      <c r="J81" s="157">
        <v>3178.4</v>
      </c>
      <c r="K81" s="157">
        <v>3323.81</v>
      </c>
      <c r="L81" s="157">
        <v>3196.9</v>
      </c>
      <c r="M81" s="157">
        <v>3297.84</v>
      </c>
      <c r="N81" s="157">
        <v>3389.23</v>
      </c>
      <c r="O81" s="157">
        <v>3312.55</v>
      </c>
      <c r="P81" s="157">
        <v>3074.9</v>
      </c>
      <c r="Q81" s="157">
        <v>3208.44</v>
      </c>
      <c r="R81" s="157">
        <v>2809.72</v>
      </c>
      <c r="S81" s="157">
        <v>3114.09</v>
      </c>
      <c r="T81" s="157">
        <v>3213.6</v>
      </c>
      <c r="U81" s="157">
        <v>3214.06</v>
      </c>
      <c r="V81" s="157">
        <v>3591.15</v>
      </c>
      <c r="W81" s="157">
        <v>3282.19</v>
      </c>
      <c r="X81" s="157">
        <v>2995.46</v>
      </c>
      <c r="Y81" s="157">
        <v>3465.78</v>
      </c>
      <c r="Z81" s="157">
        <v>3044.37</v>
      </c>
      <c r="AA81" s="157">
        <v>3317.75</v>
      </c>
      <c r="AB81" s="157">
        <v>3377.81</v>
      </c>
      <c r="AC81" s="157">
        <v>3238.21</v>
      </c>
      <c r="AD81" s="157">
        <v>3491.15</v>
      </c>
      <c r="AE81" s="157">
        <v>2785.7</v>
      </c>
      <c r="AF81" s="157">
        <v>3171.34</v>
      </c>
      <c r="AG81" s="157">
        <v>3764.3</v>
      </c>
      <c r="AH81" s="157">
        <v>3548.93</v>
      </c>
      <c r="AI81" s="158">
        <v>107857.91</v>
      </c>
    </row>
    <row r="82" spans="1:35" ht="15" x14ac:dyDescent="0.25">
      <c r="A82" s="155">
        <v>78</v>
      </c>
      <c r="B82" s="156">
        <v>3727.94</v>
      </c>
      <c r="C82" s="157">
        <v>4591.6400000000003</v>
      </c>
      <c r="D82" s="157">
        <v>4021.84</v>
      </c>
      <c r="E82" s="157">
        <v>4289.76</v>
      </c>
      <c r="F82" s="157">
        <v>4483.03</v>
      </c>
      <c r="G82" s="157">
        <v>4508.8100000000004</v>
      </c>
      <c r="H82" s="157">
        <v>4169.25</v>
      </c>
      <c r="I82" s="157">
        <v>4044.04</v>
      </c>
      <c r="J82" s="157">
        <v>4050.35</v>
      </c>
      <c r="K82" s="157">
        <v>4318.2299999999996</v>
      </c>
      <c r="L82" s="157">
        <v>4115.34</v>
      </c>
      <c r="M82" s="157">
        <v>4204.8100000000004</v>
      </c>
      <c r="N82" s="157">
        <v>4323.34</v>
      </c>
      <c r="O82" s="157">
        <v>4204.4399999999996</v>
      </c>
      <c r="P82" s="157">
        <v>3912.8</v>
      </c>
      <c r="Q82" s="157">
        <v>4116.3500000000004</v>
      </c>
      <c r="R82" s="157">
        <v>3579.61</v>
      </c>
      <c r="S82" s="157">
        <v>4090.02</v>
      </c>
      <c r="T82" s="157">
        <v>4069.36</v>
      </c>
      <c r="U82" s="157">
        <v>4064.22</v>
      </c>
      <c r="V82" s="157">
        <v>4652.1099999999997</v>
      </c>
      <c r="W82" s="157">
        <v>4180.3100000000004</v>
      </c>
      <c r="X82" s="157">
        <v>3803.04</v>
      </c>
      <c r="Y82" s="157">
        <v>4404.18</v>
      </c>
      <c r="Z82" s="157">
        <v>3887.55</v>
      </c>
      <c r="AA82" s="157">
        <v>4213.78</v>
      </c>
      <c r="AB82" s="157">
        <v>4315.68</v>
      </c>
      <c r="AC82" s="157">
        <v>4124.2299999999996</v>
      </c>
      <c r="AD82" s="157">
        <v>4446.13</v>
      </c>
      <c r="AE82" s="157">
        <v>3517.66</v>
      </c>
      <c r="AF82" s="157">
        <v>4022.27</v>
      </c>
      <c r="AG82" s="157">
        <v>4824.7700000000004</v>
      </c>
      <c r="AH82" s="157">
        <v>4533.99</v>
      </c>
      <c r="AI82" s="158">
        <v>137810.88</v>
      </c>
    </row>
    <row r="83" spans="1:35" ht="15" x14ac:dyDescent="0.25">
      <c r="A83" s="155">
        <v>79</v>
      </c>
      <c r="B83" s="156">
        <v>4817.67</v>
      </c>
      <c r="C83" s="157">
        <v>5917.44</v>
      </c>
      <c r="D83" s="157">
        <v>5166.3999999999996</v>
      </c>
      <c r="E83" s="157">
        <v>5515.35</v>
      </c>
      <c r="F83" s="157">
        <v>5760</v>
      </c>
      <c r="G83" s="157">
        <v>5806.82</v>
      </c>
      <c r="H83" s="157">
        <v>5376.73</v>
      </c>
      <c r="I83" s="157">
        <v>5224.5</v>
      </c>
      <c r="J83" s="157">
        <v>5226.54</v>
      </c>
      <c r="K83" s="157">
        <v>5563.87</v>
      </c>
      <c r="L83" s="157">
        <v>5319.76</v>
      </c>
      <c r="M83" s="157">
        <v>5434.55</v>
      </c>
      <c r="N83" s="157">
        <v>5545.29</v>
      </c>
      <c r="O83" s="157">
        <v>5385.32</v>
      </c>
      <c r="P83" s="157">
        <v>5036.43</v>
      </c>
      <c r="Q83" s="157">
        <v>5351.71</v>
      </c>
      <c r="R83" s="157">
        <v>4597.75</v>
      </c>
      <c r="S83" s="157">
        <v>5393.83</v>
      </c>
      <c r="T83" s="157">
        <v>5224.53</v>
      </c>
      <c r="U83" s="157">
        <v>5218.9799999999996</v>
      </c>
      <c r="V83" s="157">
        <v>5992.33</v>
      </c>
      <c r="W83" s="157">
        <v>5378.16</v>
      </c>
      <c r="X83" s="157">
        <v>4908.67</v>
      </c>
      <c r="Y83" s="157">
        <v>5661.44</v>
      </c>
      <c r="Z83" s="157">
        <v>5015.54</v>
      </c>
      <c r="AA83" s="157">
        <v>5415.62</v>
      </c>
      <c r="AB83" s="157">
        <v>5617.26</v>
      </c>
      <c r="AC83" s="157">
        <v>5306.93</v>
      </c>
      <c r="AD83" s="157">
        <v>5712.17</v>
      </c>
      <c r="AE83" s="157">
        <v>4511.54</v>
      </c>
      <c r="AF83" s="157">
        <v>5187.74</v>
      </c>
      <c r="AG83" s="157">
        <v>6225.07</v>
      </c>
      <c r="AH83" s="157">
        <v>5851.42</v>
      </c>
      <c r="AI83" s="158">
        <v>177667.36000000004</v>
      </c>
    </row>
    <row r="84" spans="1:35" ht="15" x14ac:dyDescent="0.25">
      <c r="A84" s="155">
        <v>80</v>
      </c>
      <c r="B84" s="156">
        <v>6031.41</v>
      </c>
      <c r="C84" s="157">
        <v>7344.35</v>
      </c>
      <c r="D84" s="157">
        <v>6393.91</v>
      </c>
      <c r="E84" s="157">
        <v>6913.54</v>
      </c>
      <c r="F84" s="157">
        <v>7208.06</v>
      </c>
      <c r="G84" s="157">
        <v>7212.28</v>
      </c>
      <c r="H84" s="157">
        <v>6682.38</v>
      </c>
      <c r="I84" s="157">
        <v>6606</v>
      </c>
      <c r="J84" s="157">
        <v>6611.78</v>
      </c>
      <c r="K84" s="157">
        <v>6804.7</v>
      </c>
      <c r="L84" s="157">
        <v>6618.49</v>
      </c>
      <c r="M84" s="157">
        <v>6891.87</v>
      </c>
      <c r="N84" s="157">
        <v>6921.63</v>
      </c>
      <c r="O84" s="157">
        <v>6746.55</v>
      </c>
      <c r="P84" s="157">
        <v>6362.84</v>
      </c>
      <c r="Q84" s="157">
        <v>6811.85</v>
      </c>
      <c r="R84" s="157">
        <v>5747.82</v>
      </c>
      <c r="S84" s="157">
        <v>6825.05</v>
      </c>
      <c r="T84" s="157">
        <v>6620.26</v>
      </c>
      <c r="U84" s="157">
        <v>6638.39</v>
      </c>
      <c r="V84" s="157">
        <v>7317.98</v>
      </c>
      <c r="W84" s="157">
        <v>6758.73</v>
      </c>
      <c r="X84" s="157">
        <v>6284.04</v>
      </c>
      <c r="Y84" s="157">
        <v>7131.47</v>
      </c>
      <c r="Z84" s="157">
        <v>6333.21</v>
      </c>
      <c r="AA84" s="157">
        <v>6856.39</v>
      </c>
      <c r="AB84" s="157">
        <v>7218.23</v>
      </c>
      <c r="AC84" s="157">
        <v>6672.04</v>
      </c>
      <c r="AD84" s="157">
        <v>7152.67</v>
      </c>
      <c r="AE84" s="157">
        <v>5731.91</v>
      </c>
      <c r="AF84" s="157">
        <v>6645.72</v>
      </c>
      <c r="AG84" s="157">
        <v>7767.11</v>
      </c>
      <c r="AH84" s="157">
        <v>7369.64</v>
      </c>
      <c r="AI84" s="158">
        <v>223232.30000000008</v>
      </c>
    </row>
    <row r="85" spans="1:35" ht="15" x14ac:dyDescent="0.25">
      <c r="A85" s="155">
        <v>81</v>
      </c>
      <c r="B85" s="156">
        <v>7035.93</v>
      </c>
      <c r="C85" s="157">
        <v>8451.32</v>
      </c>
      <c r="D85" s="157">
        <v>7346.68</v>
      </c>
      <c r="E85" s="157">
        <v>8112.83</v>
      </c>
      <c r="F85" s="157">
        <v>8439.0400000000009</v>
      </c>
      <c r="G85" s="157">
        <v>8331.19</v>
      </c>
      <c r="H85" s="157">
        <v>7710.54</v>
      </c>
      <c r="I85" s="157">
        <v>7837.02</v>
      </c>
      <c r="J85" s="157">
        <v>7865.61</v>
      </c>
      <c r="K85" s="157">
        <v>7666.45</v>
      </c>
      <c r="L85" s="157">
        <v>7632.8</v>
      </c>
      <c r="M85" s="157">
        <v>8217.26</v>
      </c>
      <c r="N85" s="157">
        <v>8078.07</v>
      </c>
      <c r="O85" s="157">
        <v>7938.23</v>
      </c>
      <c r="P85" s="157">
        <v>7571.72</v>
      </c>
      <c r="Q85" s="157">
        <v>8125.89</v>
      </c>
      <c r="R85" s="157">
        <v>6714.96</v>
      </c>
      <c r="S85" s="157">
        <v>7987.96</v>
      </c>
      <c r="T85" s="157">
        <v>7937.89</v>
      </c>
      <c r="U85" s="157">
        <v>8019.19</v>
      </c>
      <c r="V85" s="157">
        <v>8207.1299999999992</v>
      </c>
      <c r="W85" s="157">
        <v>7960.61</v>
      </c>
      <c r="X85" s="157">
        <v>7638.03</v>
      </c>
      <c r="Y85" s="157">
        <v>8444.01</v>
      </c>
      <c r="Z85" s="157">
        <v>7508.44</v>
      </c>
      <c r="AA85" s="157">
        <v>8201.64</v>
      </c>
      <c r="AB85" s="157">
        <v>8732.89</v>
      </c>
      <c r="AC85" s="157">
        <v>7863.77</v>
      </c>
      <c r="AD85" s="157">
        <v>8388.5300000000007</v>
      </c>
      <c r="AE85" s="157">
        <v>6914.08</v>
      </c>
      <c r="AF85" s="157">
        <v>8096.38</v>
      </c>
      <c r="AG85" s="157">
        <v>9027.2099999999991</v>
      </c>
      <c r="AH85" s="157">
        <v>8689.2199999999993</v>
      </c>
      <c r="AI85" s="158">
        <v>262692.51999999996</v>
      </c>
    </row>
    <row r="86" spans="1:35" ht="15" x14ac:dyDescent="0.25">
      <c r="A86" s="155">
        <v>82</v>
      </c>
      <c r="B86" s="156">
        <v>7499.84</v>
      </c>
      <c r="C86" s="157">
        <v>8847.93</v>
      </c>
      <c r="D86" s="157">
        <v>7690.06</v>
      </c>
      <c r="E86" s="157">
        <v>8717.2999999999993</v>
      </c>
      <c r="F86" s="157">
        <v>9046.31</v>
      </c>
      <c r="G86" s="157">
        <v>8786.25</v>
      </c>
      <c r="H86" s="157">
        <v>8108.24</v>
      </c>
      <c r="I86" s="157">
        <v>8525.7900000000009</v>
      </c>
      <c r="J86" s="157">
        <v>8599.91</v>
      </c>
      <c r="K86" s="157">
        <v>7833.74</v>
      </c>
      <c r="L86" s="157">
        <v>8009.46</v>
      </c>
      <c r="M86" s="157">
        <v>8996.69</v>
      </c>
      <c r="N86" s="157">
        <v>8622.7800000000007</v>
      </c>
      <c r="O86" s="157">
        <v>8564.7000000000007</v>
      </c>
      <c r="P86" s="157">
        <v>8282.49</v>
      </c>
      <c r="Q86" s="157">
        <v>8876.2999999999993</v>
      </c>
      <c r="R86" s="157">
        <v>7171.88</v>
      </c>
      <c r="S86" s="157">
        <v>8506.32</v>
      </c>
      <c r="T86" s="157">
        <v>8764.6200000000008</v>
      </c>
      <c r="U86" s="157">
        <v>8945.5300000000007</v>
      </c>
      <c r="V86" s="157">
        <v>8316</v>
      </c>
      <c r="W86" s="157">
        <v>8589.83</v>
      </c>
      <c r="X86" s="157">
        <v>8558.41</v>
      </c>
      <c r="Y86" s="157">
        <v>9179.2199999999993</v>
      </c>
      <c r="Z86" s="157">
        <v>8167.65</v>
      </c>
      <c r="AA86" s="157">
        <v>9027.59</v>
      </c>
      <c r="AB86" s="157">
        <v>9677.81</v>
      </c>
      <c r="AC86" s="157">
        <v>8492.0499999999993</v>
      </c>
      <c r="AD86" s="157">
        <v>9017.2900000000009</v>
      </c>
      <c r="AE86" s="157">
        <v>7696.74</v>
      </c>
      <c r="AF86" s="157">
        <v>9105.94</v>
      </c>
      <c r="AG86" s="157">
        <v>9590.32</v>
      </c>
      <c r="AH86" s="157">
        <v>9379.4699999999993</v>
      </c>
      <c r="AI86" s="158">
        <v>283194.45999999996</v>
      </c>
    </row>
    <row r="87" spans="1:35" ht="15" x14ac:dyDescent="0.25">
      <c r="A87" s="155">
        <v>83</v>
      </c>
      <c r="B87" s="156">
        <v>7204.57</v>
      </c>
      <c r="C87" s="157">
        <v>8317.6299999999992</v>
      </c>
      <c r="D87" s="157">
        <v>7234.75</v>
      </c>
      <c r="E87" s="157">
        <v>8455.44</v>
      </c>
      <c r="F87" s="157">
        <v>8755.3799999999992</v>
      </c>
      <c r="G87" s="157">
        <v>8346.49</v>
      </c>
      <c r="H87" s="157">
        <v>7669.15</v>
      </c>
      <c r="I87" s="157">
        <v>8383.61</v>
      </c>
      <c r="J87" s="157">
        <v>8515.51</v>
      </c>
      <c r="K87" s="157">
        <v>7173.5</v>
      </c>
      <c r="L87" s="157">
        <v>7548.23</v>
      </c>
      <c r="M87" s="157">
        <v>8910.93</v>
      </c>
      <c r="N87" s="157">
        <v>8299.4699999999993</v>
      </c>
      <c r="O87" s="157">
        <v>8338.4699999999993</v>
      </c>
      <c r="P87" s="157">
        <v>8193.85</v>
      </c>
      <c r="Q87" s="157">
        <v>8752.8799999999992</v>
      </c>
      <c r="R87" s="157">
        <v>6905.01</v>
      </c>
      <c r="S87" s="157">
        <v>8143.31</v>
      </c>
      <c r="T87" s="157">
        <v>8773.5400000000009</v>
      </c>
      <c r="U87" s="157">
        <v>9067.82</v>
      </c>
      <c r="V87" s="157">
        <v>7521.62</v>
      </c>
      <c r="W87" s="157">
        <v>8368.41</v>
      </c>
      <c r="X87" s="157">
        <v>8696.34</v>
      </c>
      <c r="Y87" s="157">
        <v>9023.26</v>
      </c>
      <c r="Z87" s="157">
        <v>8032.83</v>
      </c>
      <c r="AA87" s="157">
        <v>9004.91</v>
      </c>
      <c r="AB87" s="157">
        <v>9689.64</v>
      </c>
      <c r="AC87" s="157">
        <v>8279.7900000000009</v>
      </c>
      <c r="AD87" s="157">
        <v>8759.43</v>
      </c>
      <c r="AE87" s="157">
        <v>7780.11</v>
      </c>
      <c r="AF87" s="157">
        <v>9299.16</v>
      </c>
      <c r="AG87" s="157">
        <v>9187.91</v>
      </c>
      <c r="AH87" s="157">
        <v>9139.6200000000008</v>
      </c>
      <c r="AI87" s="158">
        <v>275772.57</v>
      </c>
    </row>
    <row r="88" spans="1:35" ht="15" x14ac:dyDescent="0.25">
      <c r="A88" s="155">
        <v>84</v>
      </c>
      <c r="B88" s="156">
        <v>6166.89</v>
      </c>
      <c r="C88" s="157">
        <v>6948.15</v>
      </c>
      <c r="D88" s="157">
        <v>6051.7</v>
      </c>
      <c r="E88" s="157">
        <v>7316.34</v>
      </c>
      <c r="F88" s="157">
        <v>7561.37</v>
      </c>
      <c r="G88" s="157">
        <v>7062.72</v>
      </c>
      <c r="H88" s="157">
        <v>6455</v>
      </c>
      <c r="I88" s="157">
        <v>7362.27</v>
      </c>
      <c r="J88" s="157">
        <v>7541.68</v>
      </c>
      <c r="K88" s="157">
        <v>5833.39</v>
      </c>
      <c r="L88" s="157">
        <v>6321.87</v>
      </c>
      <c r="M88" s="157">
        <v>7886.05</v>
      </c>
      <c r="N88" s="157">
        <v>7119.93</v>
      </c>
      <c r="O88" s="157">
        <v>7231.91</v>
      </c>
      <c r="P88" s="157">
        <v>7234.03</v>
      </c>
      <c r="Q88" s="157">
        <v>7698.64</v>
      </c>
      <c r="R88" s="157">
        <v>5924.42</v>
      </c>
      <c r="S88" s="157">
        <v>6935.88</v>
      </c>
      <c r="T88" s="157">
        <v>7861.09</v>
      </c>
      <c r="U88" s="157">
        <v>8242.56</v>
      </c>
      <c r="V88" s="157">
        <v>6020.61</v>
      </c>
      <c r="W88" s="157">
        <v>7272.42</v>
      </c>
      <c r="X88" s="157">
        <v>7909.05</v>
      </c>
      <c r="Y88" s="157">
        <v>7921.15</v>
      </c>
      <c r="Z88" s="157">
        <v>7055.28</v>
      </c>
      <c r="AA88" s="157">
        <v>8038.18</v>
      </c>
      <c r="AB88" s="157">
        <v>8667.23</v>
      </c>
      <c r="AC88" s="157">
        <v>7201.51</v>
      </c>
      <c r="AD88" s="157">
        <v>7597.67</v>
      </c>
      <c r="AE88" s="157">
        <v>7047.48</v>
      </c>
      <c r="AF88" s="157">
        <v>8506.23</v>
      </c>
      <c r="AG88" s="157">
        <v>7849.21</v>
      </c>
      <c r="AH88" s="157">
        <v>7946.29</v>
      </c>
      <c r="AI88" s="158">
        <v>239788.20000000004</v>
      </c>
    </row>
    <row r="89" spans="1:35" ht="15" x14ac:dyDescent="0.25">
      <c r="A89" s="155">
        <v>85</v>
      </c>
      <c r="B89" s="156">
        <v>4684.3900000000003</v>
      </c>
      <c r="C89" s="157">
        <v>5147.5</v>
      </c>
      <c r="D89" s="157">
        <v>4490</v>
      </c>
      <c r="E89" s="157">
        <v>5607.85</v>
      </c>
      <c r="F89" s="157">
        <v>5786.43</v>
      </c>
      <c r="G89" s="157">
        <v>5305.6</v>
      </c>
      <c r="H89" s="157">
        <v>4821.24</v>
      </c>
      <c r="I89" s="157">
        <v>5730.37</v>
      </c>
      <c r="J89" s="157">
        <v>5925.48</v>
      </c>
      <c r="K89" s="157">
        <v>4232.53</v>
      </c>
      <c r="L89" s="157">
        <v>4694.53</v>
      </c>
      <c r="M89" s="157">
        <v>6186.99</v>
      </c>
      <c r="N89" s="157">
        <v>5408.86</v>
      </c>
      <c r="O89" s="157">
        <v>5546.95</v>
      </c>
      <c r="P89" s="157">
        <v>5652.93</v>
      </c>
      <c r="Q89" s="157">
        <v>5990.34</v>
      </c>
      <c r="R89" s="157">
        <v>4500.96</v>
      </c>
      <c r="S89" s="157">
        <v>5238.42</v>
      </c>
      <c r="T89" s="157">
        <v>6244.89</v>
      </c>
      <c r="U89" s="157">
        <v>6651.02</v>
      </c>
      <c r="V89" s="157">
        <v>4296.1400000000003</v>
      </c>
      <c r="W89" s="157">
        <v>5596.45</v>
      </c>
      <c r="X89" s="157">
        <v>6376.01</v>
      </c>
      <c r="Y89" s="157">
        <v>6161.96</v>
      </c>
      <c r="Z89" s="157">
        <v>5490.94</v>
      </c>
      <c r="AA89" s="157">
        <v>6360.89</v>
      </c>
      <c r="AB89" s="157">
        <v>6867.48</v>
      </c>
      <c r="AC89" s="157">
        <v>5548.13</v>
      </c>
      <c r="AD89" s="157">
        <v>5841.39</v>
      </c>
      <c r="AE89" s="157">
        <v>5663.74</v>
      </c>
      <c r="AF89" s="157">
        <v>6893.29</v>
      </c>
      <c r="AG89" s="157">
        <v>5955.17</v>
      </c>
      <c r="AH89" s="157">
        <v>6121.11</v>
      </c>
      <c r="AI89" s="158">
        <v>185019.98000000004</v>
      </c>
    </row>
    <row r="90" spans="1:35" ht="15" x14ac:dyDescent="0.25">
      <c r="A90" s="155">
        <v>86</v>
      </c>
      <c r="B90" s="156">
        <v>3253.73</v>
      </c>
      <c r="C90" s="157">
        <v>3508.99</v>
      </c>
      <c r="D90" s="157">
        <v>3063.5</v>
      </c>
      <c r="E90" s="157">
        <v>3884.55</v>
      </c>
      <c r="F90" s="157">
        <v>4004.32</v>
      </c>
      <c r="G90" s="157">
        <v>3655.91</v>
      </c>
      <c r="H90" s="157">
        <v>3306.9</v>
      </c>
      <c r="I90" s="157">
        <v>4021.85</v>
      </c>
      <c r="J90" s="157">
        <v>4194.1899999999996</v>
      </c>
      <c r="K90" s="157">
        <v>2878.62</v>
      </c>
      <c r="L90" s="157">
        <v>3203.46</v>
      </c>
      <c r="M90" s="157">
        <v>4373.17</v>
      </c>
      <c r="N90" s="157">
        <v>3720.43</v>
      </c>
      <c r="O90" s="157">
        <v>3841.04</v>
      </c>
      <c r="P90" s="157">
        <v>3976.23</v>
      </c>
      <c r="Q90" s="157">
        <v>4183.16</v>
      </c>
      <c r="R90" s="157">
        <v>3096.22</v>
      </c>
      <c r="S90" s="157">
        <v>3620.83</v>
      </c>
      <c r="T90" s="157">
        <v>4430.16</v>
      </c>
      <c r="U90" s="157">
        <v>4788.97</v>
      </c>
      <c r="V90" s="157">
        <v>2888.98</v>
      </c>
      <c r="W90" s="157">
        <v>3887.24</v>
      </c>
      <c r="X90" s="157">
        <v>4583.13</v>
      </c>
      <c r="Y90" s="157">
        <v>4322.53</v>
      </c>
      <c r="Z90" s="157">
        <v>3851.86</v>
      </c>
      <c r="AA90" s="157">
        <v>4495.8999999999996</v>
      </c>
      <c r="AB90" s="157">
        <v>4858.76</v>
      </c>
      <c r="AC90" s="157">
        <v>3860.76</v>
      </c>
      <c r="AD90" s="157">
        <v>4058.57</v>
      </c>
      <c r="AE90" s="157">
        <v>4061.11</v>
      </c>
      <c r="AF90" s="157">
        <v>4962.17</v>
      </c>
      <c r="AG90" s="157">
        <v>4134.4799999999996</v>
      </c>
      <c r="AH90" s="157">
        <v>4258.33</v>
      </c>
      <c r="AI90" s="158">
        <v>129230.05</v>
      </c>
    </row>
    <row r="91" spans="1:35" ht="15" x14ac:dyDescent="0.25">
      <c r="A91" s="155">
        <v>87</v>
      </c>
      <c r="B91" s="156">
        <v>2206.12</v>
      </c>
      <c r="C91" s="157">
        <v>2358.25</v>
      </c>
      <c r="D91" s="157">
        <v>2058.66</v>
      </c>
      <c r="E91" s="157">
        <v>2599.77</v>
      </c>
      <c r="F91" s="157">
        <v>2679.57</v>
      </c>
      <c r="G91" s="157">
        <v>2469.9699999999998</v>
      </c>
      <c r="H91" s="157">
        <v>2228.3000000000002</v>
      </c>
      <c r="I91" s="157">
        <v>2711.37</v>
      </c>
      <c r="J91" s="157">
        <v>2842.09</v>
      </c>
      <c r="K91" s="157">
        <v>1951.43</v>
      </c>
      <c r="L91" s="157">
        <v>2150.9</v>
      </c>
      <c r="M91" s="157">
        <v>2962.54</v>
      </c>
      <c r="N91" s="157">
        <v>2484.4299999999998</v>
      </c>
      <c r="O91" s="157">
        <v>2570.2399999999998</v>
      </c>
      <c r="P91" s="157">
        <v>2681.86</v>
      </c>
      <c r="Q91" s="157">
        <v>2780.59</v>
      </c>
      <c r="R91" s="157">
        <v>2067.4699999999998</v>
      </c>
      <c r="S91" s="157">
        <v>2447.46</v>
      </c>
      <c r="T91" s="157">
        <v>2969.92</v>
      </c>
      <c r="U91" s="157">
        <v>3241.03</v>
      </c>
      <c r="V91" s="157">
        <v>1949.06</v>
      </c>
      <c r="W91" s="157">
        <v>2602.89</v>
      </c>
      <c r="X91" s="157">
        <v>3097.18</v>
      </c>
      <c r="Y91" s="157">
        <v>2913.94</v>
      </c>
      <c r="Z91" s="157">
        <v>2594.19</v>
      </c>
      <c r="AA91" s="157">
        <v>3005.9</v>
      </c>
      <c r="AB91" s="157">
        <v>3250.98</v>
      </c>
      <c r="AC91" s="157">
        <v>2592.25</v>
      </c>
      <c r="AD91" s="157">
        <v>2721.86</v>
      </c>
      <c r="AE91" s="157">
        <v>2739.96</v>
      </c>
      <c r="AF91" s="157">
        <v>3331.35</v>
      </c>
      <c r="AG91" s="157">
        <v>2802.93</v>
      </c>
      <c r="AH91" s="157">
        <v>2856.22</v>
      </c>
      <c r="AI91" s="158">
        <v>86920.68</v>
      </c>
    </row>
    <row r="92" spans="1:35" ht="15" x14ac:dyDescent="0.25">
      <c r="A92" s="155">
        <v>88</v>
      </c>
      <c r="B92" s="156">
        <v>1517.88</v>
      </c>
      <c r="C92" s="157">
        <v>1617.23</v>
      </c>
      <c r="D92" s="157">
        <v>1410.71</v>
      </c>
      <c r="E92" s="157">
        <v>1764.35</v>
      </c>
      <c r="F92" s="157">
        <v>1818.86</v>
      </c>
      <c r="G92" s="157">
        <v>1697.41</v>
      </c>
      <c r="H92" s="157">
        <v>1528.79</v>
      </c>
      <c r="I92" s="157">
        <v>1846.21</v>
      </c>
      <c r="J92" s="157">
        <v>1940.15</v>
      </c>
      <c r="K92" s="157">
        <v>1351.58</v>
      </c>
      <c r="L92" s="157">
        <v>1471.6</v>
      </c>
      <c r="M92" s="157">
        <v>2024.54</v>
      </c>
      <c r="N92" s="157">
        <v>1689.11</v>
      </c>
      <c r="O92" s="157">
        <v>1745.16</v>
      </c>
      <c r="P92" s="157">
        <v>1825.63</v>
      </c>
      <c r="Q92" s="157">
        <v>1849.8</v>
      </c>
      <c r="R92" s="157">
        <v>1404.56</v>
      </c>
      <c r="S92" s="157">
        <v>1680.46</v>
      </c>
      <c r="T92" s="157">
        <v>2001.53</v>
      </c>
      <c r="U92" s="157">
        <v>2192.91</v>
      </c>
      <c r="V92" s="157">
        <v>1348.73</v>
      </c>
      <c r="W92" s="157">
        <v>1764.73</v>
      </c>
      <c r="X92" s="157">
        <v>2094.2199999999998</v>
      </c>
      <c r="Y92" s="157">
        <v>1984.99</v>
      </c>
      <c r="Z92" s="157">
        <v>1764.03</v>
      </c>
      <c r="AA92" s="157">
        <v>2021.88</v>
      </c>
      <c r="AB92" s="157">
        <v>2187.77</v>
      </c>
      <c r="AC92" s="157">
        <v>1763.41</v>
      </c>
      <c r="AD92" s="157">
        <v>1849.56</v>
      </c>
      <c r="AE92" s="157">
        <v>1850.64</v>
      </c>
      <c r="AF92" s="157">
        <v>2224</v>
      </c>
      <c r="AG92" s="157">
        <v>1928.04</v>
      </c>
      <c r="AH92" s="157">
        <v>1939.21</v>
      </c>
      <c r="AI92" s="158">
        <v>59099.68</v>
      </c>
    </row>
    <row r="93" spans="1:35" ht="15" x14ac:dyDescent="0.25">
      <c r="A93" s="155">
        <v>89</v>
      </c>
      <c r="B93" s="156">
        <v>1071.8900000000001</v>
      </c>
      <c r="C93" s="157">
        <v>1141.73</v>
      </c>
      <c r="D93" s="157">
        <v>994.69</v>
      </c>
      <c r="E93" s="157">
        <v>1231.07</v>
      </c>
      <c r="F93" s="157">
        <v>1269.28</v>
      </c>
      <c r="G93" s="157">
        <v>1198.74</v>
      </c>
      <c r="H93" s="157">
        <v>1078.26</v>
      </c>
      <c r="I93" s="157">
        <v>1289.74</v>
      </c>
      <c r="J93" s="157">
        <v>1356.62</v>
      </c>
      <c r="K93" s="157">
        <v>962.88</v>
      </c>
      <c r="L93" s="157">
        <v>1035.28</v>
      </c>
      <c r="M93" s="157">
        <v>1419.09</v>
      </c>
      <c r="N93" s="157">
        <v>1183.9100000000001</v>
      </c>
      <c r="O93" s="157">
        <v>1218.57</v>
      </c>
      <c r="P93" s="157">
        <v>1274.7</v>
      </c>
      <c r="Q93" s="157">
        <v>1256.46</v>
      </c>
      <c r="R93" s="157">
        <v>982.62</v>
      </c>
      <c r="S93" s="157">
        <v>1184.92</v>
      </c>
      <c r="T93" s="157">
        <v>1384.42</v>
      </c>
      <c r="U93" s="157">
        <v>1518.27</v>
      </c>
      <c r="V93" s="157">
        <v>962.51</v>
      </c>
      <c r="W93" s="157">
        <v>1229.06</v>
      </c>
      <c r="X93" s="157">
        <v>1450.3</v>
      </c>
      <c r="Y93" s="157">
        <v>1387.74</v>
      </c>
      <c r="Z93" s="157">
        <v>1230.5</v>
      </c>
      <c r="AA93" s="157">
        <v>1396.13</v>
      </c>
      <c r="AB93" s="157">
        <v>1510.88</v>
      </c>
      <c r="AC93" s="157">
        <v>1232.51</v>
      </c>
      <c r="AD93" s="157">
        <v>1291.3499999999999</v>
      </c>
      <c r="AE93" s="157">
        <v>1280.06</v>
      </c>
      <c r="AF93" s="157">
        <v>1518.65</v>
      </c>
      <c r="AG93" s="157">
        <v>1360.9</v>
      </c>
      <c r="AH93" s="157">
        <v>1351.85</v>
      </c>
      <c r="AI93" s="158">
        <v>41255.579999999994</v>
      </c>
    </row>
    <row r="94" spans="1:35" ht="15" x14ac:dyDescent="0.25">
      <c r="A94" s="155">
        <v>90</v>
      </c>
      <c r="B94" s="156">
        <v>779.22</v>
      </c>
      <c r="C94" s="157">
        <v>831.33</v>
      </c>
      <c r="D94" s="157">
        <v>723.03</v>
      </c>
      <c r="E94" s="157">
        <v>886.12</v>
      </c>
      <c r="F94" s="157">
        <v>913.7</v>
      </c>
      <c r="G94" s="157">
        <v>872.13</v>
      </c>
      <c r="H94" s="157">
        <v>783.52</v>
      </c>
      <c r="I94" s="157">
        <v>928.14</v>
      </c>
      <c r="J94" s="157">
        <v>975.84</v>
      </c>
      <c r="K94" s="157">
        <v>706.5</v>
      </c>
      <c r="L94" s="157">
        <v>749.69</v>
      </c>
      <c r="M94" s="157">
        <v>1024.8</v>
      </c>
      <c r="N94" s="157">
        <v>857.71</v>
      </c>
      <c r="O94" s="157">
        <v>877.68</v>
      </c>
      <c r="P94" s="157">
        <v>916.6</v>
      </c>
      <c r="Q94" s="157">
        <v>879.64</v>
      </c>
      <c r="R94" s="157">
        <v>709.81</v>
      </c>
      <c r="S94" s="157">
        <v>860.41</v>
      </c>
      <c r="T94" s="157">
        <v>987.53</v>
      </c>
      <c r="U94" s="157">
        <v>1082.1600000000001</v>
      </c>
      <c r="V94" s="157">
        <v>708.81</v>
      </c>
      <c r="W94" s="157">
        <v>882.44</v>
      </c>
      <c r="X94" s="157">
        <v>1034.8</v>
      </c>
      <c r="Y94" s="157">
        <v>999.62</v>
      </c>
      <c r="Z94" s="157">
        <v>884.27</v>
      </c>
      <c r="AA94" s="157">
        <v>994.4</v>
      </c>
      <c r="AB94" s="157">
        <v>1075.9000000000001</v>
      </c>
      <c r="AC94" s="157">
        <v>888.15</v>
      </c>
      <c r="AD94" s="157">
        <v>929.48</v>
      </c>
      <c r="AE94" s="157">
        <v>911.8</v>
      </c>
      <c r="AF94" s="157">
        <v>1070.0899999999999</v>
      </c>
      <c r="AG94" s="157">
        <v>988.54</v>
      </c>
      <c r="AH94" s="157">
        <v>970.99</v>
      </c>
      <c r="AI94" s="158">
        <v>29684.850000000006</v>
      </c>
    </row>
    <row r="95" spans="1:35" ht="15" x14ac:dyDescent="0.25">
      <c r="A95" s="155">
        <v>91</v>
      </c>
      <c r="B95" s="156">
        <v>583.02</v>
      </c>
      <c r="C95" s="157">
        <v>623.83000000000004</v>
      </c>
      <c r="D95" s="157">
        <v>541.37</v>
      </c>
      <c r="E95" s="157">
        <v>657.77</v>
      </c>
      <c r="F95" s="157">
        <v>678.33</v>
      </c>
      <c r="G95" s="157">
        <v>653.36</v>
      </c>
      <c r="H95" s="157">
        <v>586.20000000000005</v>
      </c>
      <c r="I95" s="157">
        <v>688.07</v>
      </c>
      <c r="J95" s="157">
        <v>722.32</v>
      </c>
      <c r="K95" s="157">
        <v>533.41</v>
      </c>
      <c r="L95" s="157">
        <v>556.87</v>
      </c>
      <c r="M95" s="157">
        <v>762.71</v>
      </c>
      <c r="N95" s="157">
        <v>641.69000000000005</v>
      </c>
      <c r="O95" s="157">
        <v>651.83000000000004</v>
      </c>
      <c r="P95" s="157">
        <v>678.77</v>
      </c>
      <c r="Q95" s="157">
        <v>637.29999999999995</v>
      </c>
      <c r="R95" s="157">
        <v>529.15</v>
      </c>
      <c r="S95" s="157">
        <v>643.21</v>
      </c>
      <c r="T95" s="157">
        <v>726.58</v>
      </c>
      <c r="U95" s="157">
        <v>794.89</v>
      </c>
      <c r="V95" s="157">
        <v>537.85</v>
      </c>
      <c r="W95" s="157">
        <v>652.85</v>
      </c>
      <c r="X95" s="157">
        <v>761.27</v>
      </c>
      <c r="Y95" s="157">
        <v>741.92</v>
      </c>
      <c r="Z95" s="157">
        <v>654.79999999999995</v>
      </c>
      <c r="AA95" s="157">
        <v>730.72</v>
      </c>
      <c r="AB95" s="157">
        <v>790.26</v>
      </c>
      <c r="AC95" s="157">
        <v>659.75</v>
      </c>
      <c r="AD95" s="157">
        <v>689.52</v>
      </c>
      <c r="AE95" s="157">
        <v>669.27</v>
      </c>
      <c r="AF95" s="157">
        <v>779.55</v>
      </c>
      <c r="AG95" s="157">
        <v>738.73</v>
      </c>
      <c r="AH95" s="157">
        <v>718.42</v>
      </c>
      <c r="AI95" s="158">
        <v>22015.589999999997</v>
      </c>
    </row>
    <row r="96" spans="1:35" ht="15" x14ac:dyDescent="0.25">
      <c r="A96" s="155">
        <v>92</v>
      </c>
      <c r="B96" s="156">
        <v>448.29</v>
      </c>
      <c r="C96" s="157">
        <v>481.51</v>
      </c>
      <c r="D96" s="157">
        <v>416.77</v>
      </c>
      <c r="E96" s="157">
        <v>502.58</v>
      </c>
      <c r="F96" s="157">
        <v>518.39</v>
      </c>
      <c r="G96" s="157">
        <v>503.16</v>
      </c>
      <c r="H96" s="157">
        <v>450.72</v>
      </c>
      <c r="I96" s="157">
        <v>524.61</v>
      </c>
      <c r="J96" s="157">
        <v>549.44000000000005</v>
      </c>
      <c r="K96" s="157">
        <v>413.57</v>
      </c>
      <c r="L96" s="157">
        <v>421.46</v>
      </c>
      <c r="M96" s="157">
        <v>584.17999999999995</v>
      </c>
      <c r="N96" s="157">
        <v>494.62</v>
      </c>
      <c r="O96" s="157">
        <v>498.3</v>
      </c>
      <c r="P96" s="157">
        <v>516.74</v>
      </c>
      <c r="Q96" s="157">
        <v>477.88</v>
      </c>
      <c r="R96" s="157">
        <v>406.28</v>
      </c>
      <c r="S96" s="157">
        <v>494.21</v>
      </c>
      <c r="T96" s="157">
        <v>550.44000000000005</v>
      </c>
      <c r="U96" s="157">
        <v>601.07000000000005</v>
      </c>
      <c r="V96" s="157">
        <v>419.55</v>
      </c>
      <c r="W96" s="157">
        <v>496.28</v>
      </c>
      <c r="X96" s="157">
        <v>576.64</v>
      </c>
      <c r="Y96" s="157">
        <v>566.51</v>
      </c>
      <c r="Z96" s="157">
        <v>498.82</v>
      </c>
      <c r="AA96" s="157">
        <v>553.04</v>
      </c>
      <c r="AB96" s="157">
        <v>597.83000000000004</v>
      </c>
      <c r="AC96" s="157">
        <v>504.39</v>
      </c>
      <c r="AD96" s="157">
        <v>526.29999999999995</v>
      </c>
      <c r="AE96" s="157">
        <v>505.54</v>
      </c>
      <c r="AF96" s="157">
        <v>586.29999999999995</v>
      </c>
      <c r="AG96" s="157">
        <v>567.04</v>
      </c>
      <c r="AH96" s="157">
        <v>546.53</v>
      </c>
      <c r="AI96" s="158">
        <v>16798.989999999994</v>
      </c>
    </row>
    <row r="97" spans="1:35" ht="15" x14ac:dyDescent="0.25">
      <c r="A97" s="155">
        <v>93</v>
      </c>
      <c r="B97" s="156">
        <v>353.48</v>
      </c>
      <c r="C97" s="157">
        <v>381.35</v>
      </c>
      <c r="D97" s="157">
        <v>329.12</v>
      </c>
      <c r="E97" s="157">
        <v>394.29</v>
      </c>
      <c r="F97" s="157">
        <v>406.77</v>
      </c>
      <c r="G97" s="157">
        <v>397.43</v>
      </c>
      <c r="H97" s="157">
        <v>355.3</v>
      </c>
      <c r="I97" s="157">
        <v>410.36</v>
      </c>
      <c r="J97" s="157">
        <v>428.6</v>
      </c>
      <c r="K97" s="157">
        <v>328.5</v>
      </c>
      <c r="L97" s="157">
        <v>322.5</v>
      </c>
      <c r="M97" s="157">
        <v>459.48</v>
      </c>
      <c r="N97" s="157">
        <v>391.75</v>
      </c>
      <c r="O97" s="157">
        <v>391.19</v>
      </c>
      <c r="P97" s="157">
        <v>403.46</v>
      </c>
      <c r="Q97" s="157">
        <v>370.05</v>
      </c>
      <c r="R97" s="157">
        <v>320.44</v>
      </c>
      <c r="S97" s="157">
        <v>389.4</v>
      </c>
      <c r="T97" s="157">
        <v>428.33</v>
      </c>
      <c r="U97" s="157">
        <v>466.92</v>
      </c>
      <c r="V97" s="157">
        <v>335.53</v>
      </c>
      <c r="W97" s="157">
        <v>385.7</v>
      </c>
      <c r="X97" s="157">
        <v>448.72</v>
      </c>
      <c r="Y97" s="157">
        <v>444.04</v>
      </c>
      <c r="Z97" s="157">
        <v>390</v>
      </c>
      <c r="AA97" s="157">
        <v>430.08</v>
      </c>
      <c r="AB97" s="157">
        <v>464.78</v>
      </c>
      <c r="AC97" s="157">
        <v>396.02</v>
      </c>
      <c r="AD97" s="157">
        <v>412.41</v>
      </c>
      <c r="AE97" s="157">
        <v>392.13</v>
      </c>
      <c r="AF97" s="157">
        <v>454</v>
      </c>
      <c r="AG97" s="157">
        <v>446.14</v>
      </c>
      <c r="AH97" s="157">
        <v>426.43</v>
      </c>
      <c r="AI97" s="158">
        <v>13154.699999999999</v>
      </c>
    </row>
    <row r="98" spans="1:35" ht="15" x14ac:dyDescent="0.25">
      <c r="A98" s="155">
        <v>94</v>
      </c>
      <c r="B98" s="156">
        <v>285.14999999999998</v>
      </c>
      <c r="C98" s="157">
        <v>309.08999999999997</v>
      </c>
      <c r="D98" s="157">
        <v>265.98</v>
      </c>
      <c r="E98" s="157">
        <v>316.77</v>
      </c>
      <c r="F98" s="157">
        <v>326.87</v>
      </c>
      <c r="G98" s="157">
        <v>321.2</v>
      </c>
      <c r="H98" s="157">
        <v>286.42</v>
      </c>
      <c r="I98" s="157">
        <v>328.45</v>
      </c>
      <c r="J98" s="157">
        <v>342.05</v>
      </c>
      <c r="K98" s="157">
        <v>266.63</v>
      </c>
      <c r="L98" s="157">
        <v>247.97</v>
      </c>
      <c r="M98" s="157">
        <v>370.2</v>
      </c>
      <c r="N98" s="157">
        <v>317.92</v>
      </c>
      <c r="O98" s="157">
        <v>314.56</v>
      </c>
      <c r="P98" s="157">
        <v>322.27999999999997</v>
      </c>
      <c r="Q98" s="157">
        <v>294.95</v>
      </c>
      <c r="R98" s="157">
        <v>258.93</v>
      </c>
      <c r="S98" s="157">
        <v>313.83999999999997</v>
      </c>
      <c r="T98" s="157">
        <v>341.48</v>
      </c>
      <c r="U98" s="157">
        <v>371.69</v>
      </c>
      <c r="V98" s="157">
        <v>274.35000000000002</v>
      </c>
      <c r="W98" s="157">
        <v>304.44</v>
      </c>
      <c r="X98" s="157">
        <v>357.84</v>
      </c>
      <c r="Y98" s="157">
        <v>356.41</v>
      </c>
      <c r="Z98" s="157">
        <v>312.14</v>
      </c>
      <c r="AA98" s="157">
        <v>342.8</v>
      </c>
      <c r="AB98" s="157">
        <v>370.43</v>
      </c>
      <c r="AC98" s="157">
        <v>318.55</v>
      </c>
      <c r="AD98" s="157">
        <v>330.96</v>
      </c>
      <c r="AE98" s="157">
        <v>311.61</v>
      </c>
      <c r="AF98" s="157">
        <v>360.82</v>
      </c>
      <c r="AG98" s="157">
        <v>358.98</v>
      </c>
      <c r="AH98" s="157">
        <v>340.18</v>
      </c>
      <c r="AI98" s="158">
        <v>10541.939999999999</v>
      </c>
    </row>
    <row r="99" spans="1:35" ht="15" x14ac:dyDescent="0.25">
      <c r="A99" s="155">
        <v>95</v>
      </c>
      <c r="B99" s="156">
        <v>234.77</v>
      </c>
      <c r="C99" s="157">
        <v>255.73</v>
      </c>
      <c r="D99" s="157">
        <v>219.45</v>
      </c>
      <c r="E99" s="157">
        <v>259.94</v>
      </c>
      <c r="F99" s="157">
        <v>268.27999999999997</v>
      </c>
      <c r="G99" s="157">
        <v>264.95</v>
      </c>
      <c r="H99" s="157">
        <v>235.55</v>
      </c>
      <c r="I99" s="157">
        <v>268.33</v>
      </c>
      <c r="J99" s="157">
        <v>278.62</v>
      </c>
      <c r="K99" s="157">
        <v>220.62</v>
      </c>
      <c r="L99" s="157">
        <v>191.12</v>
      </c>
      <c r="M99" s="157">
        <v>304.77</v>
      </c>
      <c r="N99" s="157">
        <v>263.64</v>
      </c>
      <c r="O99" s="157">
        <v>258.43</v>
      </c>
      <c r="P99" s="157">
        <v>262.73</v>
      </c>
      <c r="Q99" s="157">
        <v>241.1</v>
      </c>
      <c r="R99" s="157">
        <v>213.79</v>
      </c>
      <c r="S99" s="157">
        <v>258.10000000000002</v>
      </c>
      <c r="T99" s="157">
        <v>278.22000000000003</v>
      </c>
      <c r="U99" s="157">
        <v>302.45999999999998</v>
      </c>
      <c r="V99" s="157">
        <v>228.76</v>
      </c>
      <c r="W99" s="157">
        <v>242.34</v>
      </c>
      <c r="X99" s="157">
        <v>291.75</v>
      </c>
      <c r="Y99" s="157">
        <v>292.22000000000003</v>
      </c>
      <c r="Z99" s="157">
        <v>255.1</v>
      </c>
      <c r="AA99" s="157">
        <v>279.35000000000002</v>
      </c>
      <c r="AB99" s="157">
        <v>301.89999999999998</v>
      </c>
      <c r="AC99" s="157">
        <v>261.88</v>
      </c>
      <c r="AD99" s="157">
        <v>271.35000000000002</v>
      </c>
      <c r="AE99" s="157">
        <v>253.09</v>
      </c>
      <c r="AF99" s="157">
        <v>293.41000000000003</v>
      </c>
      <c r="AG99" s="157">
        <v>294.75</v>
      </c>
      <c r="AH99" s="157">
        <v>276.41000000000003</v>
      </c>
      <c r="AI99" s="158">
        <v>8622.9100000000017</v>
      </c>
    </row>
    <row r="100" spans="1:35" ht="15" x14ac:dyDescent="0.25">
      <c r="A100" s="155">
        <v>96</v>
      </c>
      <c r="B100" s="156">
        <v>196.84</v>
      </c>
      <c r="C100" s="157">
        <v>215.46</v>
      </c>
      <c r="D100" s="157">
        <v>184.45</v>
      </c>
      <c r="E100" s="157">
        <v>217.36</v>
      </c>
      <c r="F100" s="157">
        <v>224.39</v>
      </c>
      <c r="G100" s="157">
        <v>222.55</v>
      </c>
      <c r="H100" s="157">
        <v>197.2</v>
      </c>
      <c r="I100" s="157">
        <v>223.22</v>
      </c>
      <c r="J100" s="157">
        <v>231.12</v>
      </c>
      <c r="K100" s="157">
        <v>185.7</v>
      </c>
      <c r="L100" s="157">
        <v>147.84</v>
      </c>
      <c r="M100" s="157">
        <v>255.76</v>
      </c>
      <c r="N100" s="157">
        <v>222.82</v>
      </c>
      <c r="O100" s="157">
        <v>216.42</v>
      </c>
      <c r="P100" s="157">
        <v>218.13</v>
      </c>
      <c r="Q100" s="157">
        <v>201.45</v>
      </c>
      <c r="R100" s="157">
        <v>179.96</v>
      </c>
      <c r="S100" s="157">
        <v>216.1</v>
      </c>
      <c r="T100" s="157">
        <v>231.09</v>
      </c>
      <c r="U100" s="157">
        <v>250.99</v>
      </c>
      <c r="V100" s="157">
        <v>194.06</v>
      </c>
      <c r="W100" s="157">
        <v>193.41</v>
      </c>
      <c r="X100" s="157">
        <v>242.63</v>
      </c>
      <c r="Y100" s="157">
        <v>244.15</v>
      </c>
      <c r="Z100" s="157">
        <v>212.4</v>
      </c>
      <c r="AA100" s="157">
        <v>232.18</v>
      </c>
      <c r="AB100" s="157">
        <v>250.99</v>
      </c>
      <c r="AC100" s="157">
        <v>219.49</v>
      </c>
      <c r="AD100" s="157">
        <v>226.76</v>
      </c>
      <c r="AE100" s="157">
        <v>209.64</v>
      </c>
      <c r="AF100" s="157">
        <v>243.43</v>
      </c>
      <c r="AG100" s="157">
        <v>246.42</v>
      </c>
      <c r="AH100" s="157">
        <v>227.82</v>
      </c>
      <c r="AI100" s="158">
        <v>7182.2300000000005</v>
      </c>
    </row>
    <row r="101" spans="1:35" ht="15" x14ac:dyDescent="0.25">
      <c r="A101" s="155">
        <v>97</v>
      </c>
      <c r="B101" s="156">
        <v>167.72</v>
      </c>
      <c r="C101" s="157">
        <v>184.48</v>
      </c>
      <c r="D101" s="157">
        <v>157.6</v>
      </c>
      <c r="E101" s="157">
        <v>184.83</v>
      </c>
      <c r="F101" s="157">
        <v>190.85</v>
      </c>
      <c r="G101" s="157">
        <v>189.96</v>
      </c>
      <c r="H101" s="157">
        <v>167.75</v>
      </c>
      <c r="I101" s="157">
        <v>188.73</v>
      </c>
      <c r="J101" s="157">
        <v>194.86</v>
      </c>
      <c r="K101" s="157">
        <v>158.69999999999999</v>
      </c>
      <c r="L101" s="157">
        <v>115.27</v>
      </c>
      <c r="M101" s="157">
        <v>218.31</v>
      </c>
      <c r="N101" s="157">
        <v>191.49</v>
      </c>
      <c r="O101" s="157">
        <v>184.34</v>
      </c>
      <c r="P101" s="157">
        <v>184.08</v>
      </c>
      <c r="Q101" s="157">
        <v>171.54</v>
      </c>
      <c r="R101" s="157">
        <v>154.09</v>
      </c>
      <c r="S101" s="157">
        <v>183.83</v>
      </c>
      <c r="T101" s="157">
        <v>195.27</v>
      </c>
      <c r="U101" s="157">
        <v>211.95</v>
      </c>
      <c r="V101" s="157">
        <v>167.15</v>
      </c>
      <c r="W101" s="157">
        <v>154.19999999999999</v>
      </c>
      <c r="X101" s="157">
        <v>205.38</v>
      </c>
      <c r="Y101" s="157">
        <v>207.42</v>
      </c>
      <c r="Z101" s="157">
        <v>179.78</v>
      </c>
      <c r="AA101" s="157">
        <v>196.38</v>
      </c>
      <c r="AB101" s="157">
        <v>212.38</v>
      </c>
      <c r="AC101" s="157">
        <v>187.11</v>
      </c>
      <c r="AD101" s="157">
        <v>192.73</v>
      </c>
      <c r="AE101" s="157">
        <v>176.73</v>
      </c>
      <c r="AF101" s="157">
        <v>205.54</v>
      </c>
      <c r="AG101" s="157">
        <v>209.36</v>
      </c>
      <c r="AH101" s="157">
        <v>189.71</v>
      </c>
      <c r="AI101" s="158">
        <v>6079.5199999999986</v>
      </c>
    </row>
    <row r="102" spans="1:35" ht="15" x14ac:dyDescent="0.25">
      <c r="A102" s="155">
        <v>98</v>
      </c>
      <c r="B102" s="156">
        <v>144.99</v>
      </c>
      <c r="C102" s="157">
        <v>160.24</v>
      </c>
      <c r="D102" s="157">
        <v>136.66999999999999</v>
      </c>
      <c r="E102" s="157">
        <v>159.53</v>
      </c>
      <c r="F102" s="157">
        <v>164.78</v>
      </c>
      <c r="G102" s="157">
        <v>164.47</v>
      </c>
      <c r="H102" s="157">
        <v>144.78</v>
      </c>
      <c r="I102" s="157">
        <v>161.91999999999999</v>
      </c>
      <c r="J102" s="157">
        <v>166.7</v>
      </c>
      <c r="K102" s="157">
        <v>137.49</v>
      </c>
      <c r="L102" s="157">
        <v>91.1</v>
      </c>
      <c r="M102" s="157">
        <v>189.17</v>
      </c>
      <c r="N102" s="157">
        <v>167</v>
      </c>
      <c r="O102" s="157">
        <v>159.4</v>
      </c>
      <c r="P102" s="157">
        <v>157.63</v>
      </c>
      <c r="Q102" s="157">
        <v>148.47999999999999</v>
      </c>
      <c r="R102" s="157">
        <v>133.97</v>
      </c>
      <c r="S102" s="157">
        <v>158.63</v>
      </c>
      <c r="T102" s="157">
        <v>167.54</v>
      </c>
      <c r="U102" s="157">
        <v>181.81</v>
      </c>
      <c r="V102" s="157">
        <v>145.93</v>
      </c>
      <c r="W102" s="157">
        <v>122.68</v>
      </c>
      <c r="X102" s="157">
        <v>176.63</v>
      </c>
      <c r="Y102" s="157">
        <v>178.84</v>
      </c>
      <c r="Z102" s="157">
        <v>154.43</v>
      </c>
      <c r="AA102" s="157">
        <v>168.68</v>
      </c>
      <c r="AB102" s="157">
        <v>182.53</v>
      </c>
      <c r="AC102" s="157">
        <v>161.91</v>
      </c>
      <c r="AD102" s="157">
        <v>166.3</v>
      </c>
      <c r="AE102" s="157">
        <v>151.38</v>
      </c>
      <c r="AF102" s="157">
        <v>176.25</v>
      </c>
      <c r="AG102" s="157">
        <v>180.46</v>
      </c>
      <c r="AH102" s="157">
        <v>159.15</v>
      </c>
      <c r="AI102" s="158">
        <v>5221.4699999999993</v>
      </c>
    </row>
    <row r="103" spans="1:35" ht="15" x14ac:dyDescent="0.25">
      <c r="A103" s="155">
        <v>99</v>
      </c>
      <c r="B103" s="156">
        <v>126.98</v>
      </c>
      <c r="C103" s="157">
        <v>141</v>
      </c>
      <c r="D103" s="157">
        <v>120.12</v>
      </c>
      <c r="E103" s="157">
        <v>139.59</v>
      </c>
      <c r="F103" s="157">
        <v>144.21</v>
      </c>
      <c r="G103" s="157">
        <v>144.25</v>
      </c>
      <c r="H103" s="157">
        <v>126.61</v>
      </c>
      <c r="I103" s="157">
        <v>140.78</v>
      </c>
      <c r="J103" s="157">
        <v>144.52000000000001</v>
      </c>
      <c r="K103" s="157">
        <v>120.6</v>
      </c>
      <c r="L103" s="157">
        <v>73.37</v>
      </c>
      <c r="M103" s="157">
        <v>166.15</v>
      </c>
      <c r="N103" s="157">
        <v>147.56</v>
      </c>
      <c r="O103" s="157">
        <v>139.72999999999999</v>
      </c>
      <c r="P103" s="157">
        <v>136.79</v>
      </c>
      <c r="Q103" s="157">
        <v>130.38</v>
      </c>
      <c r="R103" s="157">
        <v>118.08</v>
      </c>
      <c r="S103" s="157">
        <v>138.69</v>
      </c>
      <c r="T103" s="157">
        <v>145.72999999999999</v>
      </c>
      <c r="U103" s="157">
        <v>158.18</v>
      </c>
      <c r="V103" s="157">
        <v>128.99</v>
      </c>
      <c r="W103" s="157">
        <v>97.51</v>
      </c>
      <c r="X103" s="157">
        <v>154.08000000000001</v>
      </c>
      <c r="Y103" s="157">
        <v>156.27000000000001</v>
      </c>
      <c r="Z103" s="157">
        <v>134.43</v>
      </c>
      <c r="AA103" s="157">
        <v>146.91</v>
      </c>
      <c r="AB103" s="157">
        <v>159.07</v>
      </c>
      <c r="AC103" s="157">
        <v>141.97999999999999</v>
      </c>
      <c r="AD103" s="157">
        <v>145.44999999999999</v>
      </c>
      <c r="AE103" s="157">
        <v>131.54</v>
      </c>
      <c r="AF103" s="157">
        <v>153.22</v>
      </c>
      <c r="AG103" s="157">
        <v>157.59</v>
      </c>
      <c r="AH103" s="157">
        <v>134.29</v>
      </c>
      <c r="AI103" s="158">
        <v>4544.6500000000005</v>
      </c>
    </row>
    <row r="104" spans="1:35" ht="15" x14ac:dyDescent="0.25">
      <c r="A104" s="155">
        <v>100</v>
      </c>
      <c r="B104" s="156">
        <v>112.56</v>
      </c>
      <c r="C104" s="157">
        <v>125.58</v>
      </c>
      <c r="D104" s="157">
        <v>106.89</v>
      </c>
      <c r="E104" s="157">
        <v>123.68</v>
      </c>
      <c r="F104" s="157">
        <v>127.79</v>
      </c>
      <c r="G104" s="157">
        <v>128.04</v>
      </c>
      <c r="H104" s="157">
        <v>112.1</v>
      </c>
      <c r="I104" s="157">
        <v>123.93</v>
      </c>
      <c r="J104" s="157">
        <v>126.86</v>
      </c>
      <c r="K104" s="157">
        <v>107</v>
      </c>
      <c r="L104" s="157">
        <v>60.47</v>
      </c>
      <c r="M104" s="157">
        <v>147.72999999999999</v>
      </c>
      <c r="N104" s="157">
        <v>131.94999999999999</v>
      </c>
      <c r="O104" s="157">
        <v>124.03</v>
      </c>
      <c r="P104" s="157">
        <v>120.17</v>
      </c>
      <c r="Q104" s="157">
        <v>115.99</v>
      </c>
      <c r="R104" s="157">
        <v>105.37</v>
      </c>
      <c r="S104" s="157">
        <v>122.74</v>
      </c>
      <c r="T104" s="157">
        <v>128.38</v>
      </c>
      <c r="U104" s="157">
        <v>139.43</v>
      </c>
      <c r="V104" s="157">
        <v>115.33</v>
      </c>
      <c r="W104" s="157">
        <v>77.66</v>
      </c>
      <c r="X104" s="157">
        <v>136.15</v>
      </c>
      <c r="Y104" s="157">
        <v>138.22</v>
      </c>
      <c r="Z104" s="157">
        <v>118.46</v>
      </c>
      <c r="AA104" s="157">
        <v>129.56</v>
      </c>
      <c r="AB104" s="157">
        <v>140.4</v>
      </c>
      <c r="AC104" s="157">
        <v>126.01</v>
      </c>
      <c r="AD104" s="157">
        <v>128.80000000000001</v>
      </c>
      <c r="AE104" s="157">
        <v>115.82</v>
      </c>
      <c r="AF104" s="157">
        <v>134.88999999999999</v>
      </c>
      <c r="AG104" s="157">
        <v>139.29</v>
      </c>
      <c r="AH104" s="157">
        <v>113.98</v>
      </c>
      <c r="AI104" s="158">
        <v>4005.2599999999998</v>
      </c>
    </row>
    <row r="105" spans="1:35" ht="15" x14ac:dyDescent="0.25">
      <c r="A105" s="155">
        <v>101</v>
      </c>
      <c r="B105" s="156">
        <v>100.92</v>
      </c>
      <c r="C105" s="157">
        <v>113.13</v>
      </c>
      <c r="D105" s="157">
        <v>96.23</v>
      </c>
      <c r="E105" s="157">
        <v>110.89</v>
      </c>
      <c r="F105" s="157">
        <v>114.58</v>
      </c>
      <c r="G105" s="157">
        <v>114.95</v>
      </c>
      <c r="H105" s="157">
        <v>100.42</v>
      </c>
      <c r="I105" s="157">
        <v>110.4</v>
      </c>
      <c r="J105" s="157">
        <v>112.68</v>
      </c>
      <c r="K105" s="157">
        <v>95.99</v>
      </c>
      <c r="L105" s="157">
        <v>51.1</v>
      </c>
      <c r="M105" s="157">
        <v>132.88</v>
      </c>
      <c r="N105" s="157">
        <v>119.3</v>
      </c>
      <c r="O105" s="157">
        <v>111.4</v>
      </c>
      <c r="P105" s="157">
        <v>106.81</v>
      </c>
      <c r="Q105" s="157">
        <v>104.43</v>
      </c>
      <c r="R105" s="157">
        <v>95.12</v>
      </c>
      <c r="S105" s="157">
        <v>109.91</v>
      </c>
      <c r="T105" s="157">
        <v>114.46</v>
      </c>
      <c r="U105" s="157">
        <v>124.4</v>
      </c>
      <c r="V105" s="157">
        <v>104.24</v>
      </c>
      <c r="W105" s="157">
        <v>62.24</v>
      </c>
      <c r="X105" s="157">
        <v>121.75</v>
      </c>
      <c r="Y105" s="157">
        <v>123.68</v>
      </c>
      <c r="Z105" s="157">
        <v>105.6</v>
      </c>
      <c r="AA105" s="157">
        <v>115.61</v>
      </c>
      <c r="AB105" s="157">
        <v>125.4</v>
      </c>
      <c r="AC105" s="157">
        <v>113.13</v>
      </c>
      <c r="AD105" s="157">
        <v>115.39</v>
      </c>
      <c r="AE105" s="157">
        <v>103.28</v>
      </c>
      <c r="AF105" s="157">
        <v>120.16</v>
      </c>
      <c r="AG105" s="157">
        <v>124.53</v>
      </c>
      <c r="AH105" s="157">
        <v>97.41</v>
      </c>
      <c r="AI105" s="158">
        <v>3572.4199999999996</v>
      </c>
    </row>
    <row r="106" spans="1:35" ht="15" x14ac:dyDescent="0.25">
      <c r="A106" s="155">
        <v>102</v>
      </c>
      <c r="B106" s="156">
        <v>91.49</v>
      </c>
      <c r="C106" s="157">
        <v>103.05</v>
      </c>
      <c r="D106" s="157">
        <v>87.61</v>
      </c>
      <c r="E106" s="157">
        <v>100.58</v>
      </c>
      <c r="F106" s="157">
        <v>103.89</v>
      </c>
      <c r="G106" s="157">
        <v>104.36</v>
      </c>
      <c r="H106" s="157">
        <v>90.99</v>
      </c>
      <c r="I106" s="157">
        <v>99.48</v>
      </c>
      <c r="J106" s="157">
        <v>101.26</v>
      </c>
      <c r="K106" s="157">
        <v>87.05</v>
      </c>
      <c r="L106" s="157">
        <v>44.28</v>
      </c>
      <c r="M106" s="157">
        <v>120.83</v>
      </c>
      <c r="N106" s="157">
        <v>109.02</v>
      </c>
      <c r="O106" s="157">
        <v>101.18</v>
      </c>
      <c r="P106" s="157">
        <v>96.02</v>
      </c>
      <c r="Q106" s="157">
        <v>95.1</v>
      </c>
      <c r="R106" s="157">
        <v>86.8</v>
      </c>
      <c r="S106" s="157">
        <v>99.55</v>
      </c>
      <c r="T106" s="157">
        <v>103.23</v>
      </c>
      <c r="U106" s="157">
        <v>112.31</v>
      </c>
      <c r="V106" s="157">
        <v>95.23</v>
      </c>
      <c r="W106" s="157">
        <v>50.45</v>
      </c>
      <c r="X106" s="157">
        <v>110.12</v>
      </c>
      <c r="Y106" s="157">
        <v>111.9</v>
      </c>
      <c r="Z106" s="157">
        <v>95.21</v>
      </c>
      <c r="AA106" s="157">
        <v>104.34</v>
      </c>
      <c r="AB106" s="157">
        <v>113.3</v>
      </c>
      <c r="AC106" s="157">
        <v>102.69</v>
      </c>
      <c r="AD106" s="157">
        <v>104.52</v>
      </c>
      <c r="AE106" s="157">
        <v>93.21</v>
      </c>
      <c r="AF106" s="157">
        <v>108.27</v>
      </c>
      <c r="AG106" s="157">
        <v>112.57</v>
      </c>
      <c r="AH106" s="157">
        <v>83.99</v>
      </c>
      <c r="AI106" s="158">
        <v>3223.88</v>
      </c>
    </row>
    <row r="107" spans="1:35" ht="15" x14ac:dyDescent="0.25">
      <c r="A107" s="155">
        <v>103</v>
      </c>
      <c r="B107" s="156">
        <v>83.85</v>
      </c>
      <c r="C107" s="157">
        <v>94.88</v>
      </c>
      <c r="D107" s="157">
        <v>80.63</v>
      </c>
      <c r="E107" s="157">
        <v>92.26</v>
      </c>
      <c r="F107" s="157">
        <v>95.22</v>
      </c>
      <c r="G107" s="157">
        <v>95.78</v>
      </c>
      <c r="H107" s="157">
        <v>83.37</v>
      </c>
      <c r="I107" s="157">
        <v>90.67</v>
      </c>
      <c r="J107" s="157">
        <v>92.05</v>
      </c>
      <c r="K107" s="157">
        <v>79.77</v>
      </c>
      <c r="L107" s="157">
        <v>39.29</v>
      </c>
      <c r="M107" s="157">
        <v>111.05</v>
      </c>
      <c r="N107" s="157">
        <v>100.64</v>
      </c>
      <c r="O107" s="157">
        <v>92.92</v>
      </c>
      <c r="P107" s="157">
        <v>87.29</v>
      </c>
      <c r="Q107" s="157">
        <v>87.55</v>
      </c>
      <c r="R107" s="157">
        <v>80.05</v>
      </c>
      <c r="S107" s="157">
        <v>91.18</v>
      </c>
      <c r="T107" s="157">
        <v>94.16</v>
      </c>
      <c r="U107" s="157">
        <v>102.54</v>
      </c>
      <c r="V107" s="157">
        <v>87.9</v>
      </c>
      <c r="W107" s="157">
        <v>41.58</v>
      </c>
      <c r="X107" s="157">
        <v>100.69</v>
      </c>
      <c r="Y107" s="157">
        <v>102.35</v>
      </c>
      <c r="Z107" s="157">
        <v>86.79</v>
      </c>
      <c r="AA107" s="157">
        <v>95.2</v>
      </c>
      <c r="AB107" s="157">
        <v>103.51</v>
      </c>
      <c r="AC107" s="157">
        <v>94.22</v>
      </c>
      <c r="AD107" s="157">
        <v>95.7</v>
      </c>
      <c r="AE107" s="157">
        <v>85.11</v>
      </c>
      <c r="AF107" s="157">
        <v>98.65</v>
      </c>
      <c r="AG107" s="157">
        <v>102.87</v>
      </c>
      <c r="AH107" s="157">
        <v>73.23</v>
      </c>
      <c r="AI107" s="158">
        <v>2942.95</v>
      </c>
    </row>
    <row r="108" spans="1:35" ht="15" x14ac:dyDescent="0.25">
      <c r="A108" s="155">
        <v>104</v>
      </c>
      <c r="B108" s="156">
        <v>77.66</v>
      </c>
      <c r="C108" s="157">
        <v>88.29</v>
      </c>
      <c r="D108" s="157">
        <v>74.98</v>
      </c>
      <c r="E108" s="157">
        <v>85.55</v>
      </c>
      <c r="F108" s="157">
        <v>88.21</v>
      </c>
      <c r="G108" s="157">
        <v>88.86</v>
      </c>
      <c r="H108" s="157">
        <v>77.209999999999994</v>
      </c>
      <c r="I108" s="157">
        <v>83.56</v>
      </c>
      <c r="J108" s="157">
        <v>84.63</v>
      </c>
      <c r="K108" s="157">
        <v>73.86</v>
      </c>
      <c r="L108" s="157">
        <v>35.61</v>
      </c>
      <c r="M108" s="157">
        <v>103.12</v>
      </c>
      <c r="N108" s="157">
        <v>93.82</v>
      </c>
      <c r="O108" s="157">
        <v>86.23</v>
      </c>
      <c r="P108" s="157">
        <v>80.239999999999995</v>
      </c>
      <c r="Q108" s="157">
        <v>81.47</v>
      </c>
      <c r="R108" s="157">
        <v>74.56</v>
      </c>
      <c r="S108" s="157">
        <v>84.44</v>
      </c>
      <c r="T108" s="157">
        <v>86.83</v>
      </c>
      <c r="U108" s="157">
        <v>94.66</v>
      </c>
      <c r="V108" s="157">
        <v>81.95</v>
      </c>
      <c r="W108" s="157">
        <v>34.99</v>
      </c>
      <c r="X108" s="157">
        <v>93.05</v>
      </c>
      <c r="Y108" s="157">
        <v>94.6</v>
      </c>
      <c r="Z108" s="157">
        <v>79.989999999999995</v>
      </c>
      <c r="AA108" s="157">
        <v>87.8</v>
      </c>
      <c r="AB108" s="157">
        <v>95.6</v>
      </c>
      <c r="AC108" s="157">
        <v>87.37</v>
      </c>
      <c r="AD108" s="157">
        <v>88.54</v>
      </c>
      <c r="AE108" s="157">
        <v>78.61</v>
      </c>
      <c r="AF108" s="157">
        <v>90.88</v>
      </c>
      <c r="AG108" s="157">
        <v>95.01</v>
      </c>
      <c r="AH108" s="157">
        <v>64.69</v>
      </c>
      <c r="AI108" s="158">
        <v>2716.8700000000003</v>
      </c>
    </row>
    <row r="109" spans="1:35" ht="15" x14ac:dyDescent="0.25">
      <c r="A109" s="155">
        <v>105</v>
      </c>
      <c r="B109" s="156">
        <v>72.66</v>
      </c>
      <c r="C109" s="157">
        <v>82.99</v>
      </c>
      <c r="D109" s="157">
        <v>70.430000000000007</v>
      </c>
      <c r="E109" s="157">
        <v>80.16</v>
      </c>
      <c r="F109" s="157">
        <v>82.55</v>
      </c>
      <c r="G109" s="157">
        <v>83.29</v>
      </c>
      <c r="H109" s="157">
        <v>72.260000000000005</v>
      </c>
      <c r="I109" s="157">
        <v>77.84</v>
      </c>
      <c r="J109" s="157">
        <v>78.67</v>
      </c>
      <c r="K109" s="157">
        <v>69.09</v>
      </c>
      <c r="L109" s="157">
        <v>32.89</v>
      </c>
      <c r="M109" s="157">
        <v>96.7</v>
      </c>
      <c r="N109" s="157">
        <v>88.28</v>
      </c>
      <c r="O109" s="157">
        <v>80.849999999999994</v>
      </c>
      <c r="P109" s="157">
        <v>74.56</v>
      </c>
      <c r="Q109" s="157">
        <v>76.59</v>
      </c>
      <c r="R109" s="157">
        <v>70.13</v>
      </c>
      <c r="S109" s="157">
        <v>79.02</v>
      </c>
      <c r="T109" s="157">
        <v>80.94</v>
      </c>
      <c r="U109" s="157">
        <v>88.31</v>
      </c>
      <c r="V109" s="157">
        <v>77.150000000000006</v>
      </c>
      <c r="W109" s="157">
        <v>30.19</v>
      </c>
      <c r="X109" s="157">
        <v>86.86</v>
      </c>
      <c r="Y109" s="157">
        <v>88.34</v>
      </c>
      <c r="Z109" s="157">
        <v>74.510000000000005</v>
      </c>
      <c r="AA109" s="157">
        <v>81.84</v>
      </c>
      <c r="AB109" s="157">
        <v>89.24</v>
      </c>
      <c r="AC109" s="157">
        <v>81.86</v>
      </c>
      <c r="AD109" s="157">
        <v>82.74</v>
      </c>
      <c r="AE109" s="157">
        <v>73.41</v>
      </c>
      <c r="AF109" s="157">
        <v>84.63</v>
      </c>
      <c r="AG109" s="157">
        <v>88.67</v>
      </c>
      <c r="AH109" s="157">
        <v>57.99</v>
      </c>
      <c r="AI109" s="158">
        <v>2535.6399999999994</v>
      </c>
    </row>
    <row r="110" spans="1:35" ht="15" x14ac:dyDescent="0.25">
      <c r="A110" s="155">
        <v>106</v>
      </c>
      <c r="B110" s="156">
        <v>68.66</v>
      </c>
      <c r="C110" s="157">
        <v>78.760000000000005</v>
      </c>
      <c r="D110" s="157">
        <v>66.790000000000006</v>
      </c>
      <c r="E110" s="157">
        <v>75.87</v>
      </c>
      <c r="F110" s="157">
        <v>78.010000000000005</v>
      </c>
      <c r="G110" s="157">
        <v>78.84</v>
      </c>
      <c r="H110" s="157">
        <v>68.3</v>
      </c>
      <c r="I110" s="157">
        <v>73.260000000000005</v>
      </c>
      <c r="J110" s="157">
        <v>73.91</v>
      </c>
      <c r="K110" s="157">
        <v>65.260000000000005</v>
      </c>
      <c r="L110" s="157">
        <v>30.89</v>
      </c>
      <c r="M110" s="157">
        <v>91.55</v>
      </c>
      <c r="N110" s="157">
        <v>83.82</v>
      </c>
      <c r="O110" s="157">
        <v>76.55</v>
      </c>
      <c r="P110" s="157">
        <v>70.02</v>
      </c>
      <c r="Q110" s="157">
        <v>72.7</v>
      </c>
      <c r="R110" s="157">
        <v>66.58</v>
      </c>
      <c r="S110" s="157">
        <v>74.7</v>
      </c>
      <c r="T110" s="157">
        <v>76.22</v>
      </c>
      <c r="U110" s="157">
        <v>83.22</v>
      </c>
      <c r="V110" s="157">
        <v>73.290000000000006</v>
      </c>
      <c r="W110" s="157">
        <v>26.75</v>
      </c>
      <c r="X110" s="157">
        <v>81.89</v>
      </c>
      <c r="Y110" s="157">
        <v>83.31</v>
      </c>
      <c r="Z110" s="157">
        <v>70.12</v>
      </c>
      <c r="AA110" s="157">
        <v>77.06</v>
      </c>
      <c r="AB110" s="157">
        <v>84.16</v>
      </c>
      <c r="AC110" s="157">
        <v>77.44</v>
      </c>
      <c r="AD110" s="157">
        <v>78.08</v>
      </c>
      <c r="AE110" s="157">
        <v>69.28</v>
      </c>
      <c r="AF110" s="157">
        <v>79.64</v>
      </c>
      <c r="AG110" s="157">
        <v>83.57</v>
      </c>
      <c r="AH110" s="157">
        <v>52.8</v>
      </c>
      <c r="AI110" s="158">
        <v>2391.3000000000006</v>
      </c>
    </row>
    <row r="111" spans="1:35" ht="15" x14ac:dyDescent="0.25">
      <c r="A111" s="155">
        <v>107</v>
      </c>
      <c r="B111" s="156">
        <v>65.47</v>
      </c>
      <c r="C111" s="157">
        <v>75.41</v>
      </c>
      <c r="D111" s="157">
        <v>63.9</v>
      </c>
      <c r="E111" s="157">
        <v>72.48</v>
      </c>
      <c r="F111" s="157">
        <v>74.400000000000006</v>
      </c>
      <c r="G111" s="157">
        <v>75.319999999999993</v>
      </c>
      <c r="H111" s="157">
        <v>65.16</v>
      </c>
      <c r="I111" s="157">
        <v>69.63</v>
      </c>
      <c r="J111" s="157">
        <v>70.14</v>
      </c>
      <c r="K111" s="157">
        <v>62.21</v>
      </c>
      <c r="L111" s="157">
        <v>29.43</v>
      </c>
      <c r="M111" s="157">
        <v>87.44</v>
      </c>
      <c r="N111" s="157">
        <v>80.25</v>
      </c>
      <c r="O111" s="157">
        <v>73.13</v>
      </c>
      <c r="P111" s="157">
        <v>66.41</v>
      </c>
      <c r="Q111" s="157">
        <v>69.63</v>
      </c>
      <c r="R111" s="157">
        <v>63.75</v>
      </c>
      <c r="S111" s="157">
        <v>71.27</v>
      </c>
      <c r="T111" s="157">
        <v>72.47</v>
      </c>
      <c r="U111" s="157">
        <v>79.17</v>
      </c>
      <c r="V111" s="157">
        <v>70.23</v>
      </c>
      <c r="W111" s="157">
        <v>24.35</v>
      </c>
      <c r="X111" s="157">
        <v>77.92</v>
      </c>
      <c r="Y111" s="157">
        <v>79.3</v>
      </c>
      <c r="Z111" s="157">
        <v>66.63</v>
      </c>
      <c r="AA111" s="157">
        <v>73.260000000000005</v>
      </c>
      <c r="AB111" s="157">
        <v>80.13</v>
      </c>
      <c r="AC111" s="157">
        <v>73.94</v>
      </c>
      <c r="AD111" s="157">
        <v>74.36</v>
      </c>
      <c r="AE111" s="157">
        <v>66.03</v>
      </c>
      <c r="AF111" s="157">
        <v>75.67</v>
      </c>
      <c r="AG111" s="157">
        <v>79.510000000000005</v>
      </c>
      <c r="AH111" s="157">
        <v>48.83</v>
      </c>
      <c r="AI111" s="158">
        <v>2277.23</v>
      </c>
    </row>
    <row r="112" spans="1:35" ht="15" x14ac:dyDescent="0.25">
      <c r="A112" s="155">
        <v>108</v>
      </c>
      <c r="B112" s="156">
        <v>62.97</v>
      </c>
      <c r="C112" s="157">
        <v>72.8</v>
      </c>
      <c r="D112" s="157">
        <v>61.64</v>
      </c>
      <c r="E112" s="157">
        <v>69.84</v>
      </c>
      <c r="F112" s="157">
        <v>71.56</v>
      </c>
      <c r="G112" s="157">
        <v>72.56</v>
      </c>
      <c r="H112" s="157">
        <v>62.7</v>
      </c>
      <c r="I112" s="157">
        <v>66.78</v>
      </c>
      <c r="J112" s="157">
        <v>67.180000000000007</v>
      </c>
      <c r="K112" s="157">
        <v>59.81</v>
      </c>
      <c r="L112" s="157">
        <v>28.4</v>
      </c>
      <c r="M112" s="157">
        <v>84.19</v>
      </c>
      <c r="N112" s="157">
        <v>77.42</v>
      </c>
      <c r="O112" s="157">
        <v>70.45</v>
      </c>
      <c r="P112" s="157">
        <v>63.57</v>
      </c>
      <c r="Q112" s="157">
        <v>67.25</v>
      </c>
      <c r="R112" s="157">
        <v>61.52</v>
      </c>
      <c r="S112" s="157">
        <v>68.59</v>
      </c>
      <c r="T112" s="157">
        <v>69.53</v>
      </c>
      <c r="U112" s="157">
        <v>75.98</v>
      </c>
      <c r="V112" s="157">
        <v>67.819999999999993</v>
      </c>
      <c r="W112" s="157">
        <v>22.74</v>
      </c>
      <c r="X112" s="157">
        <v>74.77</v>
      </c>
      <c r="Y112" s="157">
        <v>76.13</v>
      </c>
      <c r="Z112" s="157">
        <v>63.88</v>
      </c>
      <c r="AA112" s="157">
        <v>70.27</v>
      </c>
      <c r="AB112" s="157">
        <v>76.989999999999995</v>
      </c>
      <c r="AC112" s="157">
        <v>71.2</v>
      </c>
      <c r="AD112" s="157">
        <v>71.42</v>
      </c>
      <c r="AE112" s="157">
        <v>63.5</v>
      </c>
      <c r="AF112" s="157">
        <v>72.569999999999993</v>
      </c>
      <c r="AG112" s="157">
        <v>76.3</v>
      </c>
      <c r="AH112" s="157">
        <v>45.85</v>
      </c>
      <c r="AI112" s="158">
        <v>2188.1800000000003</v>
      </c>
    </row>
    <row r="113" spans="1:35" ht="15" x14ac:dyDescent="0.25">
      <c r="A113" s="155">
        <v>109</v>
      </c>
      <c r="B113" s="156">
        <v>61.03</v>
      </c>
      <c r="C113" s="157">
        <v>70.81</v>
      </c>
      <c r="D113" s="157">
        <v>59.9</v>
      </c>
      <c r="E113" s="157">
        <v>67.83</v>
      </c>
      <c r="F113" s="157">
        <v>69.37</v>
      </c>
      <c r="G113" s="157">
        <v>70.45</v>
      </c>
      <c r="H113" s="157">
        <v>60.81</v>
      </c>
      <c r="I113" s="157">
        <v>64.58</v>
      </c>
      <c r="J113" s="157">
        <v>64.900000000000006</v>
      </c>
      <c r="K113" s="157">
        <v>57.96</v>
      </c>
      <c r="L113" s="157">
        <v>27.71</v>
      </c>
      <c r="M113" s="157">
        <v>81.680000000000007</v>
      </c>
      <c r="N113" s="157">
        <v>75.23</v>
      </c>
      <c r="O113" s="157">
        <v>68.39</v>
      </c>
      <c r="P113" s="157">
        <v>61.39</v>
      </c>
      <c r="Q113" s="157">
        <v>65.45</v>
      </c>
      <c r="R113" s="157">
        <v>59.81</v>
      </c>
      <c r="S113" s="157">
        <v>66.53</v>
      </c>
      <c r="T113" s="157">
        <v>67.260000000000005</v>
      </c>
      <c r="U113" s="157">
        <v>73.5</v>
      </c>
      <c r="V113" s="157">
        <v>65.959999999999994</v>
      </c>
      <c r="W113" s="157">
        <v>21.74</v>
      </c>
      <c r="X113" s="157">
        <v>72.33</v>
      </c>
      <c r="Y113" s="157">
        <v>73.67</v>
      </c>
      <c r="Z113" s="157">
        <v>61.77</v>
      </c>
      <c r="AA113" s="157">
        <v>67.97</v>
      </c>
      <c r="AB113" s="157">
        <v>74.569999999999993</v>
      </c>
      <c r="AC113" s="157">
        <v>69.099999999999994</v>
      </c>
      <c r="AD113" s="157">
        <v>69.14</v>
      </c>
      <c r="AE113" s="157">
        <v>61.57</v>
      </c>
      <c r="AF113" s="157">
        <v>70.180000000000007</v>
      </c>
      <c r="AG113" s="157">
        <v>73.819999999999993</v>
      </c>
      <c r="AH113" s="157">
        <v>43.67</v>
      </c>
      <c r="AI113" s="158">
        <v>2120.08</v>
      </c>
    </row>
    <row r="114" spans="1:35" ht="15" x14ac:dyDescent="0.25">
      <c r="A114" s="155">
        <v>110</v>
      </c>
      <c r="B114" s="156">
        <v>59.57</v>
      </c>
      <c r="C114" s="157">
        <v>69.33</v>
      </c>
      <c r="D114" s="157">
        <v>58.6</v>
      </c>
      <c r="E114" s="157">
        <v>66.33</v>
      </c>
      <c r="F114" s="157">
        <v>67.73</v>
      </c>
      <c r="G114" s="157">
        <v>68.88</v>
      </c>
      <c r="H114" s="157">
        <v>59.4</v>
      </c>
      <c r="I114" s="157">
        <v>62.93</v>
      </c>
      <c r="J114" s="157">
        <v>63.19</v>
      </c>
      <c r="K114" s="157">
        <v>56.57</v>
      </c>
      <c r="L114" s="157">
        <v>27.3</v>
      </c>
      <c r="M114" s="157">
        <v>79.78</v>
      </c>
      <c r="N114" s="157">
        <v>73.56</v>
      </c>
      <c r="O114" s="157">
        <v>66.849999999999994</v>
      </c>
      <c r="P114" s="157">
        <v>59.74</v>
      </c>
      <c r="Q114" s="157">
        <v>64.14</v>
      </c>
      <c r="R114" s="157">
        <v>58.53</v>
      </c>
      <c r="S114" s="157">
        <v>64.989999999999995</v>
      </c>
      <c r="T114" s="157">
        <v>65.55</v>
      </c>
      <c r="U114" s="157">
        <v>71.63</v>
      </c>
      <c r="V114" s="157">
        <v>64.569999999999993</v>
      </c>
      <c r="W114" s="157">
        <v>21.22</v>
      </c>
      <c r="X114" s="157">
        <v>70.47</v>
      </c>
      <c r="Y114" s="157">
        <v>71.8</v>
      </c>
      <c r="Z114" s="157">
        <v>60.17</v>
      </c>
      <c r="AA114" s="157">
        <v>66.23</v>
      </c>
      <c r="AB114" s="157">
        <v>72.760000000000005</v>
      </c>
      <c r="AC114" s="157">
        <v>67.53</v>
      </c>
      <c r="AD114" s="157">
        <v>67.41</v>
      </c>
      <c r="AE114" s="157">
        <v>60.15</v>
      </c>
      <c r="AF114" s="157">
        <v>68.400000000000006</v>
      </c>
      <c r="AG114" s="157">
        <v>71.95</v>
      </c>
      <c r="AH114" s="157">
        <v>42.15</v>
      </c>
      <c r="AI114" s="158">
        <v>2069.4100000000003</v>
      </c>
    </row>
    <row r="115" spans="1:35" ht="15" x14ac:dyDescent="0.25">
      <c r="A115" s="155">
        <v>111</v>
      </c>
      <c r="B115" s="156">
        <v>58.52</v>
      </c>
      <c r="C115" s="157">
        <v>68.290000000000006</v>
      </c>
      <c r="D115" s="157">
        <v>57.67</v>
      </c>
      <c r="E115" s="157">
        <v>65.28</v>
      </c>
      <c r="F115" s="157">
        <v>66.540000000000006</v>
      </c>
      <c r="G115" s="157">
        <v>67.760000000000005</v>
      </c>
      <c r="H115" s="157">
        <v>58.4</v>
      </c>
      <c r="I115" s="157">
        <v>61.74</v>
      </c>
      <c r="J115" s="157">
        <v>61.96</v>
      </c>
      <c r="K115" s="157">
        <v>55.58</v>
      </c>
      <c r="L115" s="157">
        <v>27.13</v>
      </c>
      <c r="M115" s="157">
        <v>78.39</v>
      </c>
      <c r="N115" s="157">
        <v>72.34</v>
      </c>
      <c r="O115" s="157">
        <v>65.75</v>
      </c>
      <c r="P115" s="157">
        <v>58.56</v>
      </c>
      <c r="Q115" s="157">
        <v>63.23</v>
      </c>
      <c r="R115" s="157">
        <v>57.62</v>
      </c>
      <c r="S115" s="157">
        <v>63.9</v>
      </c>
      <c r="T115" s="157">
        <v>64.319999999999993</v>
      </c>
      <c r="U115" s="157">
        <v>70.260000000000005</v>
      </c>
      <c r="V115" s="157">
        <v>63.58</v>
      </c>
      <c r="W115" s="157">
        <v>21.06</v>
      </c>
      <c r="X115" s="157">
        <v>69.11</v>
      </c>
      <c r="Y115" s="157">
        <v>70.430000000000007</v>
      </c>
      <c r="Z115" s="157">
        <v>59.02</v>
      </c>
      <c r="AA115" s="157">
        <v>64.989999999999995</v>
      </c>
      <c r="AB115" s="157">
        <v>71.48</v>
      </c>
      <c r="AC115" s="157">
        <v>66.41</v>
      </c>
      <c r="AD115" s="157">
        <v>66.16</v>
      </c>
      <c r="AE115" s="157">
        <v>59.14</v>
      </c>
      <c r="AF115" s="157">
        <v>67.12</v>
      </c>
      <c r="AG115" s="157">
        <v>70.59</v>
      </c>
      <c r="AH115" s="157">
        <v>41.15</v>
      </c>
      <c r="AI115" s="158">
        <v>2033.4800000000002</v>
      </c>
    </row>
    <row r="116" spans="1:35" ht="15" x14ac:dyDescent="0.25">
      <c r="A116" s="155">
        <v>112</v>
      </c>
      <c r="B116" s="156">
        <v>57.81</v>
      </c>
      <c r="C116" s="157">
        <v>67.62</v>
      </c>
      <c r="D116" s="157">
        <v>57.07</v>
      </c>
      <c r="E116" s="157">
        <v>64.61</v>
      </c>
      <c r="F116" s="157">
        <v>65.75</v>
      </c>
      <c r="G116" s="157">
        <v>67.03</v>
      </c>
      <c r="H116" s="157">
        <v>57.75</v>
      </c>
      <c r="I116" s="157">
        <v>60.94</v>
      </c>
      <c r="J116" s="157">
        <v>61.13</v>
      </c>
      <c r="K116" s="157">
        <v>54.91</v>
      </c>
      <c r="L116" s="157">
        <v>27.17</v>
      </c>
      <c r="M116" s="157">
        <v>77.45</v>
      </c>
      <c r="N116" s="157">
        <v>71.510000000000005</v>
      </c>
      <c r="O116" s="157">
        <v>65.03</v>
      </c>
      <c r="P116" s="157">
        <v>57.76</v>
      </c>
      <c r="Q116" s="157">
        <v>62.68</v>
      </c>
      <c r="R116" s="157">
        <v>57.02</v>
      </c>
      <c r="S116" s="157">
        <v>63.17</v>
      </c>
      <c r="T116" s="157">
        <v>63.49</v>
      </c>
      <c r="U116" s="157">
        <v>69.33</v>
      </c>
      <c r="V116" s="157">
        <v>62.93</v>
      </c>
      <c r="W116" s="157">
        <v>21.2</v>
      </c>
      <c r="X116" s="157">
        <v>68.180000000000007</v>
      </c>
      <c r="Y116" s="157">
        <v>69.5</v>
      </c>
      <c r="Z116" s="157">
        <v>58.24</v>
      </c>
      <c r="AA116" s="157">
        <v>64.150000000000006</v>
      </c>
      <c r="AB116" s="157">
        <v>70.63</v>
      </c>
      <c r="AC116" s="157">
        <v>65.67</v>
      </c>
      <c r="AD116" s="157">
        <v>65.31</v>
      </c>
      <c r="AE116" s="157">
        <v>58.5</v>
      </c>
      <c r="AF116" s="157">
        <v>66.27</v>
      </c>
      <c r="AG116" s="157">
        <v>69.67</v>
      </c>
      <c r="AH116" s="157">
        <v>40.6</v>
      </c>
      <c r="AI116" s="158">
        <v>2010.0800000000004</v>
      </c>
    </row>
    <row r="117" spans="1:35" ht="15" x14ac:dyDescent="0.25">
      <c r="A117" s="155">
        <v>113</v>
      </c>
      <c r="B117" s="156">
        <v>57.4</v>
      </c>
      <c r="C117" s="157">
        <v>67.28</v>
      </c>
      <c r="D117" s="157">
        <v>56.75</v>
      </c>
      <c r="E117" s="157">
        <v>64.260000000000005</v>
      </c>
      <c r="F117" s="157">
        <v>65.31</v>
      </c>
      <c r="G117" s="157">
        <v>66.64</v>
      </c>
      <c r="H117" s="157">
        <v>57.39</v>
      </c>
      <c r="I117" s="157">
        <v>60.48</v>
      </c>
      <c r="J117" s="157">
        <v>60.65</v>
      </c>
      <c r="K117" s="157">
        <v>54.54</v>
      </c>
      <c r="L117" s="157">
        <v>27.38</v>
      </c>
      <c r="M117" s="157">
        <v>76.88</v>
      </c>
      <c r="N117" s="157">
        <v>71.02</v>
      </c>
      <c r="O117" s="157">
        <v>64.63</v>
      </c>
      <c r="P117" s="157">
        <v>57.3</v>
      </c>
      <c r="Q117" s="157">
        <v>62.44</v>
      </c>
      <c r="R117" s="157">
        <v>56.69</v>
      </c>
      <c r="S117" s="157">
        <v>62.77</v>
      </c>
      <c r="T117" s="157">
        <v>63.02</v>
      </c>
      <c r="U117" s="157">
        <v>68.77</v>
      </c>
      <c r="V117" s="157">
        <v>62.57</v>
      </c>
      <c r="W117" s="157">
        <v>21.59</v>
      </c>
      <c r="X117" s="157">
        <v>67.61</v>
      </c>
      <c r="Y117" s="157">
        <v>68.94</v>
      </c>
      <c r="Z117" s="157">
        <v>57.79</v>
      </c>
      <c r="AA117" s="157">
        <v>63.67</v>
      </c>
      <c r="AB117" s="157">
        <v>70.17</v>
      </c>
      <c r="AC117" s="157">
        <v>65.27</v>
      </c>
      <c r="AD117" s="157">
        <v>64.81</v>
      </c>
      <c r="AE117" s="157">
        <v>58.16</v>
      </c>
      <c r="AF117" s="157">
        <v>65.790000000000006</v>
      </c>
      <c r="AG117" s="157">
        <v>69.12</v>
      </c>
      <c r="AH117" s="157">
        <v>40.409999999999997</v>
      </c>
      <c r="AI117" s="158">
        <v>1997.4999999999998</v>
      </c>
    </row>
    <row r="118" spans="1:35" ht="15" x14ac:dyDescent="0.25">
      <c r="A118" s="155">
        <v>114</v>
      </c>
      <c r="B118" s="156">
        <v>57.25</v>
      </c>
      <c r="C118" s="157">
        <v>67.22</v>
      </c>
      <c r="D118" s="157">
        <v>56.67</v>
      </c>
      <c r="E118" s="157">
        <v>64.2</v>
      </c>
      <c r="F118" s="157">
        <v>65.16</v>
      </c>
      <c r="G118" s="157">
        <v>66.53</v>
      </c>
      <c r="H118" s="157">
        <v>57.3</v>
      </c>
      <c r="I118" s="157">
        <v>60.32</v>
      </c>
      <c r="J118" s="157">
        <v>60.48</v>
      </c>
      <c r="K118" s="157">
        <v>54.42</v>
      </c>
      <c r="L118" s="157">
        <v>27.76</v>
      </c>
      <c r="M118" s="157">
        <v>76.650000000000006</v>
      </c>
      <c r="N118" s="157">
        <v>70.819999999999993</v>
      </c>
      <c r="O118" s="157">
        <v>64.510000000000005</v>
      </c>
      <c r="P118" s="157">
        <v>57.13</v>
      </c>
      <c r="Q118" s="157">
        <v>62.46</v>
      </c>
      <c r="R118" s="157">
        <v>56.59</v>
      </c>
      <c r="S118" s="157">
        <v>62.65</v>
      </c>
      <c r="T118" s="157">
        <v>62.85</v>
      </c>
      <c r="U118" s="157">
        <v>68.540000000000006</v>
      </c>
      <c r="V118" s="157">
        <v>62.47</v>
      </c>
      <c r="W118" s="157">
        <v>22.17</v>
      </c>
      <c r="X118" s="157">
        <v>67.36</v>
      </c>
      <c r="Y118" s="157">
        <v>68.7</v>
      </c>
      <c r="Z118" s="157">
        <v>57.62</v>
      </c>
      <c r="AA118" s="157">
        <v>63.51</v>
      </c>
      <c r="AB118" s="157">
        <v>70.03</v>
      </c>
      <c r="AC118" s="157">
        <v>65.150000000000006</v>
      </c>
      <c r="AD118" s="157">
        <v>64.62</v>
      </c>
      <c r="AE118" s="157">
        <v>58.09</v>
      </c>
      <c r="AF118" s="157">
        <v>65.63</v>
      </c>
      <c r="AG118" s="157">
        <v>68.91</v>
      </c>
      <c r="AH118" s="157">
        <v>40.53</v>
      </c>
      <c r="AI118" s="158">
        <v>1994.2999999999997</v>
      </c>
    </row>
    <row r="119" spans="1:35" ht="15" x14ac:dyDescent="0.25">
      <c r="A119" s="155">
        <v>115</v>
      </c>
      <c r="B119" s="156">
        <v>57.32</v>
      </c>
      <c r="C119" s="157">
        <v>67.400000000000006</v>
      </c>
      <c r="D119" s="157">
        <v>56.8</v>
      </c>
      <c r="E119" s="157">
        <v>64.39</v>
      </c>
      <c r="F119" s="157">
        <v>65.28</v>
      </c>
      <c r="G119" s="157">
        <v>66.69</v>
      </c>
      <c r="H119" s="157">
        <v>57.44</v>
      </c>
      <c r="I119" s="157">
        <v>60.41</v>
      </c>
      <c r="J119" s="157">
        <v>60.57</v>
      </c>
      <c r="K119" s="157">
        <v>54.53</v>
      </c>
      <c r="L119" s="157">
        <v>28.28</v>
      </c>
      <c r="M119" s="157">
        <v>76.709999999999994</v>
      </c>
      <c r="N119" s="157">
        <v>70.88</v>
      </c>
      <c r="O119" s="157">
        <v>64.650000000000006</v>
      </c>
      <c r="P119" s="157">
        <v>57.22</v>
      </c>
      <c r="Q119" s="157">
        <v>62.72</v>
      </c>
      <c r="R119" s="157">
        <v>56.71</v>
      </c>
      <c r="S119" s="157">
        <v>62.77</v>
      </c>
      <c r="T119" s="157">
        <v>62.94</v>
      </c>
      <c r="U119" s="157">
        <v>68.599999999999994</v>
      </c>
      <c r="V119" s="157">
        <v>62.61</v>
      </c>
      <c r="W119" s="157">
        <v>22.93</v>
      </c>
      <c r="X119" s="157">
        <v>67.39</v>
      </c>
      <c r="Y119" s="157">
        <v>68.75</v>
      </c>
      <c r="Z119" s="157">
        <v>57.7</v>
      </c>
      <c r="AA119" s="157">
        <v>63.62</v>
      </c>
      <c r="AB119" s="157">
        <v>70.19</v>
      </c>
      <c r="AC119" s="157">
        <v>65.290000000000006</v>
      </c>
      <c r="AD119" s="157">
        <v>64.69</v>
      </c>
      <c r="AE119" s="157">
        <v>58.26</v>
      </c>
      <c r="AF119" s="157">
        <v>65.760000000000005</v>
      </c>
      <c r="AG119" s="157">
        <v>68.989999999999995</v>
      </c>
      <c r="AH119" s="157">
        <v>40.92</v>
      </c>
      <c r="AI119" s="158">
        <v>1999.41</v>
      </c>
    </row>
    <row r="120" spans="1:35" ht="15" x14ac:dyDescent="0.25">
      <c r="A120" s="155">
        <v>116</v>
      </c>
      <c r="B120" s="156">
        <v>57.6</v>
      </c>
      <c r="C120" s="157">
        <v>67.81</v>
      </c>
      <c r="D120" s="157">
        <v>57.13</v>
      </c>
      <c r="E120" s="157">
        <v>64.790000000000006</v>
      </c>
      <c r="F120" s="157">
        <v>65.64</v>
      </c>
      <c r="G120" s="157">
        <v>67.069999999999993</v>
      </c>
      <c r="H120" s="157">
        <v>57.78</v>
      </c>
      <c r="I120" s="157">
        <v>60.74</v>
      </c>
      <c r="J120" s="157">
        <v>60.9</v>
      </c>
      <c r="K120" s="157">
        <v>54.83</v>
      </c>
      <c r="L120" s="157">
        <v>28.94</v>
      </c>
      <c r="M120" s="157">
        <v>77.02</v>
      </c>
      <c r="N120" s="157">
        <v>71.17</v>
      </c>
      <c r="O120" s="157">
        <v>65</v>
      </c>
      <c r="P120" s="157">
        <v>57.53</v>
      </c>
      <c r="Q120" s="157">
        <v>63.2</v>
      </c>
      <c r="R120" s="157">
        <v>57.01</v>
      </c>
      <c r="S120" s="157">
        <v>63.12</v>
      </c>
      <c r="T120" s="157">
        <v>63.28</v>
      </c>
      <c r="U120" s="157">
        <v>68.91</v>
      </c>
      <c r="V120" s="157">
        <v>62.94</v>
      </c>
      <c r="W120" s="157">
        <v>23.84</v>
      </c>
      <c r="X120" s="157">
        <v>67.67</v>
      </c>
      <c r="Y120" s="157">
        <v>69.05</v>
      </c>
      <c r="Z120" s="157">
        <v>58</v>
      </c>
      <c r="AA120" s="157">
        <v>63.97</v>
      </c>
      <c r="AB120" s="157">
        <v>70.599999999999994</v>
      </c>
      <c r="AC120" s="157">
        <v>65.650000000000006</v>
      </c>
      <c r="AD120" s="157">
        <v>65.010000000000005</v>
      </c>
      <c r="AE120" s="157">
        <v>58.63</v>
      </c>
      <c r="AF120" s="157">
        <v>66.14</v>
      </c>
      <c r="AG120" s="157">
        <v>69.319999999999993</v>
      </c>
      <c r="AH120" s="157">
        <v>41.54</v>
      </c>
      <c r="AI120" s="158">
        <v>2011.8300000000002</v>
      </c>
    </row>
    <row r="121" spans="1:35" ht="15" x14ac:dyDescent="0.25">
      <c r="A121" s="155">
        <v>117</v>
      </c>
      <c r="B121" s="156">
        <v>58.04</v>
      </c>
      <c r="C121" s="157">
        <v>68.38</v>
      </c>
      <c r="D121" s="157">
        <v>57.6</v>
      </c>
      <c r="E121" s="157">
        <v>65.37</v>
      </c>
      <c r="F121" s="157">
        <v>66.17</v>
      </c>
      <c r="G121" s="157">
        <v>67.62</v>
      </c>
      <c r="H121" s="157">
        <v>58.28</v>
      </c>
      <c r="I121" s="157">
        <v>61.24</v>
      </c>
      <c r="J121" s="157">
        <v>61.41</v>
      </c>
      <c r="K121" s="157">
        <v>55.29</v>
      </c>
      <c r="L121" s="157">
        <v>29.67</v>
      </c>
      <c r="M121" s="157">
        <v>77.540000000000006</v>
      </c>
      <c r="N121" s="157">
        <v>71.64</v>
      </c>
      <c r="O121" s="157">
        <v>65.53</v>
      </c>
      <c r="P121" s="157">
        <v>58.02</v>
      </c>
      <c r="Q121" s="157">
        <v>63.83</v>
      </c>
      <c r="R121" s="157">
        <v>57.46</v>
      </c>
      <c r="S121" s="157">
        <v>63.63</v>
      </c>
      <c r="T121" s="157">
        <v>63.8</v>
      </c>
      <c r="U121" s="157">
        <v>69.42</v>
      </c>
      <c r="V121" s="157">
        <v>63.43</v>
      </c>
      <c r="W121" s="157">
        <v>24.82</v>
      </c>
      <c r="X121" s="157">
        <v>68.150000000000006</v>
      </c>
      <c r="Y121" s="157">
        <v>69.55</v>
      </c>
      <c r="Z121" s="157">
        <v>58.47</v>
      </c>
      <c r="AA121" s="157">
        <v>64.5</v>
      </c>
      <c r="AB121" s="157">
        <v>71.209999999999994</v>
      </c>
      <c r="AC121" s="157">
        <v>66.180000000000007</v>
      </c>
      <c r="AD121" s="157">
        <v>65.52</v>
      </c>
      <c r="AE121" s="157">
        <v>59.16</v>
      </c>
      <c r="AF121" s="157">
        <v>66.709999999999994</v>
      </c>
      <c r="AG121" s="157">
        <v>69.86</v>
      </c>
      <c r="AH121" s="157">
        <v>42.31</v>
      </c>
      <c r="AI121" s="158">
        <v>2029.8100000000002</v>
      </c>
    </row>
    <row r="122" spans="1:35" ht="15" x14ac:dyDescent="0.25">
      <c r="A122" s="155">
        <v>118</v>
      </c>
      <c r="B122" s="156">
        <v>58.46</v>
      </c>
      <c r="C122" s="157">
        <v>68.91</v>
      </c>
      <c r="D122" s="157">
        <v>58.04</v>
      </c>
      <c r="E122" s="157">
        <v>65.900000000000006</v>
      </c>
      <c r="F122" s="157">
        <v>66.680000000000007</v>
      </c>
      <c r="G122" s="157">
        <v>68.13</v>
      </c>
      <c r="H122" s="157">
        <v>58.74</v>
      </c>
      <c r="I122" s="157">
        <v>61.72</v>
      </c>
      <c r="J122" s="157">
        <v>61.9</v>
      </c>
      <c r="K122" s="157">
        <v>55.72</v>
      </c>
      <c r="L122" s="157">
        <v>30.24</v>
      </c>
      <c r="M122" s="157">
        <v>78.05</v>
      </c>
      <c r="N122" s="157">
        <v>72.11</v>
      </c>
      <c r="O122" s="157">
        <v>66.03</v>
      </c>
      <c r="P122" s="157">
        <v>58.49</v>
      </c>
      <c r="Q122" s="157">
        <v>64.39</v>
      </c>
      <c r="R122" s="157">
        <v>57.88</v>
      </c>
      <c r="S122" s="157">
        <v>64.12</v>
      </c>
      <c r="T122" s="157">
        <v>64.3</v>
      </c>
      <c r="U122" s="157">
        <v>69.92</v>
      </c>
      <c r="V122" s="157">
        <v>63.9</v>
      </c>
      <c r="W122" s="157">
        <v>25.55</v>
      </c>
      <c r="X122" s="157">
        <v>68.62</v>
      </c>
      <c r="Y122" s="157">
        <v>70.05</v>
      </c>
      <c r="Z122" s="157">
        <v>58.92</v>
      </c>
      <c r="AA122" s="157">
        <v>65.02</v>
      </c>
      <c r="AB122" s="157">
        <v>71.78</v>
      </c>
      <c r="AC122" s="157">
        <v>66.680000000000007</v>
      </c>
      <c r="AD122" s="157">
        <v>66.010000000000005</v>
      </c>
      <c r="AE122" s="157">
        <v>59.65</v>
      </c>
      <c r="AF122" s="157">
        <v>67.25</v>
      </c>
      <c r="AG122" s="157">
        <v>70.38</v>
      </c>
      <c r="AH122" s="157">
        <v>42.94</v>
      </c>
      <c r="AI122" s="158">
        <v>2046.4800000000005</v>
      </c>
    </row>
    <row r="123" spans="1:35" ht="15" x14ac:dyDescent="0.25">
      <c r="A123" s="159" t="s">
        <v>923</v>
      </c>
      <c r="B123" s="160">
        <v>109323.28000000001</v>
      </c>
      <c r="C123" s="161">
        <v>128289.84999999998</v>
      </c>
      <c r="D123" s="161">
        <v>108327.94999999997</v>
      </c>
      <c r="E123" s="161">
        <v>127049.53</v>
      </c>
      <c r="F123" s="161">
        <v>130669.93000000001</v>
      </c>
      <c r="G123" s="161">
        <v>126594.51000000002</v>
      </c>
      <c r="H123" s="161">
        <v>121740.20999999999</v>
      </c>
      <c r="I123" s="161">
        <v>125925.91000000002</v>
      </c>
      <c r="J123" s="161">
        <v>127122.84999999998</v>
      </c>
      <c r="K123" s="161">
        <v>111370.09000000003</v>
      </c>
      <c r="L123" s="161">
        <v>110511.86</v>
      </c>
      <c r="M123" s="161">
        <v>127214.76999999995</v>
      </c>
      <c r="N123" s="161">
        <v>120336.96999999999</v>
      </c>
      <c r="O123" s="161">
        <v>120105.76999999996</v>
      </c>
      <c r="P123" s="161">
        <v>118152.35000000006</v>
      </c>
      <c r="Q123" s="161">
        <v>126485.61</v>
      </c>
      <c r="R123" s="161">
        <v>102274.83</v>
      </c>
      <c r="S123" s="161">
        <v>123448.00000000004</v>
      </c>
      <c r="T123" s="161">
        <v>126405.96000000002</v>
      </c>
      <c r="U123" s="161">
        <v>131914.66000000006</v>
      </c>
      <c r="V123" s="161">
        <v>120298.11999999997</v>
      </c>
      <c r="W123" s="161">
        <v>119622.45</v>
      </c>
      <c r="X123" s="161">
        <v>123563.12000000001</v>
      </c>
      <c r="Y123" s="161">
        <v>130025.08999999998</v>
      </c>
      <c r="Z123" s="161">
        <v>115175.28000000003</v>
      </c>
      <c r="AA123" s="161">
        <v>132117.38999999998</v>
      </c>
      <c r="AB123" s="161">
        <v>138801.57999999996</v>
      </c>
      <c r="AC123" s="161">
        <v>121817.74999999999</v>
      </c>
      <c r="AD123" s="161">
        <v>136398.09</v>
      </c>
      <c r="AE123" s="161">
        <v>112271.77000000002</v>
      </c>
      <c r="AF123" s="161">
        <v>133057.66000000003</v>
      </c>
      <c r="AG123" s="161">
        <v>140668.24000000011</v>
      </c>
      <c r="AH123" s="161">
        <v>133224.48000000001</v>
      </c>
      <c r="AI123" s="162">
        <v>4080305.9100000015</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620A0-CB3F-45A2-B938-94A5FD268EDB}">
  <sheetPr codeName="Sheet23"/>
  <dimension ref="A3:AH50"/>
  <sheetViews>
    <sheetView topLeftCell="D1" workbookViewId="0">
      <selection activeCell="T8" sqref="T8"/>
    </sheetView>
  </sheetViews>
  <sheetFormatPr defaultColWidth="9.140625" defaultRowHeight="12.75" x14ac:dyDescent="0.2"/>
  <cols>
    <col min="1" max="1" width="10.5703125" style="107" bestFit="1" customWidth="1"/>
    <col min="2" max="33" width="10" style="107" bestFit="1" customWidth="1"/>
    <col min="34" max="34" width="12" style="107" bestFit="1" customWidth="1"/>
    <col min="35" max="98" width="10" style="107" bestFit="1" customWidth="1"/>
    <col min="99" max="99" width="12" style="107" bestFit="1" customWidth="1"/>
    <col min="100" max="16384" width="9.140625" style="107"/>
  </cols>
  <sheetData>
    <row r="3" spans="1:34" x14ac:dyDescent="0.2">
      <c r="A3" s="143" t="s">
        <v>924</v>
      </c>
      <c r="B3" s="143" t="s">
        <v>198</v>
      </c>
      <c r="C3" s="145"/>
      <c r="D3" s="145"/>
      <c r="E3" s="145"/>
      <c r="F3" s="145"/>
      <c r="G3" s="145"/>
      <c r="H3" s="145"/>
      <c r="I3" s="145"/>
      <c r="J3" s="145"/>
      <c r="K3" s="145"/>
      <c r="L3" s="145"/>
      <c r="M3" s="145"/>
      <c r="N3" s="145"/>
      <c r="O3" s="145"/>
      <c r="P3" s="145"/>
      <c r="Q3" s="145"/>
      <c r="R3" s="145"/>
      <c r="S3" s="145"/>
      <c r="T3" s="145"/>
      <c r="U3" s="145"/>
      <c r="V3" s="145"/>
      <c r="W3" s="145"/>
      <c r="X3" s="145"/>
      <c r="Y3" s="145"/>
      <c r="Z3" s="145"/>
      <c r="AA3" s="145"/>
      <c r="AB3" s="145"/>
      <c r="AC3" s="145"/>
      <c r="AD3" s="145"/>
      <c r="AE3" s="145"/>
      <c r="AF3" s="145"/>
      <c r="AG3" s="145"/>
      <c r="AH3" s="144"/>
    </row>
    <row r="4" spans="1:34" x14ac:dyDescent="0.2">
      <c r="A4" s="143" t="s">
        <v>925</v>
      </c>
      <c r="B4" s="142" t="s">
        <v>211</v>
      </c>
      <c r="C4" s="141" t="s">
        <v>212</v>
      </c>
      <c r="D4" s="141" t="s">
        <v>213</v>
      </c>
      <c r="E4" s="141" t="s">
        <v>214</v>
      </c>
      <c r="F4" s="141" t="s">
        <v>215</v>
      </c>
      <c r="G4" s="141" t="s">
        <v>216</v>
      </c>
      <c r="H4" s="141" t="s">
        <v>217</v>
      </c>
      <c r="I4" s="141" t="s">
        <v>218</v>
      </c>
      <c r="J4" s="141" t="s">
        <v>219</v>
      </c>
      <c r="K4" s="141" t="s">
        <v>221</v>
      </c>
      <c r="L4" s="141" t="s">
        <v>234</v>
      </c>
      <c r="M4" s="141" t="s">
        <v>235</v>
      </c>
      <c r="N4" s="141" t="s">
        <v>236</v>
      </c>
      <c r="O4" s="141" t="s">
        <v>237</v>
      </c>
      <c r="P4" s="141" t="s">
        <v>238</v>
      </c>
      <c r="Q4" s="141" t="s">
        <v>239</v>
      </c>
      <c r="R4" s="141" t="s">
        <v>242</v>
      </c>
      <c r="S4" s="141" t="s">
        <v>243</v>
      </c>
      <c r="T4" s="141" t="s">
        <v>244</v>
      </c>
      <c r="U4" s="141" t="s">
        <v>245</v>
      </c>
      <c r="V4" s="141" t="s">
        <v>247</v>
      </c>
      <c r="W4" s="141" t="s">
        <v>249</v>
      </c>
      <c r="X4" s="141" t="s">
        <v>250</v>
      </c>
      <c r="Y4" s="141" t="s">
        <v>251</v>
      </c>
      <c r="Z4" s="141" t="s">
        <v>252</v>
      </c>
      <c r="AA4" s="141" t="s">
        <v>253</v>
      </c>
      <c r="AB4" s="141" t="s">
        <v>254</v>
      </c>
      <c r="AC4" s="141" t="s">
        <v>255</v>
      </c>
      <c r="AD4" s="141" t="s">
        <v>256</v>
      </c>
      <c r="AE4" s="141" t="s">
        <v>257</v>
      </c>
      <c r="AF4" s="141" t="s">
        <v>258</v>
      </c>
      <c r="AG4" s="141" t="s">
        <v>259</v>
      </c>
      <c r="AH4" s="140" t="s">
        <v>923</v>
      </c>
    </row>
    <row r="5" spans="1:34" x14ac:dyDescent="0.2">
      <c r="A5" s="142">
        <v>1</v>
      </c>
      <c r="B5" s="142">
        <v>5887.3</v>
      </c>
      <c r="C5" s="141">
        <v>5871</v>
      </c>
      <c r="D5" s="141">
        <v>5944.5</v>
      </c>
      <c r="E5" s="141">
        <v>6000.5</v>
      </c>
      <c r="F5" s="141">
        <v>6146</v>
      </c>
      <c r="G5" s="141">
        <v>5364.1</v>
      </c>
      <c r="H5" s="141">
        <v>6442.1</v>
      </c>
      <c r="I5" s="141">
        <v>6192.8</v>
      </c>
      <c r="J5" s="141">
        <v>6030.2</v>
      </c>
      <c r="K5" s="141">
        <v>5978.4</v>
      </c>
      <c r="L5" s="141">
        <v>5534</v>
      </c>
      <c r="M5" s="141">
        <v>5851.5</v>
      </c>
      <c r="N5" s="141">
        <v>6056.7</v>
      </c>
      <c r="O5" s="141">
        <v>6096.5</v>
      </c>
      <c r="P5" s="141">
        <v>5909.4</v>
      </c>
      <c r="Q5" s="141">
        <v>5496.6</v>
      </c>
      <c r="R5" s="141">
        <v>6239.5</v>
      </c>
      <c r="S5" s="141">
        <v>6492.4</v>
      </c>
      <c r="T5" s="141">
        <v>6084.4</v>
      </c>
      <c r="U5" s="141">
        <v>5848.2</v>
      </c>
      <c r="V5" s="141">
        <v>5695.4</v>
      </c>
      <c r="W5" s="141">
        <v>5729.1</v>
      </c>
      <c r="X5" s="141">
        <v>5571</v>
      </c>
      <c r="Y5" s="141">
        <v>5802.6</v>
      </c>
      <c r="Z5" s="141">
        <v>5825</v>
      </c>
      <c r="AA5" s="141">
        <v>6279.7</v>
      </c>
      <c r="AB5" s="141">
        <v>5918.8</v>
      </c>
      <c r="AC5" s="141">
        <v>6407.6</v>
      </c>
      <c r="AD5" s="141">
        <v>5999.8</v>
      </c>
      <c r="AE5" s="141">
        <v>5892.3</v>
      </c>
      <c r="AF5" s="141">
        <v>6478.6</v>
      </c>
      <c r="AG5" s="141">
        <v>5938.3</v>
      </c>
      <c r="AH5" s="140">
        <v>191004.29999999996</v>
      </c>
    </row>
    <row r="6" spans="1:34" x14ac:dyDescent="0.2">
      <c r="A6" s="139">
        <v>2</v>
      </c>
      <c r="B6" s="139">
        <v>5963.89</v>
      </c>
      <c r="C6" s="107">
        <v>5978.1</v>
      </c>
      <c r="D6" s="107">
        <v>6034.24</v>
      </c>
      <c r="E6" s="107">
        <v>6064.68</v>
      </c>
      <c r="F6" s="107">
        <v>6200.81</v>
      </c>
      <c r="G6" s="107">
        <v>5483.42</v>
      </c>
      <c r="H6" s="107">
        <v>6526.2</v>
      </c>
      <c r="I6" s="107">
        <v>6327.55</v>
      </c>
      <c r="J6" s="107">
        <v>6136.79</v>
      </c>
      <c r="K6" s="107">
        <v>6027.82</v>
      </c>
      <c r="L6" s="107">
        <v>5600.6</v>
      </c>
      <c r="M6" s="107">
        <v>5960.67</v>
      </c>
      <c r="N6" s="107">
        <v>6139.5</v>
      </c>
      <c r="O6" s="107">
        <v>6164.74</v>
      </c>
      <c r="P6" s="107">
        <v>5963.33</v>
      </c>
      <c r="Q6" s="107">
        <v>5570.51</v>
      </c>
      <c r="R6" s="107">
        <v>6284.97</v>
      </c>
      <c r="S6" s="107">
        <v>6542.35</v>
      </c>
      <c r="T6" s="107">
        <v>6139.77</v>
      </c>
      <c r="U6" s="107">
        <v>5870.3</v>
      </c>
      <c r="V6" s="107">
        <v>5711.15</v>
      </c>
      <c r="W6" s="107">
        <v>5755.12</v>
      </c>
      <c r="X6" s="107">
        <v>5629.55</v>
      </c>
      <c r="Y6" s="107">
        <v>5891.66</v>
      </c>
      <c r="Z6" s="107">
        <v>5862.95</v>
      </c>
      <c r="AA6" s="107">
        <v>6346.5</v>
      </c>
      <c r="AB6" s="107">
        <v>5967.17</v>
      </c>
      <c r="AC6" s="107">
        <v>6471.25</v>
      </c>
      <c r="AD6" s="107">
        <v>6043.63</v>
      </c>
      <c r="AE6" s="107">
        <v>5952.8</v>
      </c>
      <c r="AF6" s="107">
        <v>6501.95</v>
      </c>
      <c r="AG6" s="107">
        <v>5906.05</v>
      </c>
      <c r="AH6" s="73">
        <v>193020.02000000002</v>
      </c>
    </row>
    <row r="7" spans="1:34" x14ac:dyDescent="0.2">
      <c r="A7" s="139">
        <v>3</v>
      </c>
      <c r="B7" s="139">
        <v>5967.72</v>
      </c>
      <c r="C7" s="107">
        <v>5984.77</v>
      </c>
      <c r="D7" s="107">
        <v>6047.49</v>
      </c>
      <c r="E7" s="107">
        <v>6078.64</v>
      </c>
      <c r="F7" s="107">
        <v>6209.5</v>
      </c>
      <c r="G7" s="107">
        <v>5490.87</v>
      </c>
      <c r="H7" s="107">
        <v>6538.11</v>
      </c>
      <c r="I7" s="107">
        <v>6331.5</v>
      </c>
      <c r="J7" s="107">
        <v>6146.75</v>
      </c>
      <c r="K7" s="107">
        <v>6025.13</v>
      </c>
      <c r="L7" s="107">
        <v>5613.15</v>
      </c>
      <c r="M7" s="107">
        <v>5966.49</v>
      </c>
      <c r="N7" s="107">
        <v>6146.81</v>
      </c>
      <c r="O7" s="107">
        <v>6178.46</v>
      </c>
      <c r="P7" s="107">
        <v>5963</v>
      </c>
      <c r="Q7" s="107">
        <v>5574.68</v>
      </c>
      <c r="R7" s="107">
        <v>6284.59</v>
      </c>
      <c r="S7" s="107">
        <v>6541.02</v>
      </c>
      <c r="T7" s="107">
        <v>6143.9</v>
      </c>
      <c r="U7" s="107">
        <v>5860.17</v>
      </c>
      <c r="V7" s="107">
        <v>5706.12</v>
      </c>
      <c r="W7" s="107">
        <v>5761.04</v>
      </c>
      <c r="X7" s="107">
        <v>5634.87</v>
      </c>
      <c r="Y7" s="107">
        <v>5904.1</v>
      </c>
      <c r="Z7" s="107">
        <v>5868.13</v>
      </c>
      <c r="AA7" s="107">
        <v>6369.32</v>
      </c>
      <c r="AB7" s="107">
        <v>5972.13</v>
      </c>
      <c r="AC7" s="107">
        <v>6471.54</v>
      </c>
      <c r="AD7" s="107">
        <v>6047.11</v>
      </c>
      <c r="AE7" s="107">
        <v>5952.8</v>
      </c>
      <c r="AF7" s="107">
        <v>6492.34</v>
      </c>
      <c r="AG7" s="107">
        <v>5887.91</v>
      </c>
      <c r="AH7" s="73">
        <v>193160.16</v>
      </c>
    </row>
    <row r="8" spans="1:34" x14ac:dyDescent="0.2">
      <c r="A8" s="139">
        <v>4</v>
      </c>
      <c r="B8" s="139">
        <v>5973</v>
      </c>
      <c r="C8" s="107">
        <v>5993.56</v>
      </c>
      <c r="D8" s="107">
        <v>6058.98</v>
      </c>
      <c r="E8" s="107">
        <v>6091.49</v>
      </c>
      <c r="F8" s="107">
        <v>6218.18</v>
      </c>
      <c r="G8" s="107">
        <v>5502.11</v>
      </c>
      <c r="H8" s="107">
        <v>6549.83</v>
      </c>
      <c r="I8" s="107">
        <v>6343.04</v>
      </c>
      <c r="J8" s="107">
        <v>6159.63</v>
      </c>
      <c r="K8" s="107">
        <v>6025.65</v>
      </c>
      <c r="L8" s="107">
        <v>5622.91</v>
      </c>
      <c r="M8" s="107">
        <v>5973.58</v>
      </c>
      <c r="N8" s="107">
        <v>6155.47</v>
      </c>
      <c r="O8" s="107">
        <v>6191.42</v>
      </c>
      <c r="P8" s="107">
        <v>5964.67</v>
      </c>
      <c r="Q8" s="107">
        <v>5577.86</v>
      </c>
      <c r="R8" s="107">
        <v>6284.39</v>
      </c>
      <c r="S8" s="107">
        <v>6537.88</v>
      </c>
      <c r="T8" s="107">
        <v>6145.32</v>
      </c>
      <c r="U8" s="107">
        <v>5851.95</v>
      </c>
      <c r="V8" s="107">
        <v>5706.45</v>
      </c>
      <c r="W8" s="107">
        <v>5767.53</v>
      </c>
      <c r="X8" s="107">
        <v>5637.84</v>
      </c>
      <c r="Y8" s="107">
        <v>5917.4</v>
      </c>
      <c r="Z8" s="107">
        <v>5875.1</v>
      </c>
      <c r="AA8" s="107">
        <v>6373.5</v>
      </c>
      <c r="AB8" s="107">
        <v>5975.62</v>
      </c>
      <c r="AC8" s="107">
        <v>6470.62</v>
      </c>
      <c r="AD8" s="107">
        <v>6050.03</v>
      </c>
      <c r="AE8" s="107">
        <v>5954.91</v>
      </c>
      <c r="AF8" s="107">
        <v>6484.13</v>
      </c>
      <c r="AG8" s="107">
        <v>5866.21</v>
      </c>
      <c r="AH8" s="73">
        <v>193300.25999999998</v>
      </c>
    </row>
    <row r="9" spans="1:34" x14ac:dyDescent="0.2">
      <c r="A9" s="139">
        <v>5</v>
      </c>
      <c r="B9" s="139">
        <v>5975.24</v>
      </c>
      <c r="C9" s="107">
        <v>6004.17</v>
      </c>
      <c r="D9" s="107">
        <v>6074.12</v>
      </c>
      <c r="E9" s="107">
        <v>6104.08</v>
      </c>
      <c r="F9" s="107">
        <v>6223.9</v>
      </c>
      <c r="G9" s="107">
        <v>5516.46</v>
      </c>
      <c r="H9" s="107">
        <v>6562.95</v>
      </c>
      <c r="I9" s="107">
        <v>6360.23</v>
      </c>
      <c r="J9" s="107">
        <v>6172.1</v>
      </c>
      <c r="K9" s="107">
        <v>6028.27</v>
      </c>
      <c r="L9" s="107">
        <v>5636.11</v>
      </c>
      <c r="M9" s="107">
        <v>5983.78</v>
      </c>
      <c r="N9" s="107">
        <v>6164.31</v>
      </c>
      <c r="O9" s="107">
        <v>6203.33</v>
      </c>
      <c r="P9" s="107">
        <v>5966.7</v>
      </c>
      <c r="Q9" s="107">
        <v>5582.95</v>
      </c>
      <c r="R9" s="107">
        <v>6284.22</v>
      </c>
      <c r="S9" s="107">
        <v>6535.46</v>
      </c>
      <c r="T9" s="107">
        <v>6147.95</v>
      </c>
      <c r="U9" s="107">
        <v>5846.66</v>
      </c>
      <c r="V9" s="107">
        <v>5706.73</v>
      </c>
      <c r="W9" s="107">
        <v>5775.52</v>
      </c>
      <c r="X9" s="107">
        <v>5649.02</v>
      </c>
      <c r="Y9" s="107">
        <v>5930.29</v>
      </c>
      <c r="Z9" s="107">
        <v>5880.14</v>
      </c>
      <c r="AA9" s="107">
        <v>6378.39</v>
      </c>
      <c r="AB9" s="107">
        <v>5982.23</v>
      </c>
      <c r="AC9" s="107">
        <v>6471.16</v>
      </c>
      <c r="AD9" s="107">
        <v>6050.12</v>
      </c>
      <c r="AE9" s="107">
        <v>5955.16</v>
      </c>
      <c r="AF9" s="107">
        <v>6477.47</v>
      </c>
      <c r="AG9" s="107">
        <v>5848.84</v>
      </c>
      <c r="AH9" s="73">
        <v>193478.06000000003</v>
      </c>
    </row>
    <row r="10" spans="1:34" x14ac:dyDescent="0.2">
      <c r="A10" s="139">
        <v>6</v>
      </c>
      <c r="B10" s="139">
        <v>5977.33</v>
      </c>
      <c r="C10" s="107">
        <v>6011.48</v>
      </c>
      <c r="D10" s="107">
        <v>6089.18</v>
      </c>
      <c r="E10" s="107">
        <v>6116.39</v>
      </c>
      <c r="F10" s="107">
        <v>6233.73</v>
      </c>
      <c r="G10" s="107">
        <v>5531.18</v>
      </c>
      <c r="H10" s="107">
        <v>6572.27</v>
      </c>
      <c r="I10" s="107">
        <v>6372.05</v>
      </c>
      <c r="J10" s="107">
        <v>6185.18</v>
      </c>
      <c r="K10" s="107">
        <v>6032.38</v>
      </c>
      <c r="L10" s="107">
        <v>5645.2</v>
      </c>
      <c r="M10" s="107">
        <v>5991.28</v>
      </c>
      <c r="N10" s="107">
        <v>6169.61</v>
      </c>
      <c r="O10" s="107">
        <v>6210.48</v>
      </c>
      <c r="P10" s="107">
        <v>5968.13</v>
      </c>
      <c r="Q10" s="107">
        <v>5587.01</v>
      </c>
      <c r="R10" s="107">
        <v>6283.25</v>
      </c>
      <c r="S10" s="107">
        <v>6533.28</v>
      </c>
      <c r="T10" s="107">
        <v>6149.84</v>
      </c>
      <c r="U10" s="107">
        <v>5841.3</v>
      </c>
      <c r="V10" s="107">
        <v>5710.29</v>
      </c>
      <c r="W10" s="107">
        <v>5780.56</v>
      </c>
      <c r="X10" s="107">
        <v>5659.76</v>
      </c>
      <c r="Y10" s="107">
        <v>5942.96</v>
      </c>
      <c r="Z10" s="107">
        <v>5883.34</v>
      </c>
      <c r="AA10" s="107">
        <v>6382.95</v>
      </c>
      <c r="AB10" s="107">
        <v>5987.9</v>
      </c>
      <c r="AC10" s="107">
        <v>6473.12</v>
      </c>
      <c r="AD10" s="107">
        <v>6049.3</v>
      </c>
      <c r="AE10" s="107">
        <v>5954.68</v>
      </c>
      <c r="AF10" s="107">
        <v>6473.47</v>
      </c>
      <c r="AG10" s="107">
        <v>5835.58</v>
      </c>
      <c r="AH10" s="73">
        <v>193634.45999999996</v>
      </c>
    </row>
    <row r="11" spans="1:34" x14ac:dyDescent="0.2">
      <c r="A11" s="139">
        <v>7</v>
      </c>
      <c r="B11" s="139">
        <v>5982.79</v>
      </c>
      <c r="C11" s="107">
        <v>6016.59</v>
      </c>
      <c r="D11" s="107">
        <v>6102.64</v>
      </c>
      <c r="E11" s="107">
        <v>6129.74</v>
      </c>
      <c r="F11" s="107">
        <v>6244.37</v>
      </c>
      <c r="G11" s="107">
        <v>5543.42</v>
      </c>
      <c r="H11" s="107">
        <v>6584.45</v>
      </c>
      <c r="I11" s="107">
        <v>6386.42</v>
      </c>
      <c r="J11" s="107">
        <v>6198.99</v>
      </c>
      <c r="K11" s="107">
        <v>6037.92</v>
      </c>
      <c r="L11" s="107">
        <v>5654.46</v>
      </c>
      <c r="M11" s="107">
        <v>5996.52</v>
      </c>
      <c r="N11" s="107">
        <v>6174.66</v>
      </c>
      <c r="O11" s="107">
        <v>6218.1</v>
      </c>
      <c r="P11" s="107">
        <v>5969.95</v>
      </c>
      <c r="Q11" s="107">
        <v>5588.47</v>
      </c>
      <c r="R11" s="107">
        <v>6280.89</v>
      </c>
      <c r="S11" s="107">
        <v>6530.86</v>
      </c>
      <c r="T11" s="107">
        <v>6150.3</v>
      </c>
      <c r="U11" s="107">
        <v>5837.59</v>
      </c>
      <c r="V11" s="107">
        <v>5714.81</v>
      </c>
      <c r="W11" s="107">
        <v>5785.24</v>
      </c>
      <c r="X11" s="107">
        <v>5665</v>
      </c>
      <c r="Y11" s="107">
        <v>5951.21</v>
      </c>
      <c r="Z11" s="107">
        <v>5887.44</v>
      </c>
      <c r="AA11" s="107">
        <v>6386.2</v>
      </c>
      <c r="AB11" s="107">
        <v>5990.23</v>
      </c>
      <c r="AC11" s="107">
        <v>6471.97</v>
      </c>
      <c r="AD11" s="107">
        <v>6048.77</v>
      </c>
      <c r="AE11" s="107">
        <v>5954.01</v>
      </c>
      <c r="AF11" s="107">
        <v>6469.25</v>
      </c>
      <c r="AG11" s="107">
        <v>5822.98</v>
      </c>
      <c r="AH11" s="73">
        <v>193776.24000000002</v>
      </c>
    </row>
    <row r="12" spans="1:34" x14ac:dyDescent="0.2">
      <c r="A12" s="139">
        <v>8</v>
      </c>
      <c r="B12" s="139">
        <v>5989.77</v>
      </c>
      <c r="C12" s="107">
        <v>6023.18</v>
      </c>
      <c r="D12" s="107">
        <v>6117.28</v>
      </c>
      <c r="E12" s="107">
        <v>6143.77</v>
      </c>
      <c r="F12" s="107">
        <v>6254.3</v>
      </c>
      <c r="G12" s="107">
        <v>5557.69</v>
      </c>
      <c r="H12" s="107">
        <v>6597.08</v>
      </c>
      <c r="I12" s="107">
        <v>6401.75</v>
      </c>
      <c r="J12" s="107">
        <v>6211.82</v>
      </c>
      <c r="K12" s="107">
        <v>6043.02</v>
      </c>
      <c r="L12" s="107">
        <v>5662.64</v>
      </c>
      <c r="M12" s="107">
        <v>6001.66</v>
      </c>
      <c r="N12" s="107">
        <v>6177.7</v>
      </c>
      <c r="O12" s="107">
        <v>6225.13</v>
      </c>
      <c r="P12" s="107">
        <v>5970.13</v>
      </c>
      <c r="Q12" s="107">
        <v>5590.02</v>
      </c>
      <c r="R12" s="107">
        <v>6278.43</v>
      </c>
      <c r="S12" s="107">
        <v>6528.55</v>
      </c>
      <c r="T12" s="107">
        <v>6151.73</v>
      </c>
      <c r="U12" s="107">
        <v>5833.7</v>
      </c>
      <c r="V12" s="107">
        <v>5719.86</v>
      </c>
      <c r="W12" s="107">
        <v>5787.72</v>
      </c>
      <c r="X12" s="107">
        <v>5667.97</v>
      </c>
      <c r="Y12" s="107">
        <v>5959.97</v>
      </c>
      <c r="Z12" s="107">
        <v>5892.74</v>
      </c>
      <c r="AA12" s="107">
        <v>6391.66</v>
      </c>
      <c r="AB12" s="107">
        <v>5990.11</v>
      </c>
      <c r="AC12" s="107">
        <v>6467.32</v>
      </c>
      <c r="AD12" s="107">
        <v>6048.95</v>
      </c>
      <c r="AE12" s="107">
        <v>5953.14</v>
      </c>
      <c r="AF12" s="107">
        <v>6464.84</v>
      </c>
      <c r="AG12" s="107">
        <v>5810.02</v>
      </c>
      <c r="AH12" s="73">
        <v>193913.65000000002</v>
      </c>
    </row>
    <row r="13" spans="1:34" x14ac:dyDescent="0.2">
      <c r="A13" s="139">
        <v>9</v>
      </c>
      <c r="B13" s="139">
        <v>5996.61</v>
      </c>
      <c r="C13" s="107">
        <v>6028.77</v>
      </c>
      <c r="D13" s="107">
        <v>6128.09</v>
      </c>
      <c r="E13" s="107">
        <v>6157.54</v>
      </c>
      <c r="F13" s="107">
        <v>6266.95</v>
      </c>
      <c r="G13" s="107">
        <v>5568.08</v>
      </c>
      <c r="H13" s="107">
        <v>6609.11</v>
      </c>
      <c r="I13" s="107">
        <v>6418.16</v>
      </c>
      <c r="J13" s="107">
        <v>6223.5</v>
      </c>
      <c r="K13" s="107">
        <v>6049.79</v>
      </c>
      <c r="L13" s="107">
        <v>5667.77</v>
      </c>
      <c r="M13" s="107">
        <v>6005.45</v>
      </c>
      <c r="N13" s="107">
        <v>6180.94</v>
      </c>
      <c r="O13" s="107">
        <v>6229.41</v>
      </c>
      <c r="P13" s="107">
        <v>5970.55</v>
      </c>
      <c r="Q13" s="107">
        <v>5590.68</v>
      </c>
      <c r="R13" s="107">
        <v>6277.26</v>
      </c>
      <c r="S13" s="107">
        <v>6526.2</v>
      </c>
      <c r="T13" s="107">
        <v>6153.41</v>
      </c>
      <c r="U13" s="107">
        <v>5828.7</v>
      </c>
      <c r="V13" s="107">
        <v>5726.33</v>
      </c>
      <c r="W13" s="107">
        <v>5790.28</v>
      </c>
      <c r="X13" s="107">
        <v>5671.68</v>
      </c>
      <c r="Y13" s="107">
        <v>5965.2</v>
      </c>
      <c r="Z13" s="107">
        <v>5896.88</v>
      </c>
      <c r="AA13" s="107">
        <v>6396.39</v>
      </c>
      <c r="AB13" s="107">
        <v>5991.73</v>
      </c>
      <c r="AC13" s="107">
        <v>6463.07</v>
      </c>
      <c r="AD13" s="107">
        <v>6048.79</v>
      </c>
      <c r="AE13" s="107">
        <v>5952.46</v>
      </c>
      <c r="AF13" s="107">
        <v>6460.16</v>
      </c>
      <c r="AG13" s="107">
        <v>5797.18</v>
      </c>
      <c r="AH13" s="73">
        <v>194037.12000000002</v>
      </c>
    </row>
    <row r="14" spans="1:34" x14ac:dyDescent="0.2">
      <c r="A14" s="139">
        <v>10</v>
      </c>
      <c r="B14" s="139">
        <v>6000.1</v>
      </c>
      <c r="C14" s="107">
        <v>6033.87</v>
      </c>
      <c r="D14" s="107">
        <v>6141.14</v>
      </c>
      <c r="E14" s="107">
        <v>6170.82</v>
      </c>
      <c r="F14" s="107">
        <v>6280.56</v>
      </c>
      <c r="G14" s="107">
        <v>5578.93</v>
      </c>
      <c r="H14" s="107">
        <v>6620.89</v>
      </c>
      <c r="I14" s="107">
        <v>6428.82</v>
      </c>
      <c r="J14" s="107">
        <v>6235.01</v>
      </c>
      <c r="K14" s="107">
        <v>6056.14</v>
      </c>
      <c r="L14" s="107">
        <v>5673.84</v>
      </c>
      <c r="M14" s="107">
        <v>6008</v>
      </c>
      <c r="N14" s="107">
        <v>6184.54</v>
      </c>
      <c r="O14" s="107">
        <v>6233.15</v>
      </c>
      <c r="P14" s="107">
        <v>5972.55</v>
      </c>
      <c r="Q14" s="107">
        <v>5592.5</v>
      </c>
      <c r="R14" s="107">
        <v>6275.08</v>
      </c>
      <c r="S14" s="107">
        <v>6522.79</v>
      </c>
      <c r="T14" s="107">
        <v>6153.65</v>
      </c>
      <c r="U14" s="107">
        <v>5824.63</v>
      </c>
      <c r="V14" s="107">
        <v>5733.2</v>
      </c>
      <c r="W14" s="107">
        <v>5791.25</v>
      </c>
      <c r="X14" s="107">
        <v>5675.49</v>
      </c>
      <c r="Y14" s="107">
        <v>5970.8</v>
      </c>
      <c r="Z14" s="107">
        <v>5899</v>
      </c>
      <c r="AA14" s="107">
        <v>6398.8</v>
      </c>
      <c r="AB14" s="107">
        <v>5994.71</v>
      </c>
      <c r="AC14" s="107">
        <v>6459.78</v>
      </c>
      <c r="AD14" s="107">
        <v>6048.75</v>
      </c>
      <c r="AE14" s="107">
        <v>5952.52</v>
      </c>
      <c r="AF14" s="107">
        <v>6455.77</v>
      </c>
      <c r="AG14" s="107">
        <v>5784.81</v>
      </c>
      <c r="AH14" s="73">
        <v>194151.8899999999</v>
      </c>
    </row>
    <row r="15" spans="1:34" x14ac:dyDescent="0.2">
      <c r="A15" s="139">
        <v>11</v>
      </c>
      <c r="B15" s="139">
        <v>6004.01</v>
      </c>
      <c r="C15" s="107">
        <v>6039.03</v>
      </c>
      <c r="D15" s="107">
        <v>6154.72</v>
      </c>
      <c r="E15" s="107">
        <v>6178.46</v>
      </c>
      <c r="F15" s="107">
        <v>6288.96</v>
      </c>
      <c r="G15" s="107">
        <v>5586.36</v>
      </c>
      <c r="H15" s="107">
        <v>6631.79</v>
      </c>
      <c r="I15" s="107">
        <v>6440.49</v>
      </c>
      <c r="J15" s="107">
        <v>6241.91</v>
      </c>
      <c r="K15" s="107">
        <v>6060.56</v>
      </c>
      <c r="L15" s="107">
        <v>5680.79</v>
      </c>
      <c r="M15" s="107">
        <v>6008.06</v>
      </c>
      <c r="N15" s="107">
        <v>6187.91</v>
      </c>
      <c r="O15" s="107">
        <v>6234.96</v>
      </c>
      <c r="P15" s="107">
        <v>5975.96</v>
      </c>
      <c r="Q15" s="107">
        <v>5594.6</v>
      </c>
      <c r="R15" s="107">
        <v>6273.35</v>
      </c>
      <c r="S15" s="107">
        <v>6520.22</v>
      </c>
      <c r="T15" s="107">
        <v>6154.09</v>
      </c>
      <c r="U15" s="107">
        <v>5819.93</v>
      </c>
      <c r="V15" s="107">
        <v>5738.63</v>
      </c>
      <c r="W15" s="107">
        <v>5790.86</v>
      </c>
      <c r="X15" s="107">
        <v>5677.79</v>
      </c>
      <c r="Y15" s="107">
        <v>5974.18</v>
      </c>
      <c r="Z15" s="107">
        <v>5901.66</v>
      </c>
      <c r="AA15" s="107">
        <v>6398.86</v>
      </c>
      <c r="AB15" s="107">
        <v>5995.26</v>
      </c>
      <c r="AC15" s="107">
        <v>6456.8</v>
      </c>
      <c r="AD15" s="107">
        <v>6048.76</v>
      </c>
      <c r="AE15" s="107">
        <v>5952.1</v>
      </c>
      <c r="AF15" s="107">
        <v>6450.99</v>
      </c>
      <c r="AG15" s="107">
        <v>5772.32</v>
      </c>
      <c r="AH15" s="73">
        <v>194234.37</v>
      </c>
    </row>
    <row r="16" spans="1:34" x14ac:dyDescent="0.2">
      <c r="A16" s="139">
        <v>12</v>
      </c>
      <c r="B16" s="139">
        <v>6006.29</v>
      </c>
      <c r="C16" s="107">
        <v>6042.89</v>
      </c>
      <c r="D16" s="107">
        <v>6161.95</v>
      </c>
      <c r="E16" s="107">
        <v>6188.83</v>
      </c>
      <c r="F16" s="107">
        <v>6295.55</v>
      </c>
      <c r="G16" s="107">
        <v>5596.3</v>
      </c>
      <c r="H16" s="107">
        <v>6642.44</v>
      </c>
      <c r="I16" s="107">
        <v>6448.49</v>
      </c>
      <c r="J16" s="107">
        <v>6248.18</v>
      </c>
      <c r="K16" s="107">
        <v>6064.49</v>
      </c>
      <c r="L16" s="107">
        <v>5684.95</v>
      </c>
      <c r="M16" s="107">
        <v>6009.04</v>
      </c>
      <c r="N16" s="107">
        <v>6190.8</v>
      </c>
      <c r="O16" s="107">
        <v>6235.92</v>
      </c>
      <c r="P16" s="107">
        <v>5975.57</v>
      </c>
      <c r="Q16" s="107">
        <v>5594.54</v>
      </c>
      <c r="R16" s="107">
        <v>6273.29</v>
      </c>
      <c r="S16" s="107">
        <v>6517.11</v>
      </c>
      <c r="T16" s="107">
        <v>6153.8</v>
      </c>
      <c r="U16" s="107">
        <v>5817.06</v>
      </c>
      <c r="V16" s="107">
        <v>5744.58</v>
      </c>
      <c r="W16" s="107">
        <v>5790.58</v>
      </c>
      <c r="X16" s="107">
        <v>5677.71</v>
      </c>
      <c r="Y16" s="107">
        <v>5976.58</v>
      </c>
      <c r="Z16" s="107">
        <v>5904.22</v>
      </c>
      <c r="AA16" s="107">
        <v>6398.76</v>
      </c>
      <c r="AB16" s="107">
        <v>5994.66</v>
      </c>
      <c r="AC16" s="107">
        <v>6454.76</v>
      </c>
      <c r="AD16" s="107">
        <v>6048.42</v>
      </c>
      <c r="AE16" s="107">
        <v>5950.5</v>
      </c>
      <c r="AF16" s="107">
        <v>6446.02</v>
      </c>
      <c r="AG16" s="107">
        <v>5764.51</v>
      </c>
      <c r="AH16" s="73">
        <v>194298.79</v>
      </c>
    </row>
    <row r="17" spans="1:34" x14ac:dyDescent="0.2">
      <c r="A17" s="139">
        <v>13</v>
      </c>
      <c r="B17" s="139">
        <v>6008.39</v>
      </c>
      <c r="C17" s="107">
        <v>6047.75</v>
      </c>
      <c r="D17" s="107">
        <v>6170.77</v>
      </c>
      <c r="E17" s="107">
        <v>6200.95</v>
      </c>
      <c r="F17" s="107">
        <v>6302.48</v>
      </c>
      <c r="G17" s="107">
        <v>5607.19</v>
      </c>
      <c r="H17" s="107">
        <v>6649.28</v>
      </c>
      <c r="I17" s="107">
        <v>6453.79</v>
      </c>
      <c r="J17" s="107">
        <v>6255.01</v>
      </c>
      <c r="K17" s="107">
        <v>6067.61</v>
      </c>
      <c r="L17" s="107">
        <v>5689.5</v>
      </c>
      <c r="M17" s="107">
        <v>6009.13</v>
      </c>
      <c r="N17" s="107">
        <v>6195.9</v>
      </c>
      <c r="O17" s="107">
        <v>6237.12</v>
      </c>
      <c r="P17" s="107">
        <v>5975.19</v>
      </c>
      <c r="Q17" s="107">
        <v>5594.71</v>
      </c>
      <c r="R17" s="107">
        <v>6272.81</v>
      </c>
      <c r="S17" s="107">
        <v>6514.99</v>
      </c>
      <c r="T17" s="107">
        <v>6153.64</v>
      </c>
      <c r="U17" s="107">
        <v>5815.87</v>
      </c>
      <c r="V17" s="107">
        <v>5748.85</v>
      </c>
      <c r="W17" s="107">
        <v>5792.82</v>
      </c>
      <c r="X17" s="107">
        <v>5678.91</v>
      </c>
      <c r="Y17" s="107">
        <v>5979.76</v>
      </c>
      <c r="Z17" s="107">
        <v>5905.14</v>
      </c>
      <c r="AA17" s="107">
        <v>6397.58</v>
      </c>
      <c r="AB17" s="107">
        <v>5994.15</v>
      </c>
      <c r="AC17" s="107">
        <v>6452.76</v>
      </c>
      <c r="AD17" s="107">
        <v>6047.37</v>
      </c>
      <c r="AE17" s="107">
        <v>5949.8</v>
      </c>
      <c r="AF17" s="107">
        <v>6440.46</v>
      </c>
      <c r="AG17" s="107">
        <v>5755.07</v>
      </c>
      <c r="AH17" s="73">
        <v>194364.75</v>
      </c>
    </row>
    <row r="18" spans="1:34" x14ac:dyDescent="0.2">
      <c r="A18" s="139">
        <v>14</v>
      </c>
      <c r="B18" s="139">
        <v>6010.68</v>
      </c>
      <c r="C18" s="107">
        <v>6052.17</v>
      </c>
      <c r="D18" s="107">
        <v>6176.5</v>
      </c>
      <c r="E18" s="107">
        <v>6212.18</v>
      </c>
      <c r="F18" s="107">
        <v>6306.46</v>
      </c>
      <c r="G18" s="107">
        <v>5614.45</v>
      </c>
      <c r="H18" s="107">
        <v>6657.71</v>
      </c>
      <c r="I18" s="107">
        <v>6457.63</v>
      </c>
      <c r="J18" s="107">
        <v>6261.93</v>
      </c>
      <c r="K18" s="107">
        <v>6068.39</v>
      </c>
      <c r="L18" s="107">
        <v>5693.87</v>
      </c>
      <c r="M18" s="107">
        <v>6011.47</v>
      </c>
      <c r="N18" s="107">
        <v>6197.66</v>
      </c>
      <c r="O18" s="107">
        <v>6237.18</v>
      </c>
      <c r="P18" s="107">
        <v>5974.3</v>
      </c>
      <c r="Q18" s="107">
        <v>5594</v>
      </c>
      <c r="R18" s="107">
        <v>6272.04</v>
      </c>
      <c r="S18" s="107">
        <v>6512.9</v>
      </c>
      <c r="T18" s="107">
        <v>6155.28</v>
      </c>
      <c r="U18" s="107">
        <v>5814.75</v>
      </c>
      <c r="V18" s="107">
        <v>5753.78</v>
      </c>
      <c r="W18" s="107">
        <v>5792.52</v>
      </c>
      <c r="X18" s="107">
        <v>5679.34</v>
      </c>
      <c r="Y18" s="107">
        <v>5983.74</v>
      </c>
      <c r="Z18" s="107">
        <v>5906.94</v>
      </c>
      <c r="AA18" s="107">
        <v>6396.45</v>
      </c>
      <c r="AB18" s="107">
        <v>5994.05</v>
      </c>
      <c r="AC18" s="107">
        <v>6450.99</v>
      </c>
      <c r="AD18" s="107">
        <v>6045.21</v>
      </c>
      <c r="AE18" s="107">
        <v>5948.7</v>
      </c>
      <c r="AF18" s="107">
        <v>6437.02</v>
      </c>
      <c r="AG18" s="107">
        <v>5748.4</v>
      </c>
      <c r="AH18" s="73">
        <v>194418.68999999994</v>
      </c>
    </row>
    <row r="19" spans="1:34" x14ac:dyDescent="0.2">
      <c r="A19" s="139">
        <v>15</v>
      </c>
      <c r="B19" s="139">
        <v>6012.81</v>
      </c>
      <c r="C19" s="107">
        <v>6055.4</v>
      </c>
      <c r="D19" s="107">
        <v>6185.06</v>
      </c>
      <c r="E19" s="107">
        <v>6219.02</v>
      </c>
      <c r="F19" s="107">
        <v>6311.64</v>
      </c>
      <c r="G19" s="107">
        <v>5617.51</v>
      </c>
      <c r="H19" s="107">
        <v>6663.63</v>
      </c>
      <c r="I19" s="107">
        <v>6459.77</v>
      </c>
      <c r="J19" s="107">
        <v>6262.16</v>
      </c>
      <c r="K19" s="107">
        <v>6067.03</v>
      </c>
      <c r="L19" s="107">
        <v>5696.21</v>
      </c>
      <c r="M19" s="107">
        <v>6013.34</v>
      </c>
      <c r="N19" s="107">
        <v>6199.8</v>
      </c>
      <c r="O19" s="107">
        <v>6239.44</v>
      </c>
      <c r="P19" s="107">
        <v>5974.31</v>
      </c>
      <c r="Q19" s="107">
        <v>5594.15</v>
      </c>
      <c r="R19" s="107">
        <v>6271.92</v>
      </c>
      <c r="S19" s="107">
        <v>6512.86</v>
      </c>
      <c r="T19" s="107">
        <v>6157.85</v>
      </c>
      <c r="U19" s="107">
        <v>5816.44</v>
      </c>
      <c r="V19" s="107">
        <v>5759.07</v>
      </c>
      <c r="W19" s="107">
        <v>5792.27</v>
      </c>
      <c r="X19" s="107">
        <v>5681.49</v>
      </c>
      <c r="Y19" s="107">
        <v>5983.95</v>
      </c>
      <c r="Z19" s="107">
        <v>5906.8</v>
      </c>
      <c r="AA19" s="107">
        <v>6395.7</v>
      </c>
      <c r="AB19" s="107">
        <v>5993.1</v>
      </c>
      <c r="AC19" s="107">
        <v>6448.7</v>
      </c>
      <c r="AD19" s="107">
        <v>6041.89</v>
      </c>
      <c r="AE19" s="107">
        <v>5947.85</v>
      </c>
      <c r="AF19" s="107">
        <v>6435.11</v>
      </c>
      <c r="AG19" s="107">
        <v>5740.1</v>
      </c>
      <c r="AH19" s="73">
        <v>194456.38000000003</v>
      </c>
    </row>
    <row r="20" spans="1:34" x14ac:dyDescent="0.2">
      <c r="A20" s="139">
        <v>16</v>
      </c>
      <c r="B20" s="139">
        <v>6014.56</v>
      </c>
      <c r="C20" s="107">
        <v>6057.16</v>
      </c>
      <c r="D20" s="107">
        <v>6190.97</v>
      </c>
      <c r="E20" s="107">
        <v>6223.09</v>
      </c>
      <c r="F20" s="107">
        <v>6316.74</v>
      </c>
      <c r="G20" s="107">
        <v>5621.04</v>
      </c>
      <c r="H20" s="107">
        <v>6667.77</v>
      </c>
      <c r="I20" s="107">
        <v>6461.85</v>
      </c>
      <c r="J20" s="107">
        <v>6263.44</v>
      </c>
      <c r="K20" s="107">
        <v>6063.8</v>
      </c>
      <c r="L20" s="107">
        <v>5699.77</v>
      </c>
      <c r="M20" s="107">
        <v>6017.81</v>
      </c>
      <c r="N20" s="107">
        <v>6205.01</v>
      </c>
      <c r="O20" s="107">
        <v>6242.58</v>
      </c>
      <c r="P20" s="107">
        <v>5978.06</v>
      </c>
      <c r="Q20" s="107">
        <v>5597.88</v>
      </c>
      <c r="R20" s="107">
        <v>6274.78</v>
      </c>
      <c r="S20" s="107">
        <v>6514.79</v>
      </c>
      <c r="T20" s="107">
        <v>6162.32</v>
      </c>
      <c r="U20" s="107">
        <v>5821.1</v>
      </c>
      <c r="V20" s="107">
        <v>5764.86</v>
      </c>
      <c r="W20" s="107">
        <v>5794.1</v>
      </c>
      <c r="X20" s="107">
        <v>5683.31</v>
      </c>
      <c r="Y20" s="107">
        <v>5986.01</v>
      </c>
      <c r="Z20" s="107">
        <v>5906.12</v>
      </c>
      <c r="AA20" s="107">
        <v>6394.38</v>
      </c>
      <c r="AB20" s="107">
        <v>5991.77</v>
      </c>
      <c r="AC20" s="107">
        <v>6446.76</v>
      </c>
      <c r="AD20" s="107">
        <v>6039.6</v>
      </c>
      <c r="AE20" s="107">
        <v>5945.47</v>
      </c>
      <c r="AF20" s="107">
        <v>6432.97</v>
      </c>
      <c r="AG20" s="107">
        <v>5734.77</v>
      </c>
      <c r="AH20" s="73">
        <v>194514.63999999998</v>
      </c>
    </row>
    <row r="21" spans="1:34" x14ac:dyDescent="0.2">
      <c r="A21" s="139">
        <v>17</v>
      </c>
      <c r="B21" s="139">
        <v>6015.35</v>
      </c>
      <c r="C21" s="107">
        <v>6057.01</v>
      </c>
      <c r="D21" s="107">
        <v>6197.68</v>
      </c>
      <c r="E21" s="107">
        <v>6229.12</v>
      </c>
      <c r="F21" s="107">
        <v>6319.78</v>
      </c>
      <c r="G21" s="107">
        <v>5622.23</v>
      </c>
      <c r="H21" s="107">
        <v>6673.58</v>
      </c>
      <c r="I21" s="107">
        <v>6463.9</v>
      </c>
      <c r="J21" s="107">
        <v>6263.73</v>
      </c>
      <c r="K21" s="107">
        <v>6061.37</v>
      </c>
      <c r="L21" s="107">
        <v>5707.11</v>
      </c>
      <c r="M21" s="107">
        <v>6026.39</v>
      </c>
      <c r="N21" s="107">
        <v>6212.52</v>
      </c>
      <c r="O21" s="107">
        <v>6248.15</v>
      </c>
      <c r="P21" s="107">
        <v>5986.25</v>
      </c>
      <c r="Q21" s="107">
        <v>5604.79</v>
      </c>
      <c r="R21" s="107">
        <v>6281.32</v>
      </c>
      <c r="S21" s="107">
        <v>6520.26</v>
      </c>
      <c r="T21" s="107">
        <v>6171.76</v>
      </c>
      <c r="U21" s="107">
        <v>5829.56</v>
      </c>
      <c r="V21" s="107">
        <v>5772.42</v>
      </c>
      <c r="W21" s="107">
        <v>5796.18</v>
      </c>
      <c r="X21" s="107">
        <v>5683.3</v>
      </c>
      <c r="Y21" s="107">
        <v>5987.1</v>
      </c>
      <c r="Z21" s="107">
        <v>5905.85</v>
      </c>
      <c r="AA21" s="107">
        <v>6393.95</v>
      </c>
      <c r="AB21" s="107">
        <v>5991.4</v>
      </c>
      <c r="AC21" s="107">
        <v>6445.37</v>
      </c>
      <c r="AD21" s="107">
        <v>6038.17</v>
      </c>
      <c r="AE21" s="107">
        <v>5943.34</v>
      </c>
      <c r="AF21" s="107">
        <v>6431.03</v>
      </c>
      <c r="AG21" s="107">
        <v>5729.27</v>
      </c>
      <c r="AH21" s="73">
        <v>194609.24</v>
      </c>
    </row>
    <row r="22" spans="1:34" x14ac:dyDescent="0.2">
      <c r="A22" s="139">
        <v>18</v>
      </c>
      <c r="B22" s="139">
        <v>6018.96</v>
      </c>
      <c r="C22" s="107">
        <v>6056.48</v>
      </c>
      <c r="D22" s="107">
        <v>6206.15</v>
      </c>
      <c r="E22" s="107">
        <v>6235.95</v>
      </c>
      <c r="F22" s="107">
        <v>6325.43</v>
      </c>
      <c r="G22" s="107">
        <v>5625.77</v>
      </c>
      <c r="H22" s="107">
        <v>6677.4</v>
      </c>
      <c r="I22" s="107">
        <v>6465.07</v>
      </c>
      <c r="J22" s="107">
        <v>6265.09</v>
      </c>
      <c r="K22" s="107">
        <v>6061.54</v>
      </c>
      <c r="L22" s="107">
        <v>5718.37</v>
      </c>
      <c r="M22" s="107">
        <v>6037.08</v>
      </c>
      <c r="N22" s="107">
        <v>6222.9</v>
      </c>
      <c r="O22" s="107">
        <v>6256.83</v>
      </c>
      <c r="P22" s="107">
        <v>5997.52</v>
      </c>
      <c r="Q22" s="107">
        <v>5612.82</v>
      </c>
      <c r="R22" s="107">
        <v>6290.88</v>
      </c>
      <c r="S22" s="107">
        <v>6530.51</v>
      </c>
      <c r="T22" s="107">
        <v>6185.88</v>
      </c>
      <c r="U22" s="107">
        <v>5838.95</v>
      </c>
      <c r="V22" s="107">
        <v>5781.31</v>
      </c>
      <c r="W22" s="107">
        <v>5798.76</v>
      </c>
      <c r="X22" s="107">
        <v>5681.92</v>
      </c>
      <c r="Y22" s="107">
        <v>5988.74</v>
      </c>
      <c r="Z22" s="107">
        <v>5907.47</v>
      </c>
      <c r="AA22" s="107">
        <v>6393.92</v>
      </c>
      <c r="AB22" s="107">
        <v>5990.79</v>
      </c>
      <c r="AC22" s="107">
        <v>6445.26</v>
      </c>
      <c r="AD22" s="107">
        <v>6039.31</v>
      </c>
      <c r="AE22" s="107">
        <v>5944.9</v>
      </c>
      <c r="AF22" s="107">
        <v>6430.75</v>
      </c>
      <c r="AG22" s="107">
        <v>5725.86</v>
      </c>
      <c r="AH22" s="73">
        <v>194758.57000000004</v>
      </c>
    </row>
    <row r="23" spans="1:34" x14ac:dyDescent="0.2">
      <c r="A23" s="139">
        <v>19</v>
      </c>
      <c r="B23" s="139">
        <v>6026.9</v>
      </c>
      <c r="C23" s="107">
        <v>6061.65</v>
      </c>
      <c r="D23" s="107">
        <v>6217.47</v>
      </c>
      <c r="E23" s="107">
        <v>6244.63</v>
      </c>
      <c r="F23" s="107">
        <v>6335.14</v>
      </c>
      <c r="G23" s="107">
        <v>5634.53</v>
      </c>
      <c r="H23" s="107">
        <v>6684.38</v>
      </c>
      <c r="I23" s="107">
        <v>6467.42</v>
      </c>
      <c r="J23" s="107">
        <v>6270.78</v>
      </c>
      <c r="K23" s="107">
        <v>6066.11</v>
      </c>
      <c r="L23" s="107">
        <v>5733.17</v>
      </c>
      <c r="M23" s="107">
        <v>6050.29</v>
      </c>
      <c r="N23" s="107">
        <v>6236.7</v>
      </c>
      <c r="O23" s="107">
        <v>6269.07</v>
      </c>
      <c r="P23" s="107">
        <v>6009.41</v>
      </c>
      <c r="Q23" s="107">
        <v>5623.09</v>
      </c>
      <c r="R23" s="107">
        <v>6303.31</v>
      </c>
      <c r="S23" s="107">
        <v>6542.77</v>
      </c>
      <c r="T23" s="107">
        <v>6199.84</v>
      </c>
      <c r="U23" s="107">
        <v>5849.35</v>
      </c>
      <c r="V23" s="107">
        <v>5791.02</v>
      </c>
      <c r="W23" s="107">
        <v>5802.66</v>
      </c>
      <c r="X23" s="107">
        <v>5686.73</v>
      </c>
      <c r="Y23" s="107">
        <v>5995.33</v>
      </c>
      <c r="Z23" s="107">
        <v>5912.84</v>
      </c>
      <c r="AA23" s="107">
        <v>6399.27</v>
      </c>
      <c r="AB23" s="107">
        <v>5994.61</v>
      </c>
      <c r="AC23" s="107">
        <v>6451.12</v>
      </c>
      <c r="AD23" s="107">
        <v>6044.19</v>
      </c>
      <c r="AE23" s="107">
        <v>5950.29</v>
      </c>
      <c r="AF23" s="107">
        <v>6434.42</v>
      </c>
      <c r="AG23" s="107">
        <v>5726.63</v>
      </c>
      <c r="AH23" s="73">
        <v>195015.12</v>
      </c>
    </row>
    <row r="24" spans="1:34" x14ac:dyDescent="0.2">
      <c r="A24" s="139">
        <v>20</v>
      </c>
      <c r="B24" s="139">
        <v>6044.4</v>
      </c>
      <c r="C24" s="107">
        <v>6076.86</v>
      </c>
      <c r="D24" s="107">
        <v>6238.44</v>
      </c>
      <c r="E24" s="107">
        <v>6263.74</v>
      </c>
      <c r="F24" s="107">
        <v>6350.63</v>
      </c>
      <c r="G24" s="107">
        <v>5650.78</v>
      </c>
      <c r="H24" s="107">
        <v>6700.53</v>
      </c>
      <c r="I24" s="107">
        <v>6479.38</v>
      </c>
      <c r="J24" s="107">
        <v>6284.04</v>
      </c>
      <c r="K24" s="107">
        <v>6076.29</v>
      </c>
      <c r="L24" s="107">
        <v>5748.97</v>
      </c>
      <c r="M24" s="107">
        <v>6065.67</v>
      </c>
      <c r="N24" s="107">
        <v>6252.67</v>
      </c>
      <c r="O24" s="107">
        <v>6282.7</v>
      </c>
      <c r="P24" s="107">
        <v>6021.59</v>
      </c>
      <c r="Q24" s="107">
        <v>5636.32</v>
      </c>
      <c r="R24" s="107">
        <v>6317.56</v>
      </c>
      <c r="S24" s="107">
        <v>6554.58</v>
      </c>
      <c r="T24" s="107">
        <v>6213.18</v>
      </c>
      <c r="U24" s="107">
        <v>5859.9</v>
      </c>
      <c r="V24" s="107">
        <v>5800.09</v>
      </c>
      <c r="W24" s="107">
        <v>5817.16</v>
      </c>
      <c r="X24" s="107">
        <v>5701.34</v>
      </c>
      <c r="Y24" s="107">
        <v>6008.95</v>
      </c>
      <c r="Z24" s="107">
        <v>5927.27</v>
      </c>
      <c r="AA24" s="107">
        <v>6412.65</v>
      </c>
      <c r="AB24" s="107">
        <v>6007.38</v>
      </c>
      <c r="AC24" s="107">
        <v>6466.16</v>
      </c>
      <c r="AD24" s="107">
        <v>6056.93</v>
      </c>
      <c r="AE24" s="107">
        <v>5964.82</v>
      </c>
      <c r="AF24" s="107">
        <v>6446.55</v>
      </c>
      <c r="AG24" s="107">
        <v>5737.36</v>
      </c>
      <c r="AH24" s="73">
        <v>195464.88999999996</v>
      </c>
    </row>
    <row r="25" spans="1:34" x14ac:dyDescent="0.2">
      <c r="A25" s="139">
        <v>21</v>
      </c>
      <c r="B25" s="139">
        <v>6082.19</v>
      </c>
      <c r="C25" s="107">
        <v>6109.31</v>
      </c>
      <c r="D25" s="107">
        <v>6276.32</v>
      </c>
      <c r="E25" s="107">
        <v>6301.21</v>
      </c>
      <c r="F25" s="107">
        <v>6384.57</v>
      </c>
      <c r="G25" s="107">
        <v>5680.1</v>
      </c>
      <c r="H25" s="107">
        <v>6737.55</v>
      </c>
      <c r="I25" s="107">
        <v>6508.1</v>
      </c>
      <c r="J25" s="107">
        <v>6315.32</v>
      </c>
      <c r="K25" s="107">
        <v>6103.34</v>
      </c>
      <c r="L25" s="107">
        <v>5764.62</v>
      </c>
      <c r="M25" s="107">
        <v>6082.14</v>
      </c>
      <c r="N25" s="107">
        <v>6268.14</v>
      </c>
      <c r="O25" s="107">
        <v>6296.42</v>
      </c>
      <c r="P25" s="107">
        <v>6033.62</v>
      </c>
      <c r="Q25" s="107">
        <v>5649.3</v>
      </c>
      <c r="R25" s="107">
        <v>6331.58</v>
      </c>
      <c r="S25" s="107">
        <v>6561.72</v>
      </c>
      <c r="T25" s="107">
        <v>6225.29</v>
      </c>
      <c r="U25" s="107">
        <v>5869.76</v>
      </c>
      <c r="V25" s="107">
        <v>5805.4</v>
      </c>
      <c r="W25" s="107">
        <v>5846.36</v>
      </c>
      <c r="X25" s="107">
        <v>5733.62</v>
      </c>
      <c r="Y25" s="107">
        <v>6041.17</v>
      </c>
      <c r="Z25" s="107">
        <v>5958.95</v>
      </c>
      <c r="AA25" s="107">
        <v>6443.87</v>
      </c>
      <c r="AB25" s="107">
        <v>6035.11</v>
      </c>
      <c r="AC25" s="107">
        <v>6497.04</v>
      </c>
      <c r="AD25" s="107">
        <v>6085.33</v>
      </c>
      <c r="AE25" s="107">
        <v>5996.36</v>
      </c>
      <c r="AF25" s="107">
        <v>6479.31</v>
      </c>
      <c r="AG25" s="107">
        <v>5765.44</v>
      </c>
      <c r="AH25" s="73">
        <v>196268.55999999994</v>
      </c>
    </row>
    <row r="26" spans="1:34" x14ac:dyDescent="0.2">
      <c r="A26" s="139">
        <v>22</v>
      </c>
      <c r="B26" s="139">
        <v>6157.02</v>
      </c>
      <c r="C26" s="107">
        <v>6176.42</v>
      </c>
      <c r="D26" s="107">
        <v>6347.77</v>
      </c>
      <c r="E26" s="107">
        <v>6369.43</v>
      </c>
      <c r="F26" s="107">
        <v>6458.17</v>
      </c>
      <c r="G26" s="107">
        <v>5745.04</v>
      </c>
      <c r="H26" s="107">
        <v>6811.27</v>
      </c>
      <c r="I26" s="107">
        <v>6572.28</v>
      </c>
      <c r="J26" s="107">
        <v>6379.6</v>
      </c>
      <c r="K26" s="107">
        <v>6167.56</v>
      </c>
      <c r="L26" s="107">
        <v>5774.93</v>
      </c>
      <c r="M26" s="107">
        <v>6099</v>
      </c>
      <c r="N26" s="107">
        <v>6281.77</v>
      </c>
      <c r="O26" s="107">
        <v>6311.27</v>
      </c>
      <c r="P26" s="107">
        <v>6043.83</v>
      </c>
      <c r="Q26" s="107">
        <v>5660.96</v>
      </c>
      <c r="R26" s="107">
        <v>6340.73</v>
      </c>
      <c r="S26" s="107">
        <v>6570.65</v>
      </c>
      <c r="T26" s="107">
        <v>6236.92</v>
      </c>
      <c r="U26" s="107">
        <v>5876.06</v>
      </c>
      <c r="V26" s="107">
        <v>5810.12</v>
      </c>
      <c r="W26" s="107">
        <v>5907.12</v>
      </c>
      <c r="X26" s="107">
        <v>5795.97</v>
      </c>
      <c r="Y26" s="107">
        <v>6103.67</v>
      </c>
      <c r="Z26" s="107">
        <v>6020.07</v>
      </c>
      <c r="AA26" s="107">
        <v>6510.29</v>
      </c>
      <c r="AB26" s="107">
        <v>6094.89</v>
      </c>
      <c r="AC26" s="107">
        <v>6560.12</v>
      </c>
      <c r="AD26" s="107">
        <v>6145.24</v>
      </c>
      <c r="AE26" s="107">
        <v>6058.87</v>
      </c>
      <c r="AF26" s="107">
        <v>6546.73</v>
      </c>
      <c r="AG26" s="107">
        <v>5824.38</v>
      </c>
      <c r="AH26" s="73">
        <v>197758.15000000002</v>
      </c>
    </row>
    <row r="27" spans="1:34" x14ac:dyDescent="0.2">
      <c r="A27" s="139">
        <v>23</v>
      </c>
      <c r="B27" s="139">
        <v>6291.14</v>
      </c>
      <c r="C27" s="107">
        <v>6306.41</v>
      </c>
      <c r="D27" s="107">
        <v>6480.95</v>
      </c>
      <c r="E27" s="107">
        <v>6501.47</v>
      </c>
      <c r="F27" s="107">
        <v>6591.93</v>
      </c>
      <c r="G27" s="107">
        <v>5864.24</v>
      </c>
      <c r="H27" s="107">
        <v>6947.8</v>
      </c>
      <c r="I27" s="107">
        <v>6698.51</v>
      </c>
      <c r="J27" s="107">
        <v>6506.48</v>
      </c>
      <c r="K27" s="107">
        <v>6292.65</v>
      </c>
      <c r="L27" s="107">
        <v>5788.3</v>
      </c>
      <c r="M27" s="107">
        <v>6115.58</v>
      </c>
      <c r="N27" s="107">
        <v>6294.23</v>
      </c>
      <c r="O27" s="107">
        <v>6321.25</v>
      </c>
      <c r="P27" s="107">
        <v>6053.05</v>
      </c>
      <c r="Q27" s="107">
        <v>5671.9</v>
      </c>
      <c r="R27" s="107">
        <v>6352.26</v>
      </c>
      <c r="S27" s="107">
        <v>6579.96</v>
      </c>
      <c r="T27" s="107">
        <v>6244.01</v>
      </c>
      <c r="U27" s="107">
        <v>5883.34</v>
      </c>
      <c r="V27" s="107">
        <v>5812.96</v>
      </c>
      <c r="W27" s="107">
        <v>6024.93</v>
      </c>
      <c r="X27" s="107">
        <v>5912.64</v>
      </c>
      <c r="Y27" s="107">
        <v>6228.65</v>
      </c>
      <c r="Z27" s="107">
        <v>6139.88</v>
      </c>
      <c r="AA27" s="107">
        <v>6640.66</v>
      </c>
      <c r="AB27" s="107">
        <v>6216.83</v>
      </c>
      <c r="AC27" s="107">
        <v>6687.74</v>
      </c>
      <c r="AD27" s="107">
        <v>6263.52</v>
      </c>
      <c r="AE27" s="107">
        <v>6178.5</v>
      </c>
      <c r="AF27" s="107">
        <v>6678.72</v>
      </c>
      <c r="AG27" s="107">
        <v>5947.58</v>
      </c>
      <c r="AH27" s="73">
        <v>200518.06999999995</v>
      </c>
    </row>
    <row r="28" spans="1:34" x14ac:dyDescent="0.2">
      <c r="A28" s="139">
        <v>24</v>
      </c>
      <c r="B28" s="139">
        <v>6527.27</v>
      </c>
      <c r="C28" s="107">
        <v>6539.85</v>
      </c>
      <c r="D28" s="107">
        <v>6719.6</v>
      </c>
      <c r="E28" s="107">
        <v>6742.56</v>
      </c>
      <c r="F28" s="107">
        <v>6826.31</v>
      </c>
      <c r="G28" s="107">
        <v>6077.6</v>
      </c>
      <c r="H28" s="107">
        <v>7187.62</v>
      </c>
      <c r="I28" s="107">
        <v>6924.61</v>
      </c>
      <c r="J28" s="107">
        <v>6732.83</v>
      </c>
      <c r="K28" s="107">
        <v>6516.21</v>
      </c>
      <c r="L28" s="107">
        <v>5797.23</v>
      </c>
      <c r="M28" s="107">
        <v>6125.78</v>
      </c>
      <c r="N28" s="107">
        <v>6306.03</v>
      </c>
      <c r="O28" s="107">
        <v>6328.55</v>
      </c>
      <c r="P28" s="107">
        <v>6058.83</v>
      </c>
      <c r="Q28" s="107">
        <v>5680.41</v>
      </c>
      <c r="R28" s="107">
        <v>6359.45</v>
      </c>
      <c r="S28" s="107">
        <v>6586.33</v>
      </c>
      <c r="T28" s="107">
        <v>6249.26</v>
      </c>
      <c r="U28" s="107">
        <v>5891.02</v>
      </c>
      <c r="V28" s="107">
        <v>5809.57</v>
      </c>
      <c r="W28" s="107">
        <v>6241.93</v>
      </c>
      <c r="X28" s="107">
        <v>6126.39</v>
      </c>
      <c r="Y28" s="107">
        <v>6459.86</v>
      </c>
      <c r="Z28" s="107">
        <v>6360.7</v>
      </c>
      <c r="AA28" s="107">
        <v>6877.93</v>
      </c>
      <c r="AB28" s="107">
        <v>6434.59</v>
      </c>
      <c r="AC28" s="107">
        <v>6923.06</v>
      </c>
      <c r="AD28" s="107">
        <v>6487.83</v>
      </c>
      <c r="AE28" s="107">
        <v>6397.9</v>
      </c>
      <c r="AF28" s="107">
        <v>6929.2</v>
      </c>
      <c r="AG28" s="107">
        <v>6176.95</v>
      </c>
      <c r="AH28" s="73">
        <v>205403.26</v>
      </c>
    </row>
    <row r="29" spans="1:34" x14ac:dyDescent="0.2">
      <c r="A29" s="139">
        <v>25</v>
      </c>
      <c r="B29" s="139">
        <v>6910.93</v>
      </c>
      <c r="C29" s="107">
        <v>6917.38</v>
      </c>
      <c r="D29" s="107">
        <v>7097.27</v>
      </c>
      <c r="E29" s="107">
        <v>7120.3</v>
      </c>
      <c r="F29" s="107">
        <v>7219.93</v>
      </c>
      <c r="G29" s="107">
        <v>6421.61</v>
      </c>
      <c r="H29" s="107">
        <v>7592.88</v>
      </c>
      <c r="I29" s="107">
        <v>7295.78</v>
      </c>
      <c r="J29" s="107">
        <v>7099.99</v>
      </c>
      <c r="K29" s="107">
        <v>6878.89</v>
      </c>
      <c r="L29" s="107">
        <v>5807.09</v>
      </c>
      <c r="M29" s="107">
        <v>6137.75</v>
      </c>
      <c r="N29" s="107">
        <v>6316.83</v>
      </c>
      <c r="O29" s="107">
        <v>6336.71</v>
      </c>
      <c r="P29" s="107">
        <v>6062.62</v>
      </c>
      <c r="Q29" s="107">
        <v>5683.58</v>
      </c>
      <c r="R29" s="107">
        <v>6366.97</v>
      </c>
      <c r="S29" s="107">
        <v>6591.64</v>
      </c>
      <c r="T29" s="107">
        <v>6254.3</v>
      </c>
      <c r="U29" s="107">
        <v>5893</v>
      </c>
      <c r="V29" s="107">
        <v>5805.54</v>
      </c>
      <c r="W29" s="107">
        <v>6617.81</v>
      </c>
      <c r="X29" s="107">
        <v>6493.63</v>
      </c>
      <c r="Y29" s="107">
        <v>6843.68</v>
      </c>
      <c r="Z29" s="107">
        <v>6740.74</v>
      </c>
      <c r="AA29" s="107">
        <v>7287.54</v>
      </c>
      <c r="AB29" s="107">
        <v>6809.59</v>
      </c>
      <c r="AC29" s="107">
        <v>7329.32</v>
      </c>
      <c r="AD29" s="107">
        <v>6874.43</v>
      </c>
      <c r="AE29" s="107">
        <v>6779.95</v>
      </c>
      <c r="AF29" s="107">
        <v>7362.13</v>
      </c>
      <c r="AG29" s="107">
        <v>6559.33</v>
      </c>
      <c r="AH29" s="73">
        <v>213509.14</v>
      </c>
    </row>
    <row r="30" spans="1:34" x14ac:dyDescent="0.2">
      <c r="A30" s="139">
        <v>26</v>
      </c>
      <c r="B30" s="139">
        <v>7469.64</v>
      </c>
      <c r="C30" s="107">
        <v>7467.43</v>
      </c>
      <c r="D30" s="107">
        <v>7647.25</v>
      </c>
      <c r="E30" s="107">
        <v>7663.71</v>
      </c>
      <c r="F30" s="107">
        <v>7780.31</v>
      </c>
      <c r="G30" s="107">
        <v>6919.16</v>
      </c>
      <c r="H30" s="107">
        <v>8170.33</v>
      </c>
      <c r="I30" s="107">
        <v>7841.01</v>
      </c>
      <c r="J30" s="107">
        <v>7631.18</v>
      </c>
      <c r="K30" s="107">
        <v>7398.76</v>
      </c>
      <c r="L30" s="107">
        <v>5817.53</v>
      </c>
      <c r="M30" s="107">
        <v>6152.18</v>
      </c>
      <c r="N30" s="107">
        <v>6327.5</v>
      </c>
      <c r="O30" s="107">
        <v>6345.45</v>
      </c>
      <c r="P30" s="107">
        <v>6069.39</v>
      </c>
      <c r="Q30" s="107">
        <v>5689.2</v>
      </c>
      <c r="R30" s="107">
        <v>6375.76</v>
      </c>
      <c r="S30" s="107">
        <v>6598.61</v>
      </c>
      <c r="T30" s="107">
        <v>6261.17</v>
      </c>
      <c r="U30" s="107">
        <v>5897.25</v>
      </c>
      <c r="V30" s="107">
        <v>5802.73</v>
      </c>
      <c r="W30" s="107">
        <v>7208.05</v>
      </c>
      <c r="X30" s="107">
        <v>7081.67</v>
      </c>
      <c r="Y30" s="107">
        <v>7458.28</v>
      </c>
      <c r="Z30" s="107">
        <v>7332.64</v>
      </c>
      <c r="AA30" s="107">
        <v>7925.07</v>
      </c>
      <c r="AB30" s="107">
        <v>7419.57</v>
      </c>
      <c r="AC30" s="107">
        <v>7966.23</v>
      </c>
      <c r="AD30" s="107">
        <v>7459.26</v>
      </c>
      <c r="AE30" s="107">
        <v>7396.16</v>
      </c>
      <c r="AF30" s="107">
        <v>8021.5</v>
      </c>
      <c r="AG30" s="107">
        <v>7148.4</v>
      </c>
      <c r="AH30" s="73">
        <v>225742.38000000003</v>
      </c>
    </row>
    <row r="31" spans="1:34" x14ac:dyDescent="0.2">
      <c r="A31" s="139">
        <v>27</v>
      </c>
      <c r="B31" s="139">
        <v>8160.08</v>
      </c>
      <c r="C31" s="107">
        <v>8167.4</v>
      </c>
      <c r="D31" s="107">
        <v>8370.9</v>
      </c>
      <c r="E31" s="107">
        <v>8349.7099999999991</v>
      </c>
      <c r="F31" s="107">
        <v>8470.49</v>
      </c>
      <c r="G31" s="107">
        <v>7534.35</v>
      </c>
      <c r="H31" s="107">
        <v>8882.74</v>
      </c>
      <c r="I31" s="107">
        <v>8533.24</v>
      </c>
      <c r="J31" s="107">
        <v>8284.33</v>
      </c>
      <c r="K31" s="107">
        <v>8032.41</v>
      </c>
      <c r="L31" s="107">
        <v>5831.12</v>
      </c>
      <c r="M31" s="107">
        <v>6166.31</v>
      </c>
      <c r="N31" s="107">
        <v>6338.62</v>
      </c>
      <c r="O31" s="107">
        <v>6355.69</v>
      </c>
      <c r="P31" s="107">
        <v>6078.28</v>
      </c>
      <c r="Q31" s="107">
        <v>5696.19</v>
      </c>
      <c r="R31" s="107">
        <v>6386.21</v>
      </c>
      <c r="S31" s="107">
        <v>6606.56</v>
      </c>
      <c r="T31" s="107">
        <v>6270.04</v>
      </c>
      <c r="U31" s="107">
        <v>5902.45</v>
      </c>
      <c r="V31" s="107">
        <v>5804.41</v>
      </c>
      <c r="W31" s="107">
        <v>8020.8</v>
      </c>
      <c r="X31" s="107">
        <v>7884.47</v>
      </c>
      <c r="Y31" s="107">
        <v>8281.58</v>
      </c>
      <c r="Z31" s="107">
        <v>8146.47</v>
      </c>
      <c r="AA31" s="107">
        <v>8796</v>
      </c>
      <c r="AB31" s="107">
        <v>8259.1200000000008</v>
      </c>
      <c r="AC31" s="107">
        <v>8845.0300000000007</v>
      </c>
      <c r="AD31" s="107">
        <v>8263.64</v>
      </c>
      <c r="AE31" s="107">
        <v>8224.7900000000009</v>
      </c>
      <c r="AF31" s="107">
        <v>8918</v>
      </c>
      <c r="AG31" s="107">
        <v>7950.97</v>
      </c>
      <c r="AH31" s="73">
        <v>241812.40000000002</v>
      </c>
    </row>
    <row r="32" spans="1:34" x14ac:dyDescent="0.2">
      <c r="A32" s="139">
        <v>28</v>
      </c>
      <c r="B32" s="139">
        <v>8938.9500000000007</v>
      </c>
      <c r="C32" s="107">
        <v>8940.07</v>
      </c>
      <c r="D32" s="107">
        <v>9157.2900000000009</v>
      </c>
      <c r="E32" s="107">
        <v>9117.0400000000009</v>
      </c>
      <c r="F32" s="107">
        <v>9253.59</v>
      </c>
      <c r="G32" s="107">
        <v>8228.2900000000009</v>
      </c>
      <c r="H32" s="107">
        <v>9696.51</v>
      </c>
      <c r="I32" s="107">
        <v>9300.8799999999992</v>
      </c>
      <c r="J32" s="107">
        <v>9025.56</v>
      </c>
      <c r="K32" s="107">
        <v>8743.01</v>
      </c>
      <c r="L32" s="107">
        <v>5846.34</v>
      </c>
      <c r="M32" s="107">
        <v>6181.26</v>
      </c>
      <c r="N32" s="107">
        <v>6350.26</v>
      </c>
      <c r="O32" s="107">
        <v>6367.31</v>
      </c>
      <c r="P32" s="107">
        <v>6089.06</v>
      </c>
      <c r="Q32" s="107">
        <v>5705.54</v>
      </c>
      <c r="R32" s="107">
        <v>6397.12</v>
      </c>
      <c r="S32" s="107">
        <v>6616.91</v>
      </c>
      <c r="T32" s="107">
        <v>6279.27</v>
      </c>
      <c r="U32" s="107">
        <v>5908.33</v>
      </c>
      <c r="V32" s="107">
        <v>5807.68</v>
      </c>
      <c r="W32" s="107">
        <v>8988.19</v>
      </c>
      <c r="X32" s="107">
        <v>8806.57</v>
      </c>
      <c r="Y32" s="107">
        <v>9254.92</v>
      </c>
      <c r="Z32" s="107">
        <v>9096.44</v>
      </c>
      <c r="AA32" s="107">
        <v>9829.86</v>
      </c>
      <c r="AB32" s="107">
        <v>9243</v>
      </c>
      <c r="AC32" s="107">
        <v>9871.7099999999991</v>
      </c>
      <c r="AD32" s="107">
        <v>9207.4699999999993</v>
      </c>
      <c r="AE32" s="107">
        <v>9185.2900000000009</v>
      </c>
      <c r="AF32" s="107">
        <v>9960.14</v>
      </c>
      <c r="AG32" s="107">
        <v>8878.0499999999993</v>
      </c>
      <c r="AH32" s="73">
        <v>260271.90999999997</v>
      </c>
    </row>
    <row r="33" spans="1:34" x14ac:dyDescent="0.2">
      <c r="A33" s="139">
        <v>29</v>
      </c>
      <c r="B33" s="139">
        <v>9724.48</v>
      </c>
      <c r="C33" s="107">
        <v>9721.42</v>
      </c>
      <c r="D33" s="107">
        <v>9945.35</v>
      </c>
      <c r="E33" s="107">
        <v>9891.69</v>
      </c>
      <c r="F33" s="107">
        <v>10045.76</v>
      </c>
      <c r="G33" s="107">
        <v>8923.73</v>
      </c>
      <c r="H33" s="107">
        <v>10533.35</v>
      </c>
      <c r="I33" s="107">
        <v>10081.16</v>
      </c>
      <c r="J33" s="107">
        <v>9774</v>
      </c>
      <c r="K33" s="107">
        <v>9457.67</v>
      </c>
      <c r="L33" s="107">
        <v>5861.89</v>
      </c>
      <c r="M33" s="107">
        <v>6197.81</v>
      </c>
      <c r="N33" s="107">
        <v>6364.47</v>
      </c>
      <c r="O33" s="107">
        <v>6379.85</v>
      </c>
      <c r="P33" s="107">
        <v>6101.49</v>
      </c>
      <c r="Q33" s="107">
        <v>5715.48</v>
      </c>
      <c r="R33" s="107">
        <v>6409.38</v>
      </c>
      <c r="S33" s="107">
        <v>6623.8</v>
      </c>
      <c r="T33" s="107">
        <v>6289.17</v>
      </c>
      <c r="U33" s="107">
        <v>5912.23</v>
      </c>
      <c r="V33" s="107">
        <v>5812.71</v>
      </c>
      <c r="W33" s="107">
        <v>10001.67</v>
      </c>
      <c r="X33" s="107">
        <v>9781.7900000000009</v>
      </c>
      <c r="Y33" s="107">
        <v>10299.73</v>
      </c>
      <c r="Z33" s="107">
        <v>10111.370000000001</v>
      </c>
      <c r="AA33" s="107">
        <v>10913.9</v>
      </c>
      <c r="AB33" s="107">
        <v>10265</v>
      </c>
      <c r="AC33" s="107">
        <v>10970.35</v>
      </c>
      <c r="AD33" s="107">
        <v>10219.06</v>
      </c>
      <c r="AE33" s="107">
        <v>10210.07</v>
      </c>
      <c r="AF33" s="107">
        <v>11073.74</v>
      </c>
      <c r="AG33" s="107">
        <v>9856.42</v>
      </c>
      <c r="AH33" s="73">
        <v>279469.99000000005</v>
      </c>
    </row>
    <row r="34" spans="1:34" x14ac:dyDescent="0.2">
      <c r="A34" s="139">
        <v>30</v>
      </c>
      <c r="B34" s="139">
        <v>10465.44</v>
      </c>
      <c r="C34" s="107">
        <v>10442.24</v>
      </c>
      <c r="D34" s="107">
        <v>10676.79</v>
      </c>
      <c r="E34" s="107">
        <v>10610.93</v>
      </c>
      <c r="F34" s="107">
        <v>10792.81</v>
      </c>
      <c r="G34" s="107">
        <v>9568.31</v>
      </c>
      <c r="H34" s="107">
        <v>11313.47</v>
      </c>
      <c r="I34" s="107">
        <v>10800.46</v>
      </c>
      <c r="J34" s="107">
        <v>10470.27</v>
      </c>
      <c r="K34" s="107">
        <v>10124.67</v>
      </c>
      <c r="L34" s="107">
        <v>5877.96</v>
      </c>
      <c r="M34" s="107">
        <v>6214.35</v>
      </c>
      <c r="N34" s="107">
        <v>6378.32</v>
      </c>
      <c r="O34" s="107">
        <v>6394.2</v>
      </c>
      <c r="P34" s="107">
        <v>6114.84</v>
      </c>
      <c r="Q34" s="107">
        <v>5724.45</v>
      </c>
      <c r="R34" s="107">
        <v>6422.03</v>
      </c>
      <c r="S34" s="107">
        <v>6634.33</v>
      </c>
      <c r="T34" s="107">
        <v>6299.14</v>
      </c>
      <c r="U34" s="107">
        <v>5916.6</v>
      </c>
      <c r="V34" s="107">
        <v>5815.27</v>
      </c>
      <c r="W34" s="107">
        <v>10956.28</v>
      </c>
      <c r="X34" s="107">
        <v>10705.64</v>
      </c>
      <c r="Y34" s="107">
        <v>11290.79</v>
      </c>
      <c r="Z34" s="107">
        <v>11091.15</v>
      </c>
      <c r="AA34" s="107">
        <v>11940.75</v>
      </c>
      <c r="AB34" s="107">
        <v>11227.55</v>
      </c>
      <c r="AC34" s="107">
        <v>12012.39</v>
      </c>
      <c r="AD34" s="107">
        <v>11183.45</v>
      </c>
      <c r="AE34" s="107">
        <v>11185.48</v>
      </c>
      <c r="AF34" s="107">
        <v>12127.82</v>
      </c>
      <c r="AG34" s="107">
        <v>10777.91</v>
      </c>
      <c r="AH34" s="73">
        <v>297556.08999999997</v>
      </c>
    </row>
    <row r="35" spans="1:34" x14ac:dyDescent="0.2">
      <c r="A35" s="139">
        <v>31</v>
      </c>
      <c r="B35" s="139">
        <v>11111.11</v>
      </c>
      <c r="C35" s="107">
        <v>11071.54</v>
      </c>
      <c r="D35" s="107">
        <v>11328.38</v>
      </c>
      <c r="E35" s="107">
        <v>11253.62</v>
      </c>
      <c r="F35" s="107">
        <v>11445.98</v>
      </c>
      <c r="G35" s="107">
        <v>10136.39</v>
      </c>
      <c r="H35" s="107">
        <v>11991.84</v>
      </c>
      <c r="I35" s="107">
        <v>11442.1</v>
      </c>
      <c r="J35" s="107">
        <v>11089.03</v>
      </c>
      <c r="K35" s="107">
        <v>10716.84</v>
      </c>
      <c r="L35" s="107">
        <v>5893.64</v>
      </c>
      <c r="M35" s="107">
        <v>6228.93</v>
      </c>
      <c r="N35" s="107">
        <v>6390.75</v>
      </c>
      <c r="O35" s="107">
        <v>6408.18</v>
      </c>
      <c r="P35" s="107">
        <v>6123.54</v>
      </c>
      <c r="Q35" s="107">
        <v>5733.23</v>
      </c>
      <c r="R35" s="107">
        <v>6430.12</v>
      </c>
      <c r="S35" s="107">
        <v>6642.13</v>
      </c>
      <c r="T35" s="107">
        <v>6308.34</v>
      </c>
      <c r="U35" s="107">
        <v>5920.7</v>
      </c>
      <c r="V35" s="107">
        <v>5818.2</v>
      </c>
      <c r="W35" s="107">
        <v>11789.88</v>
      </c>
      <c r="X35" s="107">
        <v>11521.35</v>
      </c>
      <c r="Y35" s="107">
        <v>12139.27</v>
      </c>
      <c r="Z35" s="107">
        <v>11947.85</v>
      </c>
      <c r="AA35" s="107">
        <v>12836.35</v>
      </c>
      <c r="AB35" s="107">
        <v>12067.57</v>
      </c>
      <c r="AC35" s="107">
        <v>12921.97</v>
      </c>
      <c r="AD35" s="107">
        <v>12035.92</v>
      </c>
      <c r="AE35" s="107">
        <v>12039.21</v>
      </c>
      <c r="AF35" s="107">
        <v>13044.17</v>
      </c>
      <c r="AG35" s="107">
        <v>11580.39</v>
      </c>
      <c r="AH35" s="73">
        <v>313408.52</v>
      </c>
    </row>
    <row r="36" spans="1:34" x14ac:dyDescent="0.2">
      <c r="A36" s="139">
        <v>32</v>
      </c>
      <c r="B36" s="139">
        <v>11658.72</v>
      </c>
      <c r="C36" s="107">
        <v>11600.82</v>
      </c>
      <c r="D36" s="107">
        <v>11878</v>
      </c>
      <c r="E36" s="107">
        <v>11793.48</v>
      </c>
      <c r="F36" s="107">
        <v>12001.84</v>
      </c>
      <c r="G36" s="107">
        <v>10625.88</v>
      </c>
      <c r="H36" s="107">
        <v>12575.44</v>
      </c>
      <c r="I36" s="107">
        <v>11983.01</v>
      </c>
      <c r="J36" s="107">
        <v>11618.31</v>
      </c>
      <c r="K36" s="107">
        <v>11228.71</v>
      </c>
      <c r="L36" s="107">
        <v>5910.53</v>
      </c>
      <c r="M36" s="107">
        <v>6244.92</v>
      </c>
      <c r="N36" s="107">
        <v>6402.69</v>
      </c>
      <c r="O36" s="107">
        <v>6421.46</v>
      </c>
      <c r="P36" s="107">
        <v>6134.95</v>
      </c>
      <c r="Q36" s="107">
        <v>5743.55</v>
      </c>
      <c r="R36" s="107">
        <v>6441.71</v>
      </c>
      <c r="S36" s="107">
        <v>6651.16</v>
      </c>
      <c r="T36" s="107">
        <v>6313.46</v>
      </c>
      <c r="U36" s="107">
        <v>5924.73</v>
      </c>
      <c r="V36" s="107">
        <v>5820.07</v>
      </c>
      <c r="W36" s="107">
        <v>12481.19</v>
      </c>
      <c r="X36" s="107">
        <v>12203.37</v>
      </c>
      <c r="Y36" s="107">
        <v>12843.96</v>
      </c>
      <c r="Z36" s="107">
        <v>12642</v>
      </c>
      <c r="AA36" s="107">
        <v>13572.72</v>
      </c>
      <c r="AB36" s="107">
        <v>12765.81</v>
      </c>
      <c r="AC36" s="107">
        <v>13674.59</v>
      </c>
      <c r="AD36" s="107">
        <v>12739.18</v>
      </c>
      <c r="AE36" s="107">
        <v>12743.2</v>
      </c>
      <c r="AF36" s="107">
        <v>13799.7</v>
      </c>
      <c r="AG36" s="107">
        <v>12246.71</v>
      </c>
      <c r="AH36" s="73">
        <v>326685.87</v>
      </c>
    </row>
    <row r="37" spans="1:34" x14ac:dyDescent="0.2">
      <c r="A37" s="139">
        <v>33</v>
      </c>
      <c r="B37" s="139">
        <v>12116.78</v>
      </c>
      <c r="C37" s="107">
        <v>12037.97</v>
      </c>
      <c r="D37" s="107">
        <v>12336.49</v>
      </c>
      <c r="E37" s="107">
        <v>12236.27</v>
      </c>
      <c r="F37" s="107">
        <v>12462.95</v>
      </c>
      <c r="G37" s="107">
        <v>11042.72</v>
      </c>
      <c r="H37" s="107">
        <v>13068.44</v>
      </c>
      <c r="I37" s="107">
        <v>12432.24</v>
      </c>
      <c r="J37" s="107">
        <v>12061.07</v>
      </c>
      <c r="K37" s="107">
        <v>11665.27</v>
      </c>
      <c r="L37" s="107">
        <v>5921.33</v>
      </c>
      <c r="M37" s="107">
        <v>6261.99</v>
      </c>
      <c r="N37" s="107">
        <v>6413.91</v>
      </c>
      <c r="O37" s="107">
        <v>6433.43</v>
      </c>
      <c r="P37" s="107">
        <v>6142.44</v>
      </c>
      <c r="Q37" s="107">
        <v>5753.72</v>
      </c>
      <c r="R37" s="107">
        <v>6453.67</v>
      </c>
      <c r="S37" s="107">
        <v>6657.49</v>
      </c>
      <c r="T37" s="107">
        <v>6319.48</v>
      </c>
      <c r="U37" s="107">
        <v>5929.1</v>
      </c>
      <c r="V37" s="107">
        <v>5825.8</v>
      </c>
      <c r="W37" s="107">
        <v>13024</v>
      </c>
      <c r="X37" s="107">
        <v>12736.66</v>
      </c>
      <c r="Y37" s="107">
        <v>13246.28</v>
      </c>
      <c r="Z37" s="107">
        <v>13190.83</v>
      </c>
      <c r="AA37" s="107">
        <v>14158.21</v>
      </c>
      <c r="AB37" s="107">
        <v>13325.47</v>
      </c>
      <c r="AC37" s="107">
        <v>14276.7</v>
      </c>
      <c r="AD37" s="107">
        <v>13288.96</v>
      </c>
      <c r="AE37" s="107">
        <v>13302.34</v>
      </c>
      <c r="AF37" s="107">
        <v>14402.74</v>
      </c>
      <c r="AG37" s="107">
        <v>12789.4</v>
      </c>
      <c r="AH37" s="73">
        <v>337314.15</v>
      </c>
    </row>
    <row r="38" spans="1:34" x14ac:dyDescent="0.2">
      <c r="A38" s="139">
        <v>34</v>
      </c>
      <c r="B38" s="139">
        <v>12497.18</v>
      </c>
      <c r="C38" s="107">
        <v>12398.51</v>
      </c>
      <c r="D38" s="107">
        <v>12713.17</v>
      </c>
      <c r="E38" s="107">
        <v>12604.45</v>
      </c>
      <c r="F38" s="107">
        <v>12841.59</v>
      </c>
      <c r="G38" s="107">
        <v>11388.25</v>
      </c>
      <c r="H38" s="107">
        <v>13471.65</v>
      </c>
      <c r="I38" s="107">
        <v>12805.85</v>
      </c>
      <c r="J38" s="107">
        <v>12435.05</v>
      </c>
      <c r="K38" s="107">
        <v>12037.4</v>
      </c>
      <c r="L38" s="107">
        <v>5933.94</v>
      </c>
      <c r="M38" s="107">
        <v>6277.87</v>
      </c>
      <c r="N38" s="107">
        <v>6426.02</v>
      </c>
      <c r="O38" s="107">
        <v>6443.84</v>
      </c>
      <c r="P38" s="107">
        <v>6151.26</v>
      </c>
      <c r="Q38" s="107">
        <v>5762.07</v>
      </c>
      <c r="R38" s="107">
        <v>6464.38</v>
      </c>
      <c r="S38" s="107">
        <v>6664.79</v>
      </c>
      <c r="T38" s="107">
        <v>6323.21</v>
      </c>
      <c r="U38" s="107">
        <v>5932.51</v>
      </c>
      <c r="V38" s="107">
        <v>5831.32</v>
      </c>
      <c r="W38" s="107">
        <v>13343.53</v>
      </c>
      <c r="X38" s="107">
        <v>13050.32</v>
      </c>
      <c r="Y38" s="107">
        <v>13694.4</v>
      </c>
      <c r="Z38" s="107">
        <v>13499.45</v>
      </c>
      <c r="AA38" s="107">
        <v>14488.54</v>
      </c>
      <c r="AB38" s="107">
        <v>13758.24</v>
      </c>
      <c r="AC38" s="107">
        <v>14618.21</v>
      </c>
      <c r="AD38" s="107">
        <v>13708.21</v>
      </c>
      <c r="AE38" s="107">
        <v>13732.8</v>
      </c>
      <c r="AF38" s="107">
        <v>14744.03</v>
      </c>
      <c r="AG38" s="107">
        <v>13095.82</v>
      </c>
      <c r="AH38" s="73">
        <v>345137.8600000001</v>
      </c>
    </row>
    <row r="39" spans="1:34" x14ac:dyDescent="0.2">
      <c r="A39" s="139">
        <v>35</v>
      </c>
      <c r="B39" s="139">
        <v>12804.07</v>
      </c>
      <c r="C39" s="107">
        <v>12696.84</v>
      </c>
      <c r="D39" s="107">
        <v>13016.56</v>
      </c>
      <c r="E39" s="107">
        <v>12903.47</v>
      </c>
      <c r="F39" s="107">
        <v>13150.16</v>
      </c>
      <c r="G39" s="107">
        <v>11668.51</v>
      </c>
      <c r="H39" s="107">
        <v>13799.03</v>
      </c>
      <c r="I39" s="107">
        <v>13109.41</v>
      </c>
      <c r="J39" s="107">
        <v>12737.5</v>
      </c>
      <c r="K39" s="107">
        <v>12344.87</v>
      </c>
      <c r="L39" s="107">
        <v>5947.19</v>
      </c>
      <c r="M39" s="107">
        <v>6292.73</v>
      </c>
      <c r="N39" s="107">
        <v>6438.22</v>
      </c>
      <c r="O39" s="107">
        <v>6454.43</v>
      </c>
      <c r="P39" s="107">
        <v>6160.21</v>
      </c>
      <c r="Q39" s="107">
        <v>5769.96</v>
      </c>
      <c r="R39" s="107">
        <v>6473.65</v>
      </c>
      <c r="S39" s="107">
        <v>6671.83</v>
      </c>
      <c r="T39" s="107">
        <v>6328.27</v>
      </c>
      <c r="U39" s="107">
        <v>5933.92</v>
      </c>
      <c r="V39" s="107">
        <v>5833.79</v>
      </c>
      <c r="W39" s="107">
        <v>13693.48</v>
      </c>
      <c r="X39" s="107">
        <v>13387.43</v>
      </c>
      <c r="Y39" s="107">
        <v>14064.87</v>
      </c>
      <c r="Z39" s="107">
        <v>13840.52</v>
      </c>
      <c r="AA39" s="107">
        <v>14852.64</v>
      </c>
      <c r="AB39" s="107">
        <v>14012.32</v>
      </c>
      <c r="AC39" s="107">
        <v>14995.56</v>
      </c>
      <c r="AD39" s="107">
        <v>13954.71</v>
      </c>
      <c r="AE39" s="107">
        <v>13985.91</v>
      </c>
      <c r="AF39" s="107">
        <v>15119.59</v>
      </c>
      <c r="AG39" s="107">
        <v>13440.2</v>
      </c>
      <c r="AH39" s="73">
        <v>351881.85</v>
      </c>
    </row>
    <row r="40" spans="1:34" x14ac:dyDescent="0.2">
      <c r="A40" s="139">
        <v>36</v>
      </c>
      <c r="B40" s="139">
        <v>13050.38</v>
      </c>
      <c r="C40" s="107">
        <v>12939.79</v>
      </c>
      <c r="D40" s="107">
        <v>13263.19</v>
      </c>
      <c r="E40" s="107">
        <v>13141.6</v>
      </c>
      <c r="F40" s="107">
        <v>13401.1</v>
      </c>
      <c r="G40" s="107">
        <v>11890.71</v>
      </c>
      <c r="H40" s="107">
        <v>14068.01</v>
      </c>
      <c r="I40" s="107">
        <v>13353.18</v>
      </c>
      <c r="J40" s="107">
        <v>12983.29</v>
      </c>
      <c r="K40" s="107">
        <v>12593.36</v>
      </c>
      <c r="L40" s="107">
        <v>5960.86</v>
      </c>
      <c r="M40" s="107">
        <v>6307.9</v>
      </c>
      <c r="N40" s="107">
        <v>6449.26</v>
      </c>
      <c r="O40" s="107">
        <v>6461.43</v>
      </c>
      <c r="P40" s="107">
        <v>6168.41</v>
      </c>
      <c r="Q40" s="107">
        <v>5777.26</v>
      </c>
      <c r="R40" s="107">
        <v>6482.25</v>
      </c>
      <c r="S40" s="107">
        <v>6677.29</v>
      </c>
      <c r="T40" s="107">
        <v>6332.05</v>
      </c>
      <c r="U40" s="107">
        <v>5935.27</v>
      </c>
      <c r="V40" s="107">
        <v>5832.59</v>
      </c>
      <c r="W40" s="107">
        <v>13900.03</v>
      </c>
      <c r="X40" s="107">
        <v>13584</v>
      </c>
      <c r="Y40" s="107">
        <v>14273.12</v>
      </c>
      <c r="Z40" s="107">
        <v>14119.54</v>
      </c>
      <c r="AA40" s="107">
        <v>15068.08</v>
      </c>
      <c r="AB40" s="107">
        <v>14281.8</v>
      </c>
      <c r="AC40" s="107">
        <v>15216</v>
      </c>
      <c r="AD40" s="107">
        <v>14217.13</v>
      </c>
      <c r="AE40" s="107">
        <v>14251.96</v>
      </c>
      <c r="AF40" s="107">
        <v>15341.26</v>
      </c>
      <c r="AG40" s="107">
        <v>13729.54</v>
      </c>
      <c r="AH40" s="73">
        <v>357051.64</v>
      </c>
    </row>
    <row r="41" spans="1:34" x14ac:dyDescent="0.2">
      <c r="A41" s="139">
        <v>37</v>
      </c>
      <c r="B41" s="139">
        <v>13249.46</v>
      </c>
      <c r="C41" s="107">
        <v>13077.2</v>
      </c>
      <c r="D41" s="107">
        <v>13404.75</v>
      </c>
      <c r="E41" s="107">
        <v>13330.71</v>
      </c>
      <c r="F41" s="107">
        <v>13602.66</v>
      </c>
      <c r="G41" s="107">
        <v>12064.17</v>
      </c>
      <c r="H41" s="107">
        <v>14282.14</v>
      </c>
      <c r="I41" s="107">
        <v>13551.91</v>
      </c>
      <c r="J41" s="107">
        <v>13184.23</v>
      </c>
      <c r="K41" s="107">
        <v>12792.78</v>
      </c>
      <c r="L41" s="107">
        <v>5968.9</v>
      </c>
      <c r="M41" s="107">
        <v>6317.79</v>
      </c>
      <c r="N41" s="107">
        <v>6455.61</v>
      </c>
      <c r="O41" s="107">
        <v>6470.44</v>
      </c>
      <c r="P41" s="107">
        <v>6176.84</v>
      </c>
      <c r="Q41" s="107">
        <v>5781.83</v>
      </c>
      <c r="R41" s="107">
        <v>6487.23</v>
      </c>
      <c r="S41" s="107">
        <v>6683.15</v>
      </c>
      <c r="T41" s="107">
        <v>6337.78</v>
      </c>
      <c r="U41" s="107">
        <v>5936.56</v>
      </c>
      <c r="V41" s="107">
        <v>5831.48</v>
      </c>
      <c r="W41" s="107">
        <v>14126</v>
      </c>
      <c r="X41" s="107">
        <v>13733.75</v>
      </c>
      <c r="Y41" s="107">
        <v>14504.64</v>
      </c>
      <c r="Z41" s="107">
        <v>14337.18</v>
      </c>
      <c r="AA41" s="107">
        <v>15304.32</v>
      </c>
      <c r="AB41" s="107">
        <v>14440.62</v>
      </c>
      <c r="AC41" s="107">
        <v>15451.6</v>
      </c>
      <c r="AD41" s="107">
        <v>14431.16</v>
      </c>
      <c r="AE41" s="107">
        <v>14407.11</v>
      </c>
      <c r="AF41" s="107">
        <v>15584.09</v>
      </c>
      <c r="AG41" s="107">
        <v>13893.28</v>
      </c>
      <c r="AH41" s="73">
        <v>361201.37</v>
      </c>
    </row>
    <row r="42" spans="1:34" x14ac:dyDescent="0.2">
      <c r="A42" s="139">
        <v>38</v>
      </c>
      <c r="B42" s="139">
        <v>13408.75</v>
      </c>
      <c r="C42" s="107">
        <v>13233.05</v>
      </c>
      <c r="D42" s="107">
        <v>13563.69</v>
      </c>
      <c r="E42" s="107">
        <v>13482.93</v>
      </c>
      <c r="F42" s="107">
        <v>13766.37</v>
      </c>
      <c r="G42" s="107">
        <v>12201.57</v>
      </c>
      <c r="H42" s="107">
        <v>14463.02</v>
      </c>
      <c r="I42" s="107">
        <v>13717.11</v>
      </c>
      <c r="J42" s="107">
        <v>13342.19</v>
      </c>
      <c r="K42" s="107">
        <v>12954.67</v>
      </c>
      <c r="L42" s="107">
        <v>5979.45</v>
      </c>
      <c r="M42" s="107">
        <v>6329.01</v>
      </c>
      <c r="N42" s="107">
        <v>6464.34</v>
      </c>
      <c r="O42" s="107">
        <v>6479.72</v>
      </c>
      <c r="P42" s="107">
        <v>6182.02</v>
      </c>
      <c r="Q42" s="107">
        <v>5784.4</v>
      </c>
      <c r="R42" s="107">
        <v>6492.43</v>
      </c>
      <c r="S42" s="107">
        <v>6688.78</v>
      </c>
      <c r="T42" s="107">
        <v>6341.88</v>
      </c>
      <c r="U42" s="107">
        <v>5936.65</v>
      </c>
      <c r="V42" s="107">
        <v>5831.83</v>
      </c>
      <c r="W42" s="107">
        <v>14309.89</v>
      </c>
      <c r="X42" s="107">
        <v>13909.39</v>
      </c>
      <c r="Y42" s="107">
        <v>14638.84</v>
      </c>
      <c r="Z42" s="107">
        <v>14503.2</v>
      </c>
      <c r="AA42" s="107">
        <v>15502.36</v>
      </c>
      <c r="AB42" s="107">
        <v>14602.95</v>
      </c>
      <c r="AC42" s="107">
        <v>15641.2</v>
      </c>
      <c r="AD42" s="107">
        <v>14597.32</v>
      </c>
      <c r="AE42" s="107">
        <v>14580.7</v>
      </c>
      <c r="AF42" s="107">
        <v>15778.21</v>
      </c>
      <c r="AG42" s="107">
        <v>14068.59</v>
      </c>
      <c r="AH42" s="73">
        <v>364776.51000000013</v>
      </c>
    </row>
    <row r="43" spans="1:34" x14ac:dyDescent="0.2">
      <c r="A43" s="139">
        <v>39</v>
      </c>
      <c r="B43" s="139">
        <v>13536.98</v>
      </c>
      <c r="C43" s="107">
        <v>13370.99</v>
      </c>
      <c r="D43" s="107">
        <v>13699.42</v>
      </c>
      <c r="E43" s="107">
        <v>13606.8</v>
      </c>
      <c r="F43" s="107">
        <v>13900.06</v>
      </c>
      <c r="G43" s="107">
        <v>12315.85</v>
      </c>
      <c r="H43" s="107">
        <v>14611.46</v>
      </c>
      <c r="I43" s="107">
        <v>13847.58</v>
      </c>
      <c r="J43" s="107">
        <v>13469.5</v>
      </c>
      <c r="K43" s="107">
        <v>13090.04</v>
      </c>
      <c r="L43" s="107">
        <v>5991.65</v>
      </c>
      <c r="M43" s="107">
        <v>6339.72</v>
      </c>
      <c r="N43" s="107">
        <v>6473.44</v>
      </c>
      <c r="O43" s="107">
        <v>6485.39</v>
      </c>
      <c r="P43" s="107">
        <v>6189.53</v>
      </c>
      <c r="Q43" s="107">
        <v>5789.69</v>
      </c>
      <c r="R43" s="107">
        <v>6498.26</v>
      </c>
      <c r="S43" s="107">
        <v>6692.72</v>
      </c>
      <c r="T43" s="107">
        <v>6345.41</v>
      </c>
      <c r="U43" s="107">
        <v>5937.11</v>
      </c>
      <c r="V43" s="107">
        <v>5834.26</v>
      </c>
      <c r="W43" s="107">
        <v>14414.01</v>
      </c>
      <c r="X43" s="107">
        <v>14059.57</v>
      </c>
      <c r="Y43" s="107">
        <v>14785.68</v>
      </c>
      <c r="Z43" s="107">
        <v>14599.67</v>
      </c>
      <c r="AA43" s="107">
        <v>15615.55</v>
      </c>
      <c r="AB43" s="107">
        <v>14738.45</v>
      </c>
      <c r="AC43" s="107">
        <v>15791.51</v>
      </c>
      <c r="AD43" s="107">
        <v>14690.67</v>
      </c>
      <c r="AE43" s="107">
        <v>14684.24</v>
      </c>
      <c r="AF43" s="107">
        <v>15926.61</v>
      </c>
      <c r="AG43" s="107">
        <v>14215.47</v>
      </c>
      <c r="AH43" s="73">
        <v>367547.29</v>
      </c>
    </row>
    <row r="44" spans="1:34" x14ac:dyDescent="0.2">
      <c r="A44" s="139">
        <v>40</v>
      </c>
      <c r="B44" s="139">
        <v>13640.28</v>
      </c>
      <c r="C44" s="107">
        <v>13482.67</v>
      </c>
      <c r="D44" s="107">
        <v>13777.31</v>
      </c>
      <c r="E44" s="107">
        <v>13705.43</v>
      </c>
      <c r="F44" s="107">
        <v>14007.13</v>
      </c>
      <c r="G44" s="107">
        <v>12409.86</v>
      </c>
      <c r="H44" s="107">
        <v>14729.82</v>
      </c>
      <c r="I44" s="107">
        <v>13953.5</v>
      </c>
      <c r="J44" s="107">
        <v>13570.54</v>
      </c>
      <c r="K44" s="107">
        <v>13203.9</v>
      </c>
      <c r="L44" s="107">
        <v>6003.36</v>
      </c>
      <c r="M44" s="107">
        <v>6352.31</v>
      </c>
      <c r="N44" s="107">
        <v>6483.81</v>
      </c>
      <c r="O44" s="107">
        <v>6492.27</v>
      </c>
      <c r="P44" s="107">
        <v>6194.77</v>
      </c>
      <c r="Q44" s="107">
        <v>5793.89</v>
      </c>
      <c r="R44" s="107">
        <v>6502.35</v>
      </c>
      <c r="S44" s="107">
        <v>6695.13</v>
      </c>
      <c r="T44" s="107">
        <v>6349.03</v>
      </c>
      <c r="U44" s="107">
        <v>5938.67</v>
      </c>
      <c r="V44" s="107">
        <v>5836.85</v>
      </c>
      <c r="W44" s="107">
        <v>14526.98</v>
      </c>
      <c r="X44" s="107">
        <v>14180.38</v>
      </c>
      <c r="Y44" s="107">
        <v>14909.33</v>
      </c>
      <c r="Z44" s="107">
        <v>14705.07</v>
      </c>
      <c r="AA44" s="107">
        <v>15731.81</v>
      </c>
      <c r="AB44" s="107">
        <v>14817.41</v>
      </c>
      <c r="AC44" s="107">
        <v>15877.51</v>
      </c>
      <c r="AD44" s="107">
        <v>14788.76</v>
      </c>
      <c r="AE44" s="107">
        <v>14792.56</v>
      </c>
      <c r="AF44" s="107">
        <v>16013.75</v>
      </c>
      <c r="AG44" s="107">
        <v>14334.63</v>
      </c>
      <c r="AH44" s="73">
        <v>369801.07</v>
      </c>
    </row>
    <row r="45" spans="1:34" x14ac:dyDescent="0.2">
      <c r="A45" s="139">
        <v>41</v>
      </c>
      <c r="B45" s="139">
        <v>13724.46</v>
      </c>
      <c r="C45" s="107">
        <v>13574.91</v>
      </c>
      <c r="D45" s="107">
        <v>13862.31</v>
      </c>
      <c r="E45" s="107">
        <v>13783.99</v>
      </c>
      <c r="F45" s="107">
        <v>14094.73</v>
      </c>
      <c r="G45" s="107">
        <v>12488.02</v>
      </c>
      <c r="H45" s="107">
        <v>14826.63</v>
      </c>
      <c r="I45" s="107">
        <v>14035.75</v>
      </c>
      <c r="J45" s="107">
        <v>13652.35</v>
      </c>
      <c r="K45" s="107">
        <v>13298.62</v>
      </c>
      <c r="L45" s="107">
        <v>6013.99</v>
      </c>
      <c r="M45" s="107">
        <v>6365.63</v>
      </c>
      <c r="N45" s="107">
        <v>6494.81</v>
      </c>
      <c r="O45" s="107">
        <v>6499.88</v>
      </c>
      <c r="P45" s="107">
        <v>6202.69</v>
      </c>
      <c r="Q45" s="107">
        <v>5799.69</v>
      </c>
      <c r="R45" s="107">
        <v>6506.36</v>
      </c>
      <c r="S45" s="107">
        <v>6698.6</v>
      </c>
      <c r="T45" s="107">
        <v>6351.5</v>
      </c>
      <c r="U45" s="107">
        <v>5938.89</v>
      </c>
      <c r="V45" s="107">
        <v>5840.92</v>
      </c>
      <c r="W45" s="107">
        <v>14621.33</v>
      </c>
      <c r="X45" s="107">
        <v>14250.9</v>
      </c>
      <c r="Y45" s="107">
        <v>14982.08</v>
      </c>
      <c r="Z45" s="107">
        <v>14789.33</v>
      </c>
      <c r="AA45" s="107">
        <v>15828.62</v>
      </c>
      <c r="AB45" s="107">
        <v>14903.36</v>
      </c>
      <c r="AC45" s="107">
        <v>15964.15</v>
      </c>
      <c r="AD45" s="107">
        <v>14845.79</v>
      </c>
      <c r="AE45" s="107">
        <v>14855.82</v>
      </c>
      <c r="AF45" s="107">
        <v>16102.38</v>
      </c>
      <c r="AG45" s="107">
        <v>14431.56</v>
      </c>
      <c r="AH45" s="73">
        <v>371630.05</v>
      </c>
    </row>
    <row r="46" spans="1:34" x14ac:dyDescent="0.2">
      <c r="A46" s="139">
        <v>42</v>
      </c>
      <c r="B46" s="139">
        <v>13794.73</v>
      </c>
      <c r="C46" s="107">
        <v>13650.49</v>
      </c>
      <c r="D46" s="107">
        <v>13913.82</v>
      </c>
      <c r="E46" s="107">
        <v>13847.75</v>
      </c>
      <c r="F46" s="107">
        <v>14166.3</v>
      </c>
      <c r="G46" s="107">
        <v>12534.46</v>
      </c>
      <c r="H46" s="107">
        <v>14883.21</v>
      </c>
      <c r="I46" s="107">
        <v>14102.4</v>
      </c>
      <c r="J46" s="107">
        <v>13722.05</v>
      </c>
      <c r="K46" s="107">
        <v>13373.54</v>
      </c>
      <c r="L46" s="107">
        <v>6023.94</v>
      </c>
      <c r="M46" s="107">
        <v>6377.25</v>
      </c>
      <c r="N46" s="107">
        <v>6505.66</v>
      </c>
      <c r="O46" s="107">
        <v>6508.47</v>
      </c>
      <c r="P46" s="107">
        <v>6209.11</v>
      </c>
      <c r="Q46" s="107">
        <v>5806.57</v>
      </c>
      <c r="R46" s="107">
        <v>6509.04</v>
      </c>
      <c r="S46" s="107">
        <v>6701.81</v>
      </c>
      <c r="T46" s="107">
        <v>6354.75</v>
      </c>
      <c r="U46" s="107">
        <v>5938.99</v>
      </c>
      <c r="V46" s="107">
        <v>5843.12</v>
      </c>
      <c r="W46" s="107">
        <v>14697.2</v>
      </c>
      <c r="X46" s="107">
        <v>14326.11</v>
      </c>
      <c r="Y46" s="107">
        <v>15062.32</v>
      </c>
      <c r="Z46" s="107">
        <v>14836.68</v>
      </c>
      <c r="AA46" s="107">
        <v>15884.55</v>
      </c>
      <c r="AB46" s="107">
        <v>14972.27</v>
      </c>
      <c r="AC46" s="107">
        <v>16033.08</v>
      </c>
      <c r="AD46" s="107">
        <v>14906.05</v>
      </c>
      <c r="AE46" s="107">
        <v>14925.32</v>
      </c>
      <c r="AF46" s="107">
        <v>16153.42</v>
      </c>
      <c r="AG46" s="107">
        <v>14512.15</v>
      </c>
      <c r="AH46" s="73">
        <v>373076.61</v>
      </c>
    </row>
    <row r="47" spans="1:34" x14ac:dyDescent="0.2">
      <c r="A47" s="139">
        <v>43</v>
      </c>
      <c r="B47" s="139">
        <v>13824.99</v>
      </c>
      <c r="C47" s="107">
        <v>13682.03</v>
      </c>
      <c r="D47" s="107">
        <v>13941.8</v>
      </c>
      <c r="E47" s="107">
        <v>13874.6</v>
      </c>
      <c r="F47" s="107">
        <v>14196.87</v>
      </c>
      <c r="G47" s="107">
        <v>12559.32</v>
      </c>
      <c r="H47" s="107">
        <v>14914.33</v>
      </c>
      <c r="I47" s="107">
        <v>14131.43</v>
      </c>
      <c r="J47" s="107">
        <v>13753.57</v>
      </c>
      <c r="K47" s="107">
        <v>13406.5</v>
      </c>
      <c r="L47" s="107">
        <v>6028.9</v>
      </c>
      <c r="M47" s="107">
        <v>6382.69</v>
      </c>
      <c r="N47" s="107">
        <v>6510.66</v>
      </c>
      <c r="O47" s="107">
        <v>6512.94</v>
      </c>
      <c r="P47" s="107">
        <v>6211.42</v>
      </c>
      <c r="Q47" s="107">
        <v>5809.78</v>
      </c>
      <c r="R47" s="107">
        <v>6511.12</v>
      </c>
      <c r="S47" s="107">
        <v>6704.25</v>
      </c>
      <c r="T47" s="107">
        <v>6356.95</v>
      </c>
      <c r="U47" s="107">
        <v>5939.99</v>
      </c>
      <c r="V47" s="107">
        <v>5844.74</v>
      </c>
      <c r="W47" s="107">
        <v>14729.77</v>
      </c>
      <c r="X47" s="107">
        <v>14360.75</v>
      </c>
      <c r="Y47" s="107">
        <v>15098.05</v>
      </c>
      <c r="Z47" s="107">
        <v>14862.01</v>
      </c>
      <c r="AA47" s="107">
        <v>15914.67</v>
      </c>
      <c r="AB47" s="107">
        <v>15001.44</v>
      </c>
      <c r="AC47" s="107">
        <v>16061.84</v>
      </c>
      <c r="AD47" s="107">
        <v>14932.11</v>
      </c>
      <c r="AE47" s="107">
        <v>14955.17</v>
      </c>
      <c r="AF47" s="107">
        <v>16180.21</v>
      </c>
      <c r="AG47" s="107">
        <v>14546.5</v>
      </c>
      <c r="AH47" s="73">
        <v>373741.39999999997</v>
      </c>
    </row>
    <row r="48" spans="1:34" x14ac:dyDescent="0.2">
      <c r="A48" s="139">
        <v>44</v>
      </c>
      <c r="B48" s="139">
        <v>13865.53</v>
      </c>
      <c r="C48" s="107">
        <v>13724.09</v>
      </c>
      <c r="D48" s="107">
        <v>13981.53</v>
      </c>
      <c r="E48" s="107">
        <v>13910.5</v>
      </c>
      <c r="F48" s="107">
        <v>14237.73</v>
      </c>
      <c r="G48" s="107">
        <v>12594.43</v>
      </c>
      <c r="H48" s="107">
        <v>14958.67</v>
      </c>
      <c r="I48" s="107">
        <v>14170.34</v>
      </c>
      <c r="J48" s="107">
        <v>13796.28</v>
      </c>
      <c r="K48" s="107">
        <v>13449.91</v>
      </c>
      <c r="L48" s="107">
        <v>6035.57</v>
      </c>
      <c r="M48" s="107">
        <v>6390.03</v>
      </c>
      <c r="N48" s="107">
        <v>6517.32</v>
      </c>
      <c r="O48" s="107">
        <v>6518.98</v>
      </c>
      <c r="P48" s="107">
        <v>6214.34</v>
      </c>
      <c r="Q48" s="107">
        <v>5814.14</v>
      </c>
      <c r="R48" s="107">
        <v>6513.96</v>
      </c>
      <c r="S48" s="107">
        <v>6706.5</v>
      </c>
      <c r="T48" s="107">
        <v>6359.97</v>
      </c>
      <c r="U48" s="107">
        <v>5941.21</v>
      </c>
      <c r="V48" s="107">
        <v>5846.9</v>
      </c>
      <c r="W48" s="107">
        <v>14773.31</v>
      </c>
      <c r="X48" s="107">
        <v>14407.51</v>
      </c>
      <c r="Y48" s="107">
        <v>15146.17</v>
      </c>
      <c r="Z48" s="107">
        <v>14897.72</v>
      </c>
      <c r="AA48" s="107">
        <v>15957.37</v>
      </c>
      <c r="AB48" s="107">
        <v>15040.39</v>
      </c>
      <c r="AC48" s="107">
        <v>16100.2</v>
      </c>
      <c r="AD48" s="107">
        <v>14967.11</v>
      </c>
      <c r="AE48" s="107">
        <v>14995.06</v>
      </c>
      <c r="AF48" s="107">
        <v>16217.95</v>
      </c>
      <c r="AG48" s="107">
        <v>14592.22</v>
      </c>
      <c r="AH48" s="73">
        <v>374642.94</v>
      </c>
    </row>
    <row r="49" spans="1:34" x14ac:dyDescent="0.2">
      <c r="A49" s="139">
        <v>45</v>
      </c>
      <c r="B49" s="139">
        <v>13888.06</v>
      </c>
      <c r="C49" s="107">
        <v>13747.44</v>
      </c>
      <c r="D49" s="107">
        <v>14003.95</v>
      </c>
      <c r="E49" s="107">
        <v>13930.45</v>
      </c>
      <c r="F49" s="107">
        <v>14260.43</v>
      </c>
      <c r="G49" s="107">
        <v>12614.23</v>
      </c>
      <c r="H49" s="107">
        <v>14983.72</v>
      </c>
      <c r="I49" s="107">
        <v>14191.97</v>
      </c>
      <c r="J49" s="107">
        <v>13820.09</v>
      </c>
      <c r="K49" s="107">
        <v>13473.92</v>
      </c>
      <c r="L49" s="107">
        <v>6039.27</v>
      </c>
      <c r="M49" s="107">
        <v>6394.13</v>
      </c>
      <c r="N49" s="107">
        <v>6521.02</v>
      </c>
      <c r="O49" s="107">
        <v>6522.35</v>
      </c>
      <c r="P49" s="107">
        <v>6215.94</v>
      </c>
      <c r="Q49" s="107">
        <v>5816.58</v>
      </c>
      <c r="R49" s="107">
        <v>6515.56</v>
      </c>
      <c r="S49" s="107">
        <v>6707.52</v>
      </c>
      <c r="T49" s="107">
        <v>6361.67</v>
      </c>
      <c r="U49" s="107">
        <v>5941.87</v>
      </c>
      <c r="V49" s="107">
        <v>5848.1</v>
      </c>
      <c r="W49" s="107">
        <v>14797.48</v>
      </c>
      <c r="X49" s="107">
        <v>14433.55</v>
      </c>
      <c r="Y49" s="107">
        <v>15172.94</v>
      </c>
      <c r="Z49" s="107">
        <v>14917.83</v>
      </c>
      <c r="AA49" s="107">
        <v>15981.46</v>
      </c>
      <c r="AB49" s="107">
        <v>15062.01</v>
      </c>
      <c r="AC49" s="107">
        <v>16121.49</v>
      </c>
      <c r="AD49" s="107">
        <v>14986.59</v>
      </c>
      <c r="AE49" s="107">
        <v>15017.21</v>
      </c>
      <c r="AF49" s="107">
        <v>16239.2</v>
      </c>
      <c r="AG49" s="107">
        <v>14617.58</v>
      </c>
      <c r="AH49" s="73">
        <v>375145.61000000004</v>
      </c>
    </row>
    <row r="50" spans="1:34" x14ac:dyDescent="0.2">
      <c r="A50" s="72" t="s">
        <v>923</v>
      </c>
      <c r="B50" s="72">
        <v>392774.72000000009</v>
      </c>
      <c r="C50" s="75">
        <v>391568.16000000003</v>
      </c>
      <c r="D50" s="75">
        <v>400041.23000000004</v>
      </c>
      <c r="E50" s="75">
        <v>399327.71999999991</v>
      </c>
      <c r="F50" s="75">
        <v>406790.87999999989</v>
      </c>
      <c r="G50" s="75">
        <v>360809.22</v>
      </c>
      <c r="H50" s="75">
        <v>427752.43000000011</v>
      </c>
      <c r="I50" s="75">
        <v>409543.92</v>
      </c>
      <c r="J50" s="75">
        <v>397770.84999999992</v>
      </c>
      <c r="K50" s="75">
        <v>386307.20999999996</v>
      </c>
      <c r="L50" s="75">
        <v>261182.91999999995</v>
      </c>
      <c r="M50" s="75">
        <v>276322.27</v>
      </c>
      <c r="N50" s="75">
        <v>283825.8</v>
      </c>
      <c r="O50" s="75">
        <v>284984.5799999999</v>
      </c>
      <c r="P50" s="75">
        <v>272869.05</v>
      </c>
      <c r="Q50" s="75">
        <v>255411.55000000005</v>
      </c>
      <c r="R50" s="75">
        <v>286627.42000000004</v>
      </c>
      <c r="S50" s="75">
        <v>296745.43999999989</v>
      </c>
      <c r="T50" s="75">
        <v>280820.23</v>
      </c>
      <c r="U50" s="75">
        <v>264702.32</v>
      </c>
      <c r="V50" s="75">
        <v>260391.31000000003</v>
      </c>
      <c r="W50" s="75">
        <v>400732.49000000005</v>
      </c>
      <c r="X50" s="75">
        <v>391761.45000000007</v>
      </c>
      <c r="Y50" s="75">
        <v>411924.81</v>
      </c>
      <c r="Z50" s="75">
        <v>406542.32</v>
      </c>
      <c r="AA50" s="75">
        <v>437548.05</v>
      </c>
      <c r="AB50" s="75">
        <v>411513.16</v>
      </c>
      <c r="AC50" s="75">
        <v>441554.71000000008</v>
      </c>
      <c r="AD50" s="75">
        <v>412163.99999999994</v>
      </c>
      <c r="AE50" s="75">
        <v>409854.53</v>
      </c>
      <c r="AF50" s="75">
        <v>443887.9000000002</v>
      </c>
      <c r="AG50" s="75">
        <v>396911.64</v>
      </c>
      <c r="AH50" s="74">
        <v>11560964.289999999</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85918-2D01-4959-8A0C-8A3D597F6F8B}">
  <sheetPr codeName="Sheet24"/>
  <dimension ref="A3:AI50"/>
  <sheetViews>
    <sheetView workbookViewId="0">
      <selection activeCell="P10" sqref="P10"/>
    </sheetView>
  </sheetViews>
  <sheetFormatPr defaultColWidth="9.140625" defaultRowHeight="12.75" x14ac:dyDescent="0.2"/>
  <cols>
    <col min="1" max="1" width="11.140625" style="107" bestFit="1" customWidth="1"/>
    <col min="2" max="34" width="10" style="107" bestFit="1" customWidth="1"/>
    <col min="35" max="35" width="12" style="107" bestFit="1" customWidth="1"/>
    <col min="36" max="98" width="10" style="107" bestFit="1" customWidth="1"/>
    <col min="99" max="99" width="12" style="107" bestFit="1" customWidth="1"/>
    <col min="100" max="16384" width="9.140625" style="107"/>
  </cols>
  <sheetData>
    <row r="3" spans="1:35" ht="15" x14ac:dyDescent="0.25">
      <c r="A3" s="146" t="s">
        <v>924</v>
      </c>
      <c r="B3" s="146" t="s">
        <v>198</v>
      </c>
      <c r="C3" s="147"/>
      <c r="D3" s="147"/>
      <c r="E3" s="147"/>
      <c r="F3" s="147"/>
      <c r="G3" s="147"/>
      <c r="H3" s="147"/>
      <c r="I3" s="147"/>
      <c r="J3" s="147"/>
      <c r="K3" s="147"/>
      <c r="L3" s="147"/>
      <c r="M3" s="147"/>
      <c r="N3" s="147"/>
      <c r="O3" s="147"/>
      <c r="P3" s="147"/>
      <c r="Q3" s="147"/>
      <c r="R3" s="147"/>
      <c r="S3" s="147"/>
      <c r="T3" s="147"/>
      <c r="U3" s="147"/>
      <c r="V3" s="147"/>
      <c r="W3" s="147"/>
      <c r="X3" s="147"/>
      <c r="Y3" s="147"/>
      <c r="Z3" s="147"/>
      <c r="AA3" s="147"/>
      <c r="AB3" s="147"/>
      <c r="AC3" s="147"/>
      <c r="AD3" s="147"/>
      <c r="AE3" s="147"/>
      <c r="AF3" s="147"/>
      <c r="AG3" s="147"/>
      <c r="AH3" s="147"/>
      <c r="AI3" s="148"/>
    </row>
    <row r="4" spans="1:35" ht="15" x14ac:dyDescent="0.25">
      <c r="A4" s="146" t="s">
        <v>925</v>
      </c>
      <c r="B4" s="149" t="s">
        <v>261</v>
      </c>
      <c r="C4" s="150" t="s">
        <v>262</v>
      </c>
      <c r="D4" s="150" t="s">
        <v>263</v>
      </c>
      <c r="E4" s="150" t="s">
        <v>264</v>
      </c>
      <c r="F4" s="150" t="s">
        <v>265</v>
      </c>
      <c r="G4" s="150" t="s">
        <v>266</v>
      </c>
      <c r="H4" s="150" t="s">
        <v>267</v>
      </c>
      <c r="I4" s="150" t="s">
        <v>268</v>
      </c>
      <c r="J4" s="150" t="s">
        <v>270</v>
      </c>
      <c r="K4" s="150" t="s">
        <v>272</v>
      </c>
      <c r="L4" s="150" t="s">
        <v>273</v>
      </c>
      <c r="M4" s="150" t="s">
        <v>275</v>
      </c>
      <c r="N4" s="150" t="s">
        <v>276</v>
      </c>
      <c r="O4" s="150" t="s">
        <v>277</v>
      </c>
      <c r="P4" s="150" t="s">
        <v>278</v>
      </c>
      <c r="Q4" s="150" t="s">
        <v>279</v>
      </c>
      <c r="R4" s="150" t="s">
        <v>280</v>
      </c>
      <c r="S4" s="150" t="s">
        <v>281</v>
      </c>
      <c r="T4" s="150" t="s">
        <v>282</v>
      </c>
      <c r="U4" s="150" t="s">
        <v>283</v>
      </c>
      <c r="V4" s="150" t="s">
        <v>284</v>
      </c>
      <c r="W4" s="150" t="s">
        <v>285</v>
      </c>
      <c r="X4" s="150" t="s">
        <v>287</v>
      </c>
      <c r="Y4" s="150" t="s">
        <v>288</v>
      </c>
      <c r="Z4" s="150" t="s">
        <v>289</v>
      </c>
      <c r="AA4" s="150" t="s">
        <v>290</v>
      </c>
      <c r="AB4" s="150" t="s">
        <v>291</v>
      </c>
      <c r="AC4" s="150" t="s">
        <v>292</v>
      </c>
      <c r="AD4" s="150" t="s">
        <v>293</v>
      </c>
      <c r="AE4" s="150" t="s">
        <v>294</v>
      </c>
      <c r="AF4" s="150" t="s">
        <v>295</v>
      </c>
      <c r="AG4" s="150" t="s">
        <v>296</v>
      </c>
      <c r="AH4" s="150" t="s">
        <v>297</v>
      </c>
      <c r="AI4" s="151" t="s">
        <v>923</v>
      </c>
    </row>
    <row r="5" spans="1:35" ht="15" x14ac:dyDescent="0.25">
      <c r="A5" s="149">
        <v>1</v>
      </c>
      <c r="B5" s="152">
        <v>5565.5</v>
      </c>
      <c r="C5" s="153">
        <v>6546.6</v>
      </c>
      <c r="D5" s="153">
        <v>5654</v>
      </c>
      <c r="E5" s="153">
        <v>6773.6</v>
      </c>
      <c r="F5" s="153">
        <v>6376.4</v>
      </c>
      <c r="G5" s="153">
        <v>6258.6</v>
      </c>
      <c r="H5" s="153">
        <v>6767.9</v>
      </c>
      <c r="I5" s="153">
        <v>6902.2</v>
      </c>
      <c r="J5" s="153">
        <v>6686.9</v>
      </c>
      <c r="K5" s="153">
        <v>5940.5</v>
      </c>
      <c r="L5" s="153">
        <v>5839.8</v>
      </c>
      <c r="M5" s="153">
        <v>6022.3</v>
      </c>
      <c r="N5" s="153">
        <v>5922.8</v>
      </c>
      <c r="O5" s="153">
        <v>6250.7</v>
      </c>
      <c r="P5" s="153">
        <v>6364.7</v>
      </c>
      <c r="Q5" s="153">
        <v>6621</v>
      </c>
      <c r="R5" s="153">
        <v>5266.4</v>
      </c>
      <c r="S5" s="153">
        <v>6665.4</v>
      </c>
      <c r="T5" s="153">
        <v>6439.4</v>
      </c>
      <c r="U5" s="153">
        <v>6741.8</v>
      </c>
      <c r="V5" s="153">
        <v>7345.6</v>
      </c>
      <c r="W5" s="153">
        <v>6477.1</v>
      </c>
      <c r="X5" s="153">
        <v>5753.6</v>
      </c>
      <c r="Y5" s="153">
        <v>6376.4</v>
      </c>
      <c r="Z5" s="153">
        <v>5885.6</v>
      </c>
      <c r="AA5" s="153">
        <v>6815.8</v>
      </c>
      <c r="AB5" s="153">
        <v>6922.3</v>
      </c>
      <c r="AC5" s="153">
        <v>5866.9</v>
      </c>
      <c r="AD5" s="153">
        <v>6927.3</v>
      </c>
      <c r="AE5" s="153">
        <v>6012.6</v>
      </c>
      <c r="AF5" s="153">
        <v>6521.2</v>
      </c>
      <c r="AG5" s="153">
        <v>6842.7</v>
      </c>
      <c r="AH5" s="153">
        <v>6674.8</v>
      </c>
      <c r="AI5" s="154">
        <v>210028.39999999997</v>
      </c>
    </row>
    <row r="6" spans="1:35" ht="15" x14ac:dyDescent="0.25">
      <c r="A6" s="155">
        <v>2</v>
      </c>
      <c r="B6" s="156">
        <v>5588.2</v>
      </c>
      <c r="C6" s="157">
        <v>6624.8</v>
      </c>
      <c r="D6" s="157">
        <v>5702.78</v>
      </c>
      <c r="E6" s="157">
        <v>6841.19</v>
      </c>
      <c r="F6" s="157">
        <v>6431.75</v>
      </c>
      <c r="G6" s="157">
        <v>6374.38</v>
      </c>
      <c r="H6" s="157">
        <v>6818.11</v>
      </c>
      <c r="I6" s="157">
        <v>6949.39</v>
      </c>
      <c r="J6" s="157">
        <v>6732.56</v>
      </c>
      <c r="K6" s="157">
        <v>5947.21</v>
      </c>
      <c r="L6" s="157">
        <v>5785.45</v>
      </c>
      <c r="M6" s="157">
        <v>6047.36</v>
      </c>
      <c r="N6" s="157">
        <v>5972.14</v>
      </c>
      <c r="O6" s="157">
        <v>6310.44</v>
      </c>
      <c r="P6" s="157">
        <v>6405.01</v>
      </c>
      <c r="Q6" s="157">
        <v>6703.65</v>
      </c>
      <c r="R6" s="157">
        <v>5340.52</v>
      </c>
      <c r="S6" s="157">
        <v>6759.04</v>
      </c>
      <c r="T6" s="157">
        <v>6522.96</v>
      </c>
      <c r="U6" s="157">
        <v>6816.21</v>
      </c>
      <c r="V6" s="157">
        <v>7405.56</v>
      </c>
      <c r="W6" s="157">
        <v>6275.66</v>
      </c>
      <c r="X6" s="157">
        <v>5803.81</v>
      </c>
      <c r="Y6" s="157">
        <v>6474.59</v>
      </c>
      <c r="Z6" s="157">
        <v>5929.9</v>
      </c>
      <c r="AA6" s="157">
        <v>6889.75</v>
      </c>
      <c r="AB6" s="157">
        <v>6982.96</v>
      </c>
      <c r="AC6" s="157">
        <v>5979.39</v>
      </c>
      <c r="AD6" s="157">
        <v>7036.34</v>
      </c>
      <c r="AE6" s="157">
        <v>6079.63</v>
      </c>
      <c r="AF6" s="157">
        <v>6589.44</v>
      </c>
      <c r="AG6" s="157">
        <v>6958.23</v>
      </c>
      <c r="AH6" s="157">
        <v>6788.72</v>
      </c>
      <c r="AI6" s="158">
        <v>211867.13</v>
      </c>
    </row>
    <row r="7" spans="1:35" ht="15" x14ac:dyDescent="0.25">
      <c r="A7" s="155">
        <v>3</v>
      </c>
      <c r="B7" s="156">
        <v>5594.09</v>
      </c>
      <c r="C7" s="157">
        <v>6641.53</v>
      </c>
      <c r="D7" s="157">
        <v>5721.4</v>
      </c>
      <c r="E7" s="157">
        <v>6843.38</v>
      </c>
      <c r="F7" s="157">
        <v>6446.03</v>
      </c>
      <c r="G7" s="157">
        <v>6384.68</v>
      </c>
      <c r="H7" s="157">
        <v>6816.76</v>
      </c>
      <c r="I7" s="157">
        <v>6952.26</v>
      </c>
      <c r="J7" s="157">
        <v>6729.57</v>
      </c>
      <c r="K7" s="157">
        <v>5946.9</v>
      </c>
      <c r="L7" s="157">
        <v>5776.85</v>
      </c>
      <c r="M7" s="157">
        <v>6057.46</v>
      </c>
      <c r="N7" s="157">
        <v>5983.27</v>
      </c>
      <c r="O7" s="157">
        <v>6317.28</v>
      </c>
      <c r="P7" s="157">
        <v>6406.74</v>
      </c>
      <c r="Q7" s="157">
        <v>6715.64</v>
      </c>
      <c r="R7" s="157">
        <v>5351.49</v>
      </c>
      <c r="S7" s="157">
        <v>6770.52</v>
      </c>
      <c r="T7" s="157">
        <v>6528.49</v>
      </c>
      <c r="U7" s="157">
        <v>6831.37</v>
      </c>
      <c r="V7" s="157">
        <v>7416.07</v>
      </c>
      <c r="W7" s="157">
        <v>6269.76</v>
      </c>
      <c r="X7" s="157">
        <v>5822.48</v>
      </c>
      <c r="Y7" s="157">
        <v>6480.68</v>
      </c>
      <c r="Z7" s="157">
        <v>5944.19</v>
      </c>
      <c r="AA7" s="157">
        <v>6898.75</v>
      </c>
      <c r="AB7" s="157">
        <v>7018.47</v>
      </c>
      <c r="AC7" s="157">
        <v>5986.05</v>
      </c>
      <c r="AD7" s="157">
        <v>7053.21</v>
      </c>
      <c r="AE7" s="157">
        <v>6095.55</v>
      </c>
      <c r="AF7" s="157">
        <v>6597.35</v>
      </c>
      <c r="AG7" s="157">
        <v>6962.17</v>
      </c>
      <c r="AH7" s="157">
        <v>6786.19</v>
      </c>
      <c r="AI7" s="158">
        <v>212146.63000000003</v>
      </c>
    </row>
    <row r="8" spans="1:35" ht="15" x14ac:dyDescent="0.25">
      <c r="A8" s="155">
        <v>4</v>
      </c>
      <c r="B8" s="156">
        <v>5597.28</v>
      </c>
      <c r="C8" s="157">
        <v>6652.2</v>
      </c>
      <c r="D8" s="157">
        <v>5737.82</v>
      </c>
      <c r="E8" s="157">
        <v>6846.54</v>
      </c>
      <c r="F8" s="157">
        <v>6454.04</v>
      </c>
      <c r="G8" s="157">
        <v>6391.56</v>
      </c>
      <c r="H8" s="157">
        <v>6816.83</v>
      </c>
      <c r="I8" s="157">
        <v>6953.89</v>
      </c>
      <c r="J8" s="157">
        <v>6729.64</v>
      </c>
      <c r="K8" s="157">
        <v>5945.86</v>
      </c>
      <c r="L8" s="157">
        <v>5766.15</v>
      </c>
      <c r="M8" s="157">
        <v>6066.48</v>
      </c>
      <c r="N8" s="157">
        <v>5992.04</v>
      </c>
      <c r="O8" s="157">
        <v>6325.44</v>
      </c>
      <c r="P8" s="157">
        <v>6411.65</v>
      </c>
      <c r="Q8" s="157">
        <v>6728.97</v>
      </c>
      <c r="R8" s="157">
        <v>5361.98</v>
      </c>
      <c r="S8" s="157">
        <v>6786.73</v>
      </c>
      <c r="T8" s="157">
        <v>6534.03</v>
      </c>
      <c r="U8" s="157">
        <v>6846.04</v>
      </c>
      <c r="V8" s="157">
        <v>7425.31</v>
      </c>
      <c r="W8" s="157">
        <v>6264.32</v>
      </c>
      <c r="X8" s="157">
        <v>5839.28</v>
      </c>
      <c r="Y8" s="157">
        <v>6489.43</v>
      </c>
      <c r="Z8" s="157">
        <v>5961.28</v>
      </c>
      <c r="AA8" s="157">
        <v>6907.91</v>
      </c>
      <c r="AB8" s="157">
        <v>7030.84</v>
      </c>
      <c r="AC8" s="157">
        <v>5991.75</v>
      </c>
      <c r="AD8" s="157">
        <v>7065.17</v>
      </c>
      <c r="AE8" s="157">
        <v>6108.63</v>
      </c>
      <c r="AF8" s="157">
        <v>6608.53</v>
      </c>
      <c r="AG8" s="157">
        <v>6967.03</v>
      </c>
      <c r="AH8" s="157">
        <v>6784.26</v>
      </c>
      <c r="AI8" s="158">
        <v>212388.91</v>
      </c>
    </row>
    <row r="9" spans="1:35" ht="15" x14ac:dyDescent="0.25">
      <c r="A9" s="155">
        <v>5</v>
      </c>
      <c r="B9" s="156">
        <v>5601.86</v>
      </c>
      <c r="C9" s="157">
        <v>6666.26</v>
      </c>
      <c r="D9" s="157">
        <v>5754.22</v>
      </c>
      <c r="E9" s="157">
        <v>6849.92</v>
      </c>
      <c r="F9" s="157">
        <v>6465.94</v>
      </c>
      <c r="G9" s="157">
        <v>6402.19</v>
      </c>
      <c r="H9" s="157">
        <v>6815.6</v>
      </c>
      <c r="I9" s="157">
        <v>6954.67</v>
      </c>
      <c r="J9" s="157">
        <v>6729.69</v>
      </c>
      <c r="K9" s="157">
        <v>5945.54</v>
      </c>
      <c r="L9" s="157">
        <v>5759.12</v>
      </c>
      <c r="M9" s="157">
        <v>6075.04</v>
      </c>
      <c r="N9" s="157">
        <v>6004.79</v>
      </c>
      <c r="O9" s="157">
        <v>6335.61</v>
      </c>
      <c r="P9" s="157">
        <v>6417.8</v>
      </c>
      <c r="Q9" s="157">
        <v>6744.01</v>
      </c>
      <c r="R9" s="157">
        <v>5376.19</v>
      </c>
      <c r="S9" s="157">
        <v>6802.29</v>
      </c>
      <c r="T9" s="157">
        <v>6540.99</v>
      </c>
      <c r="U9" s="157">
        <v>6854.67</v>
      </c>
      <c r="V9" s="157">
        <v>7435.99</v>
      </c>
      <c r="W9" s="157">
        <v>6258.08</v>
      </c>
      <c r="X9" s="157">
        <v>5853.57</v>
      </c>
      <c r="Y9" s="157">
        <v>6501.77</v>
      </c>
      <c r="Z9" s="157">
        <v>5977.72</v>
      </c>
      <c r="AA9" s="157">
        <v>6913.7</v>
      </c>
      <c r="AB9" s="157">
        <v>7044.03</v>
      </c>
      <c r="AC9" s="157">
        <v>6002.3</v>
      </c>
      <c r="AD9" s="157">
        <v>7075.16</v>
      </c>
      <c r="AE9" s="157">
        <v>6120.41</v>
      </c>
      <c r="AF9" s="157">
        <v>6617.06</v>
      </c>
      <c r="AG9" s="157">
        <v>6972.04</v>
      </c>
      <c r="AH9" s="157">
        <v>6786.49</v>
      </c>
      <c r="AI9" s="158">
        <v>212654.71999999997</v>
      </c>
    </row>
    <row r="10" spans="1:35" ht="15" x14ac:dyDescent="0.25">
      <c r="A10" s="155">
        <v>6</v>
      </c>
      <c r="B10" s="156">
        <v>5607.17</v>
      </c>
      <c r="C10" s="157">
        <v>6676.23</v>
      </c>
      <c r="D10" s="157">
        <v>5770.58</v>
      </c>
      <c r="E10" s="157">
        <v>6852.4</v>
      </c>
      <c r="F10" s="157">
        <v>6474.69</v>
      </c>
      <c r="G10" s="157">
        <v>6411.13</v>
      </c>
      <c r="H10" s="157">
        <v>6813.88</v>
      </c>
      <c r="I10" s="157">
        <v>6956.6</v>
      </c>
      <c r="J10" s="157">
        <v>6730.73</v>
      </c>
      <c r="K10" s="157">
        <v>5944.97</v>
      </c>
      <c r="L10" s="157">
        <v>5754.12</v>
      </c>
      <c r="M10" s="157">
        <v>6080.66</v>
      </c>
      <c r="N10" s="157">
        <v>6014.81</v>
      </c>
      <c r="O10" s="157">
        <v>6345.73</v>
      </c>
      <c r="P10" s="157">
        <v>6425.73</v>
      </c>
      <c r="Q10" s="157">
        <v>6760.24</v>
      </c>
      <c r="R10" s="157">
        <v>5387.53</v>
      </c>
      <c r="S10" s="157">
        <v>6811.08</v>
      </c>
      <c r="T10" s="157">
        <v>6547.06</v>
      </c>
      <c r="U10" s="157">
        <v>6866.75</v>
      </c>
      <c r="V10" s="157">
        <v>7443.82</v>
      </c>
      <c r="W10" s="157">
        <v>6254.2</v>
      </c>
      <c r="X10" s="157">
        <v>5865.93</v>
      </c>
      <c r="Y10" s="157">
        <v>6510.42</v>
      </c>
      <c r="Z10" s="157">
        <v>5993.36</v>
      </c>
      <c r="AA10" s="157">
        <v>6922.11</v>
      </c>
      <c r="AB10" s="157">
        <v>7057.12</v>
      </c>
      <c r="AC10" s="157">
        <v>6011.18</v>
      </c>
      <c r="AD10" s="157">
        <v>7081.31</v>
      </c>
      <c r="AE10" s="157">
        <v>6127.48</v>
      </c>
      <c r="AF10" s="157">
        <v>6623.92</v>
      </c>
      <c r="AG10" s="157">
        <v>6978.2</v>
      </c>
      <c r="AH10" s="157">
        <v>6796.77</v>
      </c>
      <c r="AI10" s="158">
        <v>212897.90999999997</v>
      </c>
    </row>
    <row r="11" spans="1:35" ht="15" x14ac:dyDescent="0.25">
      <c r="A11" s="155">
        <v>7</v>
      </c>
      <c r="B11" s="156">
        <v>5612.63</v>
      </c>
      <c r="C11" s="157">
        <v>6684.2</v>
      </c>
      <c r="D11" s="157">
        <v>5784.84</v>
      </c>
      <c r="E11" s="157">
        <v>6854.72</v>
      </c>
      <c r="F11" s="157">
        <v>6483.75</v>
      </c>
      <c r="G11" s="157">
        <v>6417.59</v>
      </c>
      <c r="H11" s="157">
        <v>6813.96</v>
      </c>
      <c r="I11" s="157">
        <v>6957.61</v>
      </c>
      <c r="J11" s="157">
        <v>6731.24</v>
      </c>
      <c r="K11" s="157">
        <v>5944.51</v>
      </c>
      <c r="L11" s="157">
        <v>5749.33</v>
      </c>
      <c r="M11" s="157">
        <v>6087.51</v>
      </c>
      <c r="N11" s="157">
        <v>6022.23</v>
      </c>
      <c r="O11" s="157">
        <v>6357.54</v>
      </c>
      <c r="P11" s="157">
        <v>6430.93</v>
      </c>
      <c r="Q11" s="157">
        <v>6777.03</v>
      </c>
      <c r="R11" s="157">
        <v>5395.58</v>
      </c>
      <c r="S11" s="157">
        <v>6821.01</v>
      </c>
      <c r="T11" s="157">
        <v>6552.52</v>
      </c>
      <c r="U11" s="157">
        <v>6877.96</v>
      </c>
      <c r="V11" s="157">
        <v>7449.35</v>
      </c>
      <c r="W11" s="157">
        <v>6249.08</v>
      </c>
      <c r="X11" s="157">
        <v>5877.7</v>
      </c>
      <c r="Y11" s="157">
        <v>6518.99</v>
      </c>
      <c r="Z11" s="157">
        <v>6007.07</v>
      </c>
      <c r="AA11" s="157">
        <v>6932.03</v>
      </c>
      <c r="AB11" s="157">
        <v>7067.64</v>
      </c>
      <c r="AC11" s="157">
        <v>6020.08</v>
      </c>
      <c r="AD11" s="157">
        <v>7087.98</v>
      </c>
      <c r="AE11" s="157">
        <v>6136.52</v>
      </c>
      <c r="AF11" s="157">
        <v>6631.01</v>
      </c>
      <c r="AG11" s="157">
        <v>6983.26</v>
      </c>
      <c r="AH11" s="157">
        <v>6805.88</v>
      </c>
      <c r="AI11" s="158">
        <v>213123.28</v>
      </c>
    </row>
    <row r="12" spans="1:35" ht="15" x14ac:dyDescent="0.25">
      <c r="A12" s="155">
        <v>8</v>
      </c>
      <c r="B12" s="156">
        <v>5616.32</v>
      </c>
      <c r="C12" s="157">
        <v>6689.28</v>
      </c>
      <c r="D12" s="157">
        <v>5798.09</v>
      </c>
      <c r="E12" s="157">
        <v>6857.43</v>
      </c>
      <c r="F12" s="157">
        <v>6491.81</v>
      </c>
      <c r="G12" s="157">
        <v>6422.14</v>
      </c>
      <c r="H12" s="157">
        <v>6812.83</v>
      </c>
      <c r="I12" s="157">
        <v>6958.88</v>
      </c>
      <c r="J12" s="157">
        <v>6731.93</v>
      </c>
      <c r="K12" s="157">
        <v>5943.59</v>
      </c>
      <c r="L12" s="157">
        <v>5743.04</v>
      </c>
      <c r="M12" s="157">
        <v>6094.48</v>
      </c>
      <c r="N12" s="157">
        <v>6030.3</v>
      </c>
      <c r="O12" s="157">
        <v>6365.51</v>
      </c>
      <c r="P12" s="157">
        <v>6434.82</v>
      </c>
      <c r="Q12" s="157">
        <v>6793.45</v>
      </c>
      <c r="R12" s="157">
        <v>5403.18</v>
      </c>
      <c r="S12" s="157">
        <v>6830.17</v>
      </c>
      <c r="T12" s="157">
        <v>6558.6</v>
      </c>
      <c r="U12" s="157">
        <v>6887.16</v>
      </c>
      <c r="V12" s="157">
        <v>7455.57</v>
      </c>
      <c r="W12" s="157">
        <v>6243.91</v>
      </c>
      <c r="X12" s="157">
        <v>5887.91</v>
      </c>
      <c r="Y12" s="157">
        <v>6523.05</v>
      </c>
      <c r="Z12" s="157">
        <v>6020.42</v>
      </c>
      <c r="AA12" s="157">
        <v>6941.09</v>
      </c>
      <c r="AB12" s="157">
        <v>7078.14</v>
      </c>
      <c r="AC12" s="157">
        <v>6025.6</v>
      </c>
      <c r="AD12" s="157">
        <v>7091.96</v>
      </c>
      <c r="AE12" s="157">
        <v>6142.76</v>
      </c>
      <c r="AF12" s="157">
        <v>6636.03</v>
      </c>
      <c r="AG12" s="157">
        <v>6987.3</v>
      </c>
      <c r="AH12" s="157">
        <v>6816.97</v>
      </c>
      <c r="AI12" s="158">
        <v>213313.72</v>
      </c>
    </row>
    <row r="13" spans="1:35" ht="15" x14ac:dyDescent="0.25">
      <c r="A13" s="155">
        <v>9</v>
      </c>
      <c r="B13" s="156">
        <v>5618.62</v>
      </c>
      <c r="C13" s="157">
        <v>6695.97</v>
      </c>
      <c r="D13" s="157">
        <v>5809.27</v>
      </c>
      <c r="E13" s="157">
        <v>6859.66</v>
      </c>
      <c r="F13" s="157">
        <v>6496.2</v>
      </c>
      <c r="G13" s="157">
        <v>6427.13</v>
      </c>
      <c r="H13" s="157">
        <v>6809.94</v>
      </c>
      <c r="I13" s="157">
        <v>6960.6</v>
      </c>
      <c r="J13" s="157">
        <v>6734.15</v>
      </c>
      <c r="K13" s="157">
        <v>5943.53</v>
      </c>
      <c r="L13" s="157">
        <v>5735.11</v>
      </c>
      <c r="M13" s="157">
        <v>6101.7</v>
      </c>
      <c r="N13" s="157">
        <v>6035.48</v>
      </c>
      <c r="O13" s="157">
        <v>6374.87</v>
      </c>
      <c r="P13" s="157">
        <v>6438.06</v>
      </c>
      <c r="Q13" s="157">
        <v>6808.37</v>
      </c>
      <c r="R13" s="157">
        <v>5410.67</v>
      </c>
      <c r="S13" s="157">
        <v>6839.27</v>
      </c>
      <c r="T13" s="157">
        <v>6559.86</v>
      </c>
      <c r="U13" s="157">
        <v>6895.71</v>
      </c>
      <c r="V13" s="157">
        <v>7459.64</v>
      </c>
      <c r="W13" s="157">
        <v>6236.52</v>
      </c>
      <c r="X13" s="157">
        <v>5897.69</v>
      </c>
      <c r="Y13" s="157">
        <v>6528.85</v>
      </c>
      <c r="Z13" s="157">
        <v>6032.41</v>
      </c>
      <c r="AA13" s="157">
        <v>6949.13</v>
      </c>
      <c r="AB13" s="157">
        <v>7088.9</v>
      </c>
      <c r="AC13" s="157">
        <v>6032.64</v>
      </c>
      <c r="AD13" s="157">
        <v>7098.72</v>
      </c>
      <c r="AE13" s="157">
        <v>6150.71</v>
      </c>
      <c r="AF13" s="157">
        <v>6640.59</v>
      </c>
      <c r="AG13" s="157">
        <v>6989.47</v>
      </c>
      <c r="AH13" s="157">
        <v>6828.07</v>
      </c>
      <c r="AI13" s="158">
        <v>213487.51</v>
      </c>
    </row>
    <row r="14" spans="1:35" ht="15" x14ac:dyDescent="0.25">
      <c r="A14" s="155">
        <v>10</v>
      </c>
      <c r="B14" s="156">
        <v>5621.81</v>
      </c>
      <c r="C14" s="157">
        <v>6700.92</v>
      </c>
      <c r="D14" s="157">
        <v>5818.56</v>
      </c>
      <c r="E14" s="157">
        <v>6861.99</v>
      </c>
      <c r="F14" s="157">
        <v>6500.5</v>
      </c>
      <c r="G14" s="157">
        <v>6432.1</v>
      </c>
      <c r="H14" s="157">
        <v>6808.43</v>
      </c>
      <c r="I14" s="157">
        <v>6962.47</v>
      </c>
      <c r="J14" s="157">
        <v>6737.21</v>
      </c>
      <c r="K14" s="157">
        <v>5942.33</v>
      </c>
      <c r="L14" s="157">
        <v>5726.96</v>
      </c>
      <c r="M14" s="157">
        <v>6105.78</v>
      </c>
      <c r="N14" s="157">
        <v>6042.88</v>
      </c>
      <c r="O14" s="157">
        <v>6383.99</v>
      </c>
      <c r="P14" s="157">
        <v>6442.3</v>
      </c>
      <c r="Q14" s="157">
        <v>6823.33</v>
      </c>
      <c r="R14" s="157">
        <v>5417.67</v>
      </c>
      <c r="S14" s="157">
        <v>6845.55</v>
      </c>
      <c r="T14" s="157">
        <v>6561.95</v>
      </c>
      <c r="U14" s="157">
        <v>6901.18</v>
      </c>
      <c r="V14" s="157">
        <v>7463.92</v>
      </c>
      <c r="W14" s="157">
        <v>6226.85</v>
      </c>
      <c r="X14" s="157">
        <v>5908.34</v>
      </c>
      <c r="Y14" s="157">
        <v>6535.66</v>
      </c>
      <c r="Z14" s="157">
        <v>6039.32</v>
      </c>
      <c r="AA14" s="157">
        <v>6954.26</v>
      </c>
      <c r="AB14" s="157">
        <v>7098.32</v>
      </c>
      <c r="AC14" s="157">
        <v>6037.64</v>
      </c>
      <c r="AD14" s="157">
        <v>7103.96</v>
      </c>
      <c r="AE14" s="157">
        <v>6155.75</v>
      </c>
      <c r="AF14" s="157">
        <v>6642.8</v>
      </c>
      <c r="AG14" s="157">
        <v>6992.49</v>
      </c>
      <c r="AH14" s="157">
        <v>6835</v>
      </c>
      <c r="AI14" s="158">
        <v>213632.22000000003</v>
      </c>
    </row>
    <row r="15" spans="1:35" ht="15" x14ac:dyDescent="0.25">
      <c r="A15" s="155">
        <v>11</v>
      </c>
      <c r="B15" s="156">
        <v>5626</v>
      </c>
      <c r="C15" s="157">
        <v>6705.28</v>
      </c>
      <c r="D15" s="157">
        <v>5826.69</v>
      </c>
      <c r="E15" s="157">
        <v>6863.94</v>
      </c>
      <c r="F15" s="157">
        <v>6504.84</v>
      </c>
      <c r="G15" s="157">
        <v>6435.54</v>
      </c>
      <c r="H15" s="157">
        <v>6808.45</v>
      </c>
      <c r="I15" s="157">
        <v>6963.7</v>
      </c>
      <c r="J15" s="157">
        <v>6739.87</v>
      </c>
      <c r="K15" s="157">
        <v>5940.51</v>
      </c>
      <c r="L15" s="157">
        <v>5720.98</v>
      </c>
      <c r="M15" s="157">
        <v>6109.01</v>
      </c>
      <c r="N15" s="157">
        <v>6048.56</v>
      </c>
      <c r="O15" s="157">
        <v>6392.17</v>
      </c>
      <c r="P15" s="157">
        <v>6447.89</v>
      </c>
      <c r="Q15" s="157">
        <v>6833.05</v>
      </c>
      <c r="R15" s="157">
        <v>5421.76</v>
      </c>
      <c r="S15" s="157">
        <v>6850.08</v>
      </c>
      <c r="T15" s="157">
        <v>6564.28</v>
      </c>
      <c r="U15" s="157">
        <v>6904.8</v>
      </c>
      <c r="V15" s="157">
        <v>7466.74</v>
      </c>
      <c r="W15" s="157">
        <v>6217.22</v>
      </c>
      <c r="X15" s="157">
        <v>5915.35</v>
      </c>
      <c r="Y15" s="157">
        <v>6541.71</v>
      </c>
      <c r="Z15" s="157">
        <v>6047.16</v>
      </c>
      <c r="AA15" s="157">
        <v>6959.58</v>
      </c>
      <c r="AB15" s="157">
        <v>7104.11</v>
      </c>
      <c r="AC15" s="157">
        <v>6042.92</v>
      </c>
      <c r="AD15" s="157">
        <v>7108.81</v>
      </c>
      <c r="AE15" s="157">
        <v>6159.92</v>
      </c>
      <c r="AF15" s="157">
        <v>6646.97</v>
      </c>
      <c r="AG15" s="157">
        <v>6996.24</v>
      </c>
      <c r="AH15" s="157">
        <v>6844.09</v>
      </c>
      <c r="AI15" s="158">
        <v>213758.21999999997</v>
      </c>
    </row>
    <row r="16" spans="1:35" ht="15" x14ac:dyDescent="0.25">
      <c r="A16" s="155">
        <v>12</v>
      </c>
      <c r="B16" s="156">
        <v>5626.94</v>
      </c>
      <c r="C16" s="157">
        <v>6708.27</v>
      </c>
      <c r="D16" s="157">
        <v>5831.98</v>
      </c>
      <c r="E16" s="157">
        <v>6866.05</v>
      </c>
      <c r="F16" s="157">
        <v>6507.12</v>
      </c>
      <c r="G16" s="157">
        <v>6437.98</v>
      </c>
      <c r="H16" s="157">
        <v>6808.19</v>
      </c>
      <c r="I16" s="157">
        <v>6963.73</v>
      </c>
      <c r="J16" s="157">
        <v>6739.43</v>
      </c>
      <c r="K16" s="157">
        <v>5939.77</v>
      </c>
      <c r="L16" s="157">
        <v>5716.23</v>
      </c>
      <c r="M16" s="157">
        <v>6113.25</v>
      </c>
      <c r="N16" s="157">
        <v>6055.27</v>
      </c>
      <c r="O16" s="157">
        <v>6399.16</v>
      </c>
      <c r="P16" s="157">
        <v>6452.26</v>
      </c>
      <c r="Q16" s="157">
        <v>6841.19</v>
      </c>
      <c r="R16" s="157">
        <v>5427.37</v>
      </c>
      <c r="S16" s="157">
        <v>6852.54</v>
      </c>
      <c r="T16" s="157">
        <v>6566.41</v>
      </c>
      <c r="U16" s="157">
        <v>6906.96</v>
      </c>
      <c r="V16" s="157">
        <v>7471.81</v>
      </c>
      <c r="W16" s="157">
        <v>6209.72</v>
      </c>
      <c r="X16" s="157">
        <v>5922.26</v>
      </c>
      <c r="Y16" s="157">
        <v>6548.69</v>
      </c>
      <c r="Z16" s="157">
        <v>6052.8</v>
      </c>
      <c r="AA16" s="157">
        <v>6965.01</v>
      </c>
      <c r="AB16" s="157">
        <v>7110.23</v>
      </c>
      <c r="AC16" s="157">
        <v>6048.14</v>
      </c>
      <c r="AD16" s="157">
        <v>7113.43</v>
      </c>
      <c r="AE16" s="157">
        <v>6164.47</v>
      </c>
      <c r="AF16" s="157">
        <v>6652.73</v>
      </c>
      <c r="AG16" s="157">
        <v>6996.52</v>
      </c>
      <c r="AH16" s="157">
        <v>6853.35</v>
      </c>
      <c r="AI16" s="158">
        <v>213869.26000000004</v>
      </c>
    </row>
    <row r="17" spans="1:35" ht="15" x14ac:dyDescent="0.25">
      <c r="A17" s="155">
        <v>13</v>
      </c>
      <c r="B17" s="156">
        <v>5628.74</v>
      </c>
      <c r="C17" s="157">
        <v>6709.02</v>
      </c>
      <c r="D17" s="157">
        <v>5834.16</v>
      </c>
      <c r="E17" s="157">
        <v>6868.03</v>
      </c>
      <c r="F17" s="157">
        <v>6509.38</v>
      </c>
      <c r="G17" s="157">
        <v>6441.61</v>
      </c>
      <c r="H17" s="157">
        <v>6807.23</v>
      </c>
      <c r="I17" s="157">
        <v>6964.69</v>
      </c>
      <c r="J17" s="157">
        <v>6738.51</v>
      </c>
      <c r="K17" s="157">
        <v>5939.06</v>
      </c>
      <c r="L17" s="157">
        <v>5709.97</v>
      </c>
      <c r="M17" s="157">
        <v>6118.04</v>
      </c>
      <c r="N17" s="157">
        <v>6060.27</v>
      </c>
      <c r="O17" s="157">
        <v>6403.13</v>
      </c>
      <c r="P17" s="157">
        <v>6454.29</v>
      </c>
      <c r="Q17" s="157">
        <v>6846.62</v>
      </c>
      <c r="R17" s="157">
        <v>5431.4</v>
      </c>
      <c r="S17" s="157">
        <v>6854.86</v>
      </c>
      <c r="T17" s="157">
        <v>6567.78</v>
      </c>
      <c r="U17" s="157">
        <v>6908.38</v>
      </c>
      <c r="V17" s="157">
        <v>7477.94</v>
      </c>
      <c r="W17" s="157">
        <v>6202.71</v>
      </c>
      <c r="X17" s="157">
        <v>5926.53</v>
      </c>
      <c r="Y17" s="157">
        <v>6555.23</v>
      </c>
      <c r="Z17" s="157">
        <v>6058.26</v>
      </c>
      <c r="AA17" s="157">
        <v>6970.5</v>
      </c>
      <c r="AB17" s="157">
        <v>7117.92</v>
      </c>
      <c r="AC17" s="157">
        <v>6054.14</v>
      </c>
      <c r="AD17" s="157">
        <v>7113.74</v>
      </c>
      <c r="AE17" s="157">
        <v>6167.64</v>
      </c>
      <c r="AF17" s="157">
        <v>6657.02</v>
      </c>
      <c r="AG17" s="157">
        <v>6996.43</v>
      </c>
      <c r="AH17" s="157">
        <v>6862.26</v>
      </c>
      <c r="AI17" s="158">
        <v>213955.49000000002</v>
      </c>
    </row>
    <row r="18" spans="1:35" ht="15" x14ac:dyDescent="0.25">
      <c r="A18" s="155">
        <v>14</v>
      </c>
      <c r="B18" s="156">
        <v>5628.51</v>
      </c>
      <c r="C18" s="157">
        <v>6710.47</v>
      </c>
      <c r="D18" s="157">
        <v>5838</v>
      </c>
      <c r="E18" s="157">
        <v>6868.19</v>
      </c>
      <c r="F18" s="157">
        <v>6510.25</v>
      </c>
      <c r="G18" s="157">
        <v>6443.29</v>
      </c>
      <c r="H18" s="157">
        <v>6804.45</v>
      </c>
      <c r="I18" s="157">
        <v>6966.15</v>
      </c>
      <c r="J18" s="157">
        <v>6738.72</v>
      </c>
      <c r="K18" s="157">
        <v>5937.32</v>
      </c>
      <c r="L18" s="157">
        <v>5704.45</v>
      </c>
      <c r="M18" s="157">
        <v>6121.62</v>
      </c>
      <c r="N18" s="157">
        <v>6065.02</v>
      </c>
      <c r="O18" s="157">
        <v>6407.4</v>
      </c>
      <c r="P18" s="157">
        <v>6456.99</v>
      </c>
      <c r="Q18" s="157">
        <v>6850.12</v>
      </c>
      <c r="R18" s="157">
        <v>5435.19</v>
      </c>
      <c r="S18" s="157">
        <v>6859.89</v>
      </c>
      <c r="T18" s="157">
        <v>6569.94</v>
      </c>
      <c r="U18" s="157">
        <v>6910.68</v>
      </c>
      <c r="V18" s="157">
        <v>7478.66</v>
      </c>
      <c r="W18" s="157">
        <v>6195.68</v>
      </c>
      <c r="X18" s="157">
        <v>5928.44</v>
      </c>
      <c r="Y18" s="157">
        <v>6556.55</v>
      </c>
      <c r="Z18" s="157">
        <v>6063.16</v>
      </c>
      <c r="AA18" s="157">
        <v>6975.05</v>
      </c>
      <c r="AB18" s="157">
        <v>7118.01</v>
      </c>
      <c r="AC18" s="157">
        <v>6058.05</v>
      </c>
      <c r="AD18" s="157">
        <v>7115.7</v>
      </c>
      <c r="AE18" s="157">
        <v>6171.27</v>
      </c>
      <c r="AF18" s="157">
        <v>6660.18</v>
      </c>
      <c r="AG18" s="157">
        <v>6996.65</v>
      </c>
      <c r="AH18" s="157">
        <v>6867.32</v>
      </c>
      <c r="AI18" s="158">
        <v>214011.36999999997</v>
      </c>
    </row>
    <row r="19" spans="1:35" ht="15" x14ac:dyDescent="0.25">
      <c r="A19" s="155">
        <v>15</v>
      </c>
      <c r="B19" s="156">
        <v>5628.21</v>
      </c>
      <c r="C19" s="157">
        <v>6710.58</v>
      </c>
      <c r="D19" s="157">
        <v>5840.12</v>
      </c>
      <c r="E19" s="157">
        <v>6866.54</v>
      </c>
      <c r="F19" s="157">
        <v>6510.18</v>
      </c>
      <c r="G19" s="157">
        <v>6443.65</v>
      </c>
      <c r="H19" s="157">
        <v>6801.27</v>
      </c>
      <c r="I19" s="157">
        <v>6965.39</v>
      </c>
      <c r="J19" s="157">
        <v>6738.33</v>
      </c>
      <c r="K19" s="157">
        <v>5934.78</v>
      </c>
      <c r="L19" s="157">
        <v>5695.71</v>
      </c>
      <c r="M19" s="157">
        <v>6126.21</v>
      </c>
      <c r="N19" s="157">
        <v>6070.79</v>
      </c>
      <c r="O19" s="157">
        <v>6410.89</v>
      </c>
      <c r="P19" s="157">
        <v>6456.94</v>
      </c>
      <c r="Q19" s="157">
        <v>6850.17</v>
      </c>
      <c r="R19" s="157">
        <v>5437.44</v>
      </c>
      <c r="S19" s="157">
        <v>6865.98</v>
      </c>
      <c r="T19" s="157">
        <v>6570.33</v>
      </c>
      <c r="U19" s="157">
        <v>6914.64</v>
      </c>
      <c r="V19" s="157">
        <v>7481.21</v>
      </c>
      <c r="W19" s="157">
        <v>6190.71</v>
      </c>
      <c r="X19" s="157">
        <v>5929.68</v>
      </c>
      <c r="Y19" s="157">
        <v>6557.01</v>
      </c>
      <c r="Z19" s="157">
        <v>6065.32</v>
      </c>
      <c r="AA19" s="157">
        <v>6977.55</v>
      </c>
      <c r="AB19" s="157">
        <v>7117.15</v>
      </c>
      <c r="AC19" s="157">
        <v>6062.24</v>
      </c>
      <c r="AD19" s="157">
        <v>7116.29</v>
      </c>
      <c r="AE19" s="157">
        <v>6176.36</v>
      </c>
      <c r="AF19" s="157">
        <v>6659.05</v>
      </c>
      <c r="AG19" s="157">
        <v>6997.19</v>
      </c>
      <c r="AH19" s="157">
        <v>6872.63</v>
      </c>
      <c r="AI19" s="158">
        <v>214040.53999999998</v>
      </c>
    </row>
    <row r="20" spans="1:35" ht="15" x14ac:dyDescent="0.25">
      <c r="A20" s="155">
        <v>16</v>
      </c>
      <c r="B20" s="156">
        <v>5628.02</v>
      </c>
      <c r="C20" s="157">
        <v>6713.41</v>
      </c>
      <c r="D20" s="157">
        <v>5842.72</v>
      </c>
      <c r="E20" s="157">
        <v>6865.21</v>
      </c>
      <c r="F20" s="157">
        <v>6510.42</v>
      </c>
      <c r="G20" s="157">
        <v>6443.7</v>
      </c>
      <c r="H20" s="157">
        <v>6796.85</v>
      </c>
      <c r="I20" s="157">
        <v>6964.17</v>
      </c>
      <c r="J20" s="157">
        <v>6737.59</v>
      </c>
      <c r="K20" s="157">
        <v>5933.8</v>
      </c>
      <c r="L20" s="157">
        <v>5685.04</v>
      </c>
      <c r="M20" s="157">
        <v>6128.12</v>
      </c>
      <c r="N20" s="157">
        <v>6072.62</v>
      </c>
      <c r="O20" s="157">
        <v>6411.08</v>
      </c>
      <c r="P20" s="157">
        <v>6457.56</v>
      </c>
      <c r="Q20" s="157">
        <v>6853.09</v>
      </c>
      <c r="R20" s="157">
        <v>5439.13</v>
      </c>
      <c r="S20" s="157">
        <v>6866.14</v>
      </c>
      <c r="T20" s="157">
        <v>6570.22</v>
      </c>
      <c r="U20" s="157">
        <v>6918.2</v>
      </c>
      <c r="V20" s="157">
        <v>7480.69</v>
      </c>
      <c r="W20" s="157">
        <v>6187.08</v>
      </c>
      <c r="X20" s="157">
        <v>5931.72</v>
      </c>
      <c r="Y20" s="157">
        <v>6556.55</v>
      </c>
      <c r="Z20" s="157">
        <v>6065.66</v>
      </c>
      <c r="AA20" s="157">
        <v>6981.75</v>
      </c>
      <c r="AB20" s="157">
        <v>7116.13</v>
      </c>
      <c r="AC20" s="157">
        <v>6062.27</v>
      </c>
      <c r="AD20" s="157">
        <v>7116.4</v>
      </c>
      <c r="AE20" s="157">
        <v>6179.46</v>
      </c>
      <c r="AF20" s="157">
        <v>6658</v>
      </c>
      <c r="AG20" s="157">
        <v>6997.59</v>
      </c>
      <c r="AH20" s="157">
        <v>6876.7</v>
      </c>
      <c r="AI20" s="158">
        <v>214047.08999999994</v>
      </c>
    </row>
    <row r="21" spans="1:35" ht="15" x14ac:dyDescent="0.25">
      <c r="A21" s="155">
        <v>17</v>
      </c>
      <c r="B21" s="156">
        <v>5628.43</v>
      </c>
      <c r="C21" s="157">
        <v>6714.22</v>
      </c>
      <c r="D21" s="157">
        <v>5842.14</v>
      </c>
      <c r="E21" s="157">
        <v>6864</v>
      </c>
      <c r="F21" s="157">
        <v>6510.69</v>
      </c>
      <c r="G21" s="157">
        <v>6444.58</v>
      </c>
      <c r="H21" s="157">
        <v>6793.75</v>
      </c>
      <c r="I21" s="157">
        <v>6964.26</v>
      </c>
      <c r="J21" s="157">
        <v>6734.82</v>
      </c>
      <c r="K21" s="157">
        <v>5931.65</v>
      </c>
      <c r="L21" s="157">
        <v>5674.86</v>
      </c>
      <c r="M21" s="157">
        <v>6130.69</v>
      </c>
      <c r="N21" s="157">
        <v>6074.8</v>
      </c>
      <c r="O21" s="157">
        <v>6411.05</v>
      </c>
      <c r="P21" s="157">
        <v>6458.99</v>
      </c>
      <c r="Q21" s="157">
        <v>6855.24</v>
      </c>
      <c r="R21" s="157">
        <v>5440.99</v>
      </c>
      <c r="S21" s="157">
        <v>6866.05</v>
      </c>
      <c r="T21" s="157">
        <v>6570.03</v>
      </c>
      <c r="U21" s="157">
        <v>6920.05</v>
      </c>
      <c r="V21" s="157">
        <v>7480.64</v>
      </c>
      <c r="W21" s="157">
        <v>6183.89</v>
      </c>
      <c r="X21" s="157">
        <v>5933.93</v>
      </c>
      <c r="Y21" s="157">
        <v>6556.5</v>
      </c>
      <c r="Z21" s="157">
        <v>6066.51</v>
      </c>
      <c r="AA21" s="157">
        <v>6985.48</v>
      </c>
      <c r="AB21" s="157">
        <v>7116.1</v>
      </c>
      <c r="AC21" s="157">
        <v>6062.08</v>
      </c>
      <c r="AD21" s="157">
        <v>7115.78</v>
      </c>
      <c r="AE21" s="157">
        <v>6183.63</v>
      </c>
      <c r="AF21" s="157">
        <v>6657.61</v>
      </c>
      <c r="AG21" s="157">
        <v>6997.58</v>
      </c>
      <c r="AH21" s="157">
        <v>6879.34</v>
      </c>
      <c r="AI21" s="158">
        <v>214050.36000000002</v>
      </c>
    </row>
    <row r="22" spans="1:35" ht="15" x14ac:dyDescent="0.25">
      <c r="A22" s="155">
        <v>18</v>
      </c>
      <c r="B22" s="156">
        <v>5630.06</v>
      </c>
      <c r="C22" s="157">
        <v>6714.35</v>
      </c>
      <c r="D22" s="157">
        <v>5841.03</v>
      </c>
      <c r="E22" s="157">
        <v>6864.06</v>
      </c>
      <c r="F22" s="157">
        <v>6510.92</v>
      </c>
      <c r="G22" s="157">
        <v>6447.13</v>
      </c>
      <c r="H22" s="157">
        <v>6791.73</v>
      </c>
      <c r="I22" s="157">
        <v>6963.79</v>
      </c>
      <c r="J22" s="157">
        <v>6732.37</v>
      </c>
      <c r="K22" s="157">
        <v>5929.55</v>
      </c>
      <c r="L22" s="157">
        <v>5666.77</v>
      </c>
      <c r="M22" s="157">
        <v>6130.8</v>
      </c>
      <c r="N22" s="157">
        <v>6074.54</v>
      </c>
      <c r="O22" s="157">
        <v>6411.41</v>
      </c>
      <c r="P22" s="157">
        <v>6459.33</v>
      </c>
      <c r="Q22" s="157">
        <v>6859.3</v>
      </c>
      <c r="R22" s="157">
        <v>5442.75</v>
      </c>
      <c r="S22" s="157">
        <v>6866.52</v>
      </c>
      <c r="T22" s="157">
        <v>6571.78</v>
      </c>
      <c r="U22" s="157">
        <v>6920.89</v>
      </c>
      <c r="V22" s="157">
        <v>7481.48</v>
      </c>
      <c r="W22" s="157">
        <v>6180.77</v>
      </c>
      <c r="X22" s="157">
        <v>5937.54</v>
      </c>
      <c r="Y22" s="157">
        <v>6555.94</v>
      </c>
      <c r="Z22" s="157">
        <v>6068.6</v>
      </c>
      <c r="AA22" s="157">
        <v>6988.59</v>
      </c>
      <c r="AB22" s="157">
        <v>7116.18</v>
      </c>
      <c r="AC22" s="157">
        <v>6062.36</v>
      </c>
      <c r="AD22" s="157">
        <v>7115.25</v>
      </c>
      <c r="AE22" s="157">
        <v>6186.53</v>
      </c>
      <c r="AF22" s="157">
        <v>6657.14</v>
      </c>
      <c r="AG22" s="157">
        <v>6997.1</v>
      </c>
      <c r="AH22" s="157">
        <v>6879.03</v>
      </c>
      <c r="AI22" s="158">
        <v>214055.59000000003</v>
      </c>
    </row>
    <row r="23" spans="1:35" ht="15" x14ac:dyDescent="0.25">
      <c r="A23" s="155">
        <v>19</v>
      </c>
      <c r="B23" s="156">
        <v>5632.21</v>
      </c>
      <c r="C23" s="157">
        <v>6717.55</v>
      </c>
      <c r="D23" s="157">
        <v>5840.37</v>
      </c>
      <c r="E23" s="157">
        <v>6864.34</v>
      </c>
      <c r="F23" s="157">
        <v>6514.07</v>
      </c>
      <c r="G23" s="157">
        <v>6448.71</v>
      </c>
      <c r="H23" s="157">
        <v>6791.48</v>
      </c>
      <c r="I23" s="157">
        <v>6963.76</v>
      </c>
      <c r="J23" s="157">
        <v>6733.93</v>
      </c>
      <c r="K23" s="157">
        <v>5931.12</v>
      </c>
      <c r="L23" s="157">
        <v>5666.21</v>
      </c>
      <c r="M23" s="157">
        <v>6136.04</v>
      </c>
      <c r="N23" s="157">
        <v>6075.44</v>
      </c>
      <c r="O23" s="157">
        <v>6416.19</v>
      </c>
      <c r="P23" s="157">
        <v>6461.92</v>
      </c>
      <c r="Q23" s="157">
        <v>6865.9</v>
      </c>
      <c r="R23" s="157">
        <v>5446.33</v>
      </c>
      <c r="S23" s="157">
        <v>6869.75</v>
      </c>
      <c r="T23" s="157">
        <v>6575.61</v>
      </c>
      <c r="U23" s="157">
        <v>6923.77</v>
      </c>
      <c r="V23" s="157">
        <v>7484.76</v>
      </c>
      <c r="W23" s="157">
        <v>6180.95</v>
      </c>
      <c r="X23" s="157">
        <v>5943.36</v>
      </c>
      <c r="Y23" s="157">
        <v>6559.56</v>
      </c>
      <c r="Z23" s="157">
        <v>6073.74</v>
      </c>
      <c r="AA23" s="157">
        <v>6995.03</v>
      </c>
      <c r="AB23" s="157">
        <v>7116.57</v>
      </c>
      <c r="AC23" s="157">
        <v>6064.36</v>
      </c>
      <c r="AD23" s="157">
        <v>7116.41</v>
      </c>
      <c r="AE23" s="157">
        <v>6189.06</v>
      </c>
      <c r="AF23" s="157">
        <v>6658.7</v>
      </c>
      <c r="AG23" s="157">
        <v>6999.29</v>
      </c>
      <c r="AH23" s="157">
        <v>6877.64</v>
      </c>
      <c r="AI23" s="158">
        <v>214134.13</v>
      </c>
    </row>
    <row r="24" spans="1:35" ht="15" x14ac:dyDescent="0.25">
      <c r="A24" s="155">
        <v>20</v>
      </c>
      <c r="B24" s="156">
        <v>5640.08</v>
      </c>
      <c r="C24" s="157">
        <v>6728.12</v>
      </c>
      <c r="D24" s="157">
        <v>5846.67</v>
      </c>
      <c r="E24" s="157">
        <v>6869.03</v>
      </c>
      <c r="F24" s="157">
        <v>6522.65</v>
      </c>
      <c r="G24" s="157">
        <v>6455.34</v>
      </c>
      <c r="H24" s="157">
        <v>6796.29</v>
      </c>
      <c r="I24" s="157">
        <v>6969.99</v>
      </c>
      <c r="J24" s="157">
        <v>6740.44</v>
      </c>
      <c r="K24" s="157">
        <v>5937.07</v>
      </c>
      <c r="L24" s="157">
        <v>5667.69</v>
      </c>
      <c r="M24" s="157">
        <v>6146.12</v>
      </c>
      <c r="N24" s="157">
        <v>6082.79</v>
      </c>
      <c r="O24" s="157">
        <v>6424.77</v>
      </c>
      <c r="P24" s="157">
        <v>6469.76</v>
      </c>
      <c r="Q24" s="157">
        <v>6876.25</v>
      </c>
      <c r="R24" s="157">
        <v>5453.18</v>
      </c>
      <c r="S24" s="157">
        <v>6875.42</v>
      </c>
      <c r="T24" s="157">
        <v>6584.01</v>
      </c>
      <c r="U24" s="157">
        <v>6930.87</v>
      </c>
      <c r="V24" s="157">
        <v>7494.98</v>
      </c>
      <c r="W24" s="157">
        <v>6186.24</v>
      </c>
      <c r="X24" s="157">
        <v>5951.3</v>
      </c>
      <c r="Y24" s="157">
        <v>6568.96</v>
      </c>
      <c r="Z24" s="157">
        <v>6080.48</v>
      </c>
      <c r="AA24" s="157">
        <v>7004.67</v>
      </c>
      <c r="AB24" s="157">
        <v>7123.22</v>
      </c>
      <c r="AC24" s="157">
        <v>6072</v>
      </c>
      <c r="AD24" s="157">
        <v>7123.02</v>
      </c>
      <c r="AE24" s="157">
        <v>6197.25</v>
      </c>
      <c r="AF24" s="157">
        <v>6666.82</v>
      </c>
      <c r="AG24" s="157">
        <v>7005.9</v>
      </c>
      <c r="AH24" s="157">
        <v>6882.69</v>
      </c>
      <c r="AI24" s="158">
        <v>214374.06999999998</v>
      </c>
    </row>
    <row r="25" spans="1:35" ht="15" x14ac:dyDescent="0.25">
      <c r="A25" s="155">
        <v>21</v>
      </c>
      <c r="B25" s="156">
        <v>5654.46</v>
      </c>
      <c r="C25" s="157">
        <v>6746.7</v>
      </c>
      <c r="D25" s="157">
        <v>5863.05</v>
      </c>
      <c r="E25" s="157">
        <v>6883.29</v>
      </c>
      <c r="F25" s="157">
        <v>6539.84</v>
      </c>
      <c r="G25" s="157">
        <v>6470.9</v>
      </c>
      <c r="H25" s="157">
        <v>6808.95</v>
      </c>
      <c r="I25" s="157">
        <v>6985.5</v>
      </c>
      <c r="J25" s="157">
        <v>6753.88</v>
      </c>
      <c r="K25" s="157">
        <v>5948.77</v>
      </c>
      <c r="L25" s="157">
        <v>5676.34</v>
      </c>
      <c r="M25" s="157">
        <v>6161.94</v>
      </c>
      <c r="N25" s="157">
        <v>6099.45</v>
      </c>
      <c r="O25" s="157">
        <v>6440.95</v>
      </c>
      <c r="P25" s="157">
        <v>6485.08</v>
      </c>
      <c r="Q25" s="157">
        <v>6895.54</v>
      </c>
      <c r="R25" s="157">
        <v>5468.27</v>
      </c>
      <c r="S25" s="157">
        <v>6890.33</v>
      </c>
      <c r="T25" s="157">
        <v>6602.81</v>
      </c>
      <c r="U25" s="157">
        <v>6946.76</v>
      </c>
      <c r="V25" s="157">
        <v>7516.21</v>
      </c>
      <c r="W25" s="157">
        <v>6202.25</v>
      </c>
      <c r="X25" s="157">
        <v>5967</v>
      </c>
      <c r="Y25" s="157">
        <v>6587.64</v>
      </c>
      <c r="Z25" s="157">
        <v>6096.46</v>
      </c>
      <c r="AA25" s="157">
        <v>7022.91</v>
      </c>
      <c r="AB25" s="157">
        <v>7141.2</v>
      </c>
      <c r="AC25" s="157">
        <v>6087.41</v>
      </c>
      <c r="AD25" s="157">
        <v>7140.23</v>
      </c>
      <c r="AE25" s="157">
        <v>6212.73</v>
      </c>
      <c r="AF25" s="157">
        <v>6683.68</v>
      </c>
      <c r="AG25" s="157">
        <v>7019.28</v>
      </c>
      <c r="AH25" s="157">
        <v>6896.81</v>
      </c>
      <c r="AI25" s="158">
        <v>214896.62000000002</v>
      </c>
    </row>
    <row r="26" spans="1:35" ht="15" x14ac:dyDescent="0.25">
      <c r="A26" s="155">
        <v>22</v>
      </c>
      <c r="B26" s="156">
        <v>5684.61</v>
      </c>
      <c r="C26" s="157">
        <v>6780.99</v>
      </c>
      <c r="D26" s="157">
        <v>5894.07</v>
      </c>
      <c r="E26" s="157">
        <v>6917.05</v>
      </c>
      <c r="F26" s="157">
        <v>6574.69</v>
      </c>
      <c r="G26" s="157">
        <v>6505.4</v>
      </c>
      <c r="H26" s="157">
        <v>6839.98</v>
      </c>
      <c r="I26" s="157">
        <v>7019.68</v>
      </c>
      <c r="J26" s="157">
        <v>6784.57</v>
      </c>
      <c r="K26" s="157">
        <v>5974.17</v>
      </c>
      <c r="L26" s="157">
        <v>5698.78</v>
      </c>
      <c r="M26" s="157">
        <v>6192.58</v>
      </c>
      <c r="N26" s="157">
        <v>6132.18</v>
      </c>
      <c r="O26" s="157">
        <v>6471.85</v>
      </c>
      <c r="P26" s="157">
        <v>6517.34</v>
      </c>
      <c r="Q26" s="157">
        <v>6934.59</v>
      </c>
      <c r="R26" s="157">
        <v>5497.62</v>
      </c>
      <c r="S26" s="157">
        <v>6923</v>
      </c>
      <c r="T26" s="157">
        <v>6636.87</v>
      </c>
      <c r="U26" s="157">
        <v>6980.99</v>
      </c>
      <c r="V26" s="157">
        <v>7557.68</v>
      </c>
      <c r="W26" s="157">
        <v>6238.99</v>
      </c>
      <c r="X26" s="157">
        <v>5997.97</v>
      </c>
      <c r="Y26" s="157">
        <v>6622.87</v>
      </c>
      <c r="Z26" s="157">
        <v>6131.57</v>
      </c>
      <c r="AA26" s="157">
        <v>7060.08</v>
      </c>
      <c r="AB26" s="157">
        <v>7174.73</v>
      </c>
      <c r="AC26" s="157">
        <v>6117.24</v>
      </c>
      <c r="AD26" s="157">
        <v>7176.34</v>
      </c>
      <c r="AE26" s="157">
        <v>6242.91</v>
      </c>
      <c r="AF26" s="157">
        <v>6714.78</v>
      </c>
      <c r="AG26" s="157">
        <v>7052.12</v>
      </c>
      <c r="AH26" s="157">
        <v>6925.39</v>
      </c>
      <c r="AI26" s="158">
        <v>215973.68</v>
      </c>
    </row>
    <row r="27" spans="1:35" ht="15" x14ac:dyDescent="0.25">
      <c r="A27" s="155">
        <v>23</v>
      </c>
      <c r="B27" s="156">
        <v>5744.26</v>
      </c>
      <c r="C27" s="157">
        <v>6849.24</v>
      </c>
      <c r="D27" s="157">
        <v>5954.87</v>
      </c>
      <c r="E27" s="157">
        <v>6986</v>
      </c>
      <c r="F27" s="157">
        <v>6644.97</v>
      </c>
      <c r="G27" s="157">
        <v>6573.24</v>
      </c>
      <c r="H27" s="157">
        <v>6905.9</v>
      </c>
      <c r="I27" s="157">
        <v>7086.31</v>
      </c>
      <c r="J27" s="157">
        <v>6846.98</v>
      </c>
      <c r="K27" s="157">
        <v>6029.26</v>
      </c>
      <c r="L27" s="157">
        <v>5751.08</v>
      </c>
      <c r="M27" s="157">
        <v>6254.93</v>
      </c>
      <c r="N27" s="157">
        <v>6195.68</v>
      </c>
      <c r="O27" s="157">
        <v>6533.84</v>
      </c>
      <c r="P27" s="157">
        <v>6583.82</v>
      </c>
      <c r="Q27" s="157">
        <v>7008.01</v>
      </c>
      <c r="R27" s="157">
        <v>5552.04</v>
      </c>
      <c r="S27" s="157">
        <v>6991.17</v>
      </c>
      <c r="T27" s="157">
        <v>6703.15</v>
      </c>
      <c r="U27" s="157">
        <v>7055.2</v>
      </c>
      <c r="V27" s="157">
        <v>7633.46</v>
      </c>
      <c r="W27" s="157">
        <v>6308.36</v>
      </c>
      <c r="X27" s="157">
        <v>6057.82</v>
      </c>
      <c r="Y27" s="157">
        <v>6689.81</v>
      </c>
      <c r="Z27" s="157">
        <v>6197.52</v>
      </c>
      <c r="AA27" s="157">
        <v>7133.33</v>
      </c>
      <c r="AB27" s="157">
        <v>7243.79</v>
      </c>
      <c r="AC27" s="157">
        <v>6176.87</v>
      </c>
      <c r="AD27" s="157">
        <v>7248.72</v>
      </c>
      <c r="AE27" s="157">
        <v>6302.63</v>
      </c>
      <c r="AF27" s="157">
        <v>6779.36</v>
      </c>
      <c r="AG27" s="157">
        <v>7118.43</v>
      </c>
      <c r="AH27" s="157">
        <v>6986.75</v>
      </c>
      <c r="AI27" s="158">
        <v>218126.79999999993</v>
      </c>
    </row>
    <row r="28" spans="1:35" ht="15" x14ac:dyDescent="0.25">
      <c r="A28" s="155">
        <v>24</v>
      </c>
      <c r="B28" s="156">
        <v>5855.64</v>
      </c>
      <c r="C28" s="157">
        <v>6980.91</v>
      </c>
      <c r="D28" s="157">
        <v>6071.94</v>
      </c>
      <c r="E28" s="157">
        <v>7118.31</v>
      </c>
      <c r="F28" s="157">
        <v>6770.02</v>
      </c>
      <c r="G28" s="157">
        <v>6700.16</v>
      </c>
      <c r="H28" s="157">
        <v>7030.86</v>
      </c>
      <c r="I28" s="157">
        <v>7214.99</v>
      </c>
      <c r="J28" s="157">
        <v>6966.7</v>
      </c>
      <c r="K28" s="157">
        <v>6131.73</v>
      </c>
      <c r="L28" s="157">
        <v>5855.37</v>
      </c>
      <c r="M28" s="157">
        <v>6370.11</v>
      </c>
      <c r="N28" s="157">
        <v>6316.44</v>
      </c>
      <c r="O28" s="157">
        <v>6656.35</v>
      </c>
      <c r="P28" s="157">
        <v>6708.55</v>
      </c>
      <c r="Q28" s="157">
        <v>7144.28</v>
      </c>
      <c r="R28" s="157">
        <v>5653.41</v>
      </c>
      <c r="S28" s="157">
        <v>7124.78</v>
      </c>
      <c r="T28" s="157">
        <v>6827.76</v>
      </c>
      <c r="U28" s="157">
        <v>7198.48</v>
      </c>
      <c r="V28" s="157">
        <v>7776.84</v>
      </c>
      <c r="W28" s="157">
        <v>6443.73</v>
      </c>
      <c r="X28" s="157">
        <v>6170.78</v>
      </c>
      <c r="Y28" s="157">
        <v>6813.25</v>
      </c>
      <c r="Z28" s="157">
        <v>6317.75</v>
      </c>
      <c r="AA28" s="157">
        <v>7267.29</v>
      </c>
      <c r="AB28" s="157">
        <v>7377.97</v>
      </c>
      <c r="AC28" s="157">
        <v>6287.9</v>
      </c>
      <c r="AD28" s="157">
        <v>7381.86</v>
      </c>
      <c r="AE28" s="157">
        <v>6418.58</v>
      </c>
      <c r="AF28" s="157">
        <v>6907.83</v>
      </c>
      <c r="AG28" s="157">
        <v>7241.78</v>
      </c>
      <c r="AH28" s="157">
        <v>7112.86</v>
      </c>
      <c r="AI28" s="158">
        <v>222215.20999999996</v>
      </c>
    </row>
    <row r="29" spans="1:35" ht="15" x14ac:dyDescent="0.25">
      <c r="A29" s="155">
        <v>25</v>
      </c>
      <c r="B29" s="156">
        <v>6053.11</v>
      </c>
      <c r="C29" s="157">
        <v>7222.51</v>
      </c>
      <c r="D29" s="157">
        <v>6281.11</v>
      </c>
      <c r="E29" s="157">
        <v>7370.73</v>
      </c>
      <c r="F29" s="157">
        <v>6999.47</v>
      </c>
      <c r="G29" s="157">
        <v>6934.37</v>
      </c>
      <c r="H29" s="157">
        <v>7269.78</v>
      </c>
      <c r="I29" s="157">
        <v>7452.09</v>
      </c>
      <c r="J29" s="157">
        <v>7191.39</v>
      </c>
      <c r="K29" s="157">
        <v>6325.51</v>
      </c>
      <c r="L29" s="157">
        <v>6051.16</v>
      </c>
      <c r="M29" s="157">
        <v>6584.98</v>
      </c>
      <c r="N29" s="157">
        <v>6530.48</v>
      </c>
      <c r="O29" s="157">
        <v>6879.3</v>
      </c>
      <c r="P29" s="157">
        <v>6936.6</v>
      </c>
      <c r="Q29" s="157">
        <v>7405.62</v>
      </c>
      <c r="R29" s="157">
        <v>5842.15</v>
      </c>
      <c r="S29" s="157">
        <v>7364.58</v>
      </c>
      <c r="T29" s="157">
        <v>7058.12</v>
      </c>
      <c r="U29" s="157">
        <v>7450.25</v>
      </c>
      <c r="V29" s="157">
        <v>8042.86</v>
      </c>
      <c r="W29" s="157">
        <v>6686.21</v>
      </c>
      <c r="X29" s="157">
        <v>6377.91</v>
      </c>
      <c r="Y29" s="157">
        <v>7041.09</v>
      </c>
      <c r="Z29" s="157">
        <v>6538.98</v>
      </c>
      <c r="AA29" s="157">
        <v>7514.93</v>
      </c>
      <c r="AB29" s="157">
        <v>7628.14</v>
      </c>
      <c r="AC29" s="157">
        <v>6495.53</v>
      </c>
      <c r="AD29" s="157">
        <v>7625.57</v>
      </c>
      <c r="AE29" s="157">
        <v>6639.73</v>
      </c>
      <c r="AF29" s="157">
        <v>7144.93</v>
      </c>
      <c r="AG29" s="157">
        <v>7471.65</v>
      </c>
      <c r="AH29" s="157">
        <v>7355.56</v>
      </c>
      <c r="AI29" s="158">
        <v>229766.39999999999</v>
      </c>
    </row>
    <row r="30" spans="1:35" ht="15" x14ac:dyDescent="0.25">
      <c r="A30" s="155">
        <v>26</v>
      </c>
      <c r="B30" s="156">
        <v>6396.82</v>
      </c>
      <c r="C30" s="157">
        <v>7640.51</v>
      </c>
      <c r="D30" s="157">
        <v>6645.98</v>
      </c>
      <c r="E30" s="157">
        <v>7795.94</v>
      </c>
      <c r="F30" s="157">
        <v>7403.78</v>
      </c>
      <c r="G30" s="157">
        <v>7337.06</v>
      </c>
      <c r="H30" s="157">
        <v>7688.74</v>
      </c>
      <c r="I30" s="157">
        <v>7864.98</v>
      </c>
      <c r="J30" s="157">
        <v>7587.48</v>
      </c>
      <c r="K30" s="157">
        <v>6667.61</v>
      </c>
      <c r="L30" s="157">
        <v>6395.63</v>
      </c>
      <c r="M30" s="157">
        <v>6961.11</v>
      </c>
      <c r="N30" s="157">
        <v>6900.3</v>
      </c>
      <c r="O30" s="157">
        <v>7267.16</v>
      </c>
      <c r="P30" s="157">
        <v>7333.77</v>
      </c>
      <c r="Q30" s="157">
        <v>7845.46</v>
      </c>
      <c r="R30" s="157">
        <v>6182.82</v>
      </c>
      <c r="S30" s="157">
        <v>7777.95</v>
      </c>
      <c r="T30" s="157">
        <v>7464.03</v>
      </c>
      <c r="U30" s="157">
        <v>7883.76</v>
      </c>
      <c r="V30" s="157">
        <v>8504.4500000000007</v>
      </c>
      <c r="W30" s="157">
        <v>7100.41</v>
      </c>
      <c r="X30" s="157">
        <v>6750.63</v>
      </c>
      <c r="Y30" s="157">
        <v>7438.9</v>
      </c>
      <c r="Z30" s="157">
        <v>6922.07</v>
      </c>
      <c r="AA30" s="157">
        <v>7946.03</v>
      </c>
      <c r="AB30" s="157">
        <v>8066.2</v>
      </c>
      <c r="AC30" s="157">
        <v>6860.69</v>
      </c>
      <c r="AD30" s="157">
        <v>8051.7</v>
      </c>
      <c r="AE30" s="157">
        <v>7012.87</v>
      </c>
      <c r="AF30" s="157">
        <v>7554.69</v>
      </c>
      <c r="AG30" s="157">
        <v>7879.34</v>
      </c>
      <c r="AH30" s="157">
        <v>7796.32</v>
      </c>
      <c r="AI30" s="158">
        <v>242925.19000000009</v>
      </c>
    </row>
    <row r="31" spans="1:35" ht="15" x14ac:dyDescent="0.25">
      <c r="A31" s="155">
        <v>27</v>
      </c>
      <c r="B31" s="156">
        <v>6942.78</v>
      </c>
      <c r="C31" s="157">
        <v>8318.52</v>
      </c>
      <c r="D31" s="157">
        <v>7221.86</v>
      </c>
      <c r="E31" s="157">
        <v>8466.85</v>
      </c>
      <c r="F31" s="157">
        <v>8047.92</v>
      </c>
      <c r="G31" s="157">
        <v>7992.06</v>
      </c>
      <c r="H31" s="157">
        <v>8332.81</v>
      </c>
      <c r="I31" s="157">
        <v>8545.32</v>
      </c>
      <c r="J31" s="157">
        <v>8243.2199999999993</v>
      </c>
      <c r="K31" s="157">
        <v>7218.64</v>
      </c>
      <c r="L31" s="157">
        <v>6959.17</v>
      </c>
      <c r="M31" s="157">
        <v>7559.84</v>
      </c>
      <c r="N31" s="157">
        <v>7486.33</v>
      </c>
      <c r="O31" s="157">
        <v>7898.6</v>
      </c>
      <c r="P31" s="157">
        <v>7978.95</v>
      </c>
      <c r="Q31" s="157">
        <v>8532.4500000000007</v>
      </c>
      <c r="R31" s="157">
        <v>6711.83</v>
      </c>
      <c r="S31" s="157">
        <v>8436.68</v>
      </c>
      <c r="T31" s="157">
        <v>8111.21</v>
      </c>
      <c r="U31" s="157">
        <v>8573</v>
      </c>
      <c r="V31" s="157">
        <v>9234.0300000000007</v>
      </c>
      <c r="W31" s="157">
        <v>7742.76</v>
      </c>
      <c r="X31" s="157">
        <v>7330.3</v>
      </c>
      <c r="Y31" s="157">
        <v>8069.77</v>
      </c>
      <c r="Z31" s="157">
        <v>7523.26</v>
      </c>
      <c r="AA31" s="157">
        <v>8647.44</v>
      </c>
      <c r="AB31" s="157">
        <v>8761.9500000000007</v>
      </c>
      <c r="AC31" s="157">
        <v>7441.64</v>
      </c>
      <c r="AD31" s="157">
        <v>8732.5300000000007</v>
      </c>
      <c r="AE31" s="157">
        <v>7621.85</v>
      </c>
      <c r="AF31" s="157">
        <v>8228.4599999999991</v>
      </c>
      <c r="AG31" s="157">
        <v>8548.66</v>
      </c>
      <c r="AH31" s="157">
        <v>8470.9</v>
      </c>
      <c r="AI31" s="158">
        <v>263931.59000000003</v>
      </c>
    </row>
    <row r="32" spans="1:35" ht="15" x14ac:dyDescent="0.25">
      <c r="A32" s="155">
        <v>28</v>
      </c>
      <c r="B32" s="156">
        <v>7711.28</v>
      </c>
      <c r="C32" s="157">
        <v>9251.43</v>
      </c>
      <c r="D32" s="157">
        <v>8028.26</v>
      </c>
      <c r="E32" s="157">
        <v>9410.2000000000007</v>
      </c>
      <c r="F32" s="157">
        <v>8958.85</v>
      </c>
      <c r="G32" s="157">
        <v>8893.49</v>
      </c>
      <c r="H32" s="157">
        <v>9239.23</v>
      </c>
      <c r="I32" s="157">
        <v>9484.75</v>
      </c>
      <c r="J32" s="157">
        <v>9159.17</v>
      </c>
      <c r="K32" s="157">
        <v>8005.98</v>
      </c>
      <c r="L32" s="157">
        <v>7729.53</v>
      </c>
      <c r="M32" s="157">
        <v>8407.2000000000007</v>
      </c>
      <c r="N32" s="157">
        <v>8316.67</v>
      </c>
      <c r="O32" s="157">
        <v>8766.4599999999991</v>
      </c>
      <c r="P32" s="157">
        <v>8867.92</v>
      </c>
      <c r="Q32" s="157">
        <v>9497.0400000000009</v>
      </c>
      <c r="R32" s="157">
        <v>7459.01</v>
      </c>
      <c r="S32" s="157">
        <v>9372.86</v>
      </c>
      <c r="T32" s="157">
        <v>9022.94</v>
      </c>
      <c r="U32" s="157">
        <v>9547.43</v>
      </c>
      <c r="V32" s="157">
        <v>10256.15</v>
      </c>
      <c r="W32" s="157">
        <v>8628.4500000000007</v>
      </c>
      <c r="X32" s="157">
        <v>8146.5</v>
      </c>
      <c r="Y32" s="157">
        <v>8966.7099999999991</v>
      </c>
      <c r="Z32" s="157">
        <v>8365.41</v>
      </c>
      <c r="AA32" s="157">
        <v>9614.27</v>
      </c>
      <c r="AB32" s="157">
        <v>9745.5499999999993</v>
      </c>
      <c r="AC32" s="157">
        <v>8270.89</v>
      </c>
      <c r="AD32" s="157">
        <v>9703.99</v>
      </c>
      <c r="AE32" s="157">
        <v>8468.2999999999993</v>
      </c>
      <c r="AF32" s="157">
        <v>9158.58</v>
      </c>
      <c r="AG32" s="157">
        <v>9479.3799999999992</v>
      </c>
      <c r="AH32" s="157">
        <v>9406.16</v>
      </c>
      <c r="AI32" s="158">
        <v>293340.03999999992</v>
      </c>
    </row>
    <row r="33" spans="1:35" ht="15" x14ac:dyDescent="0.25">
      <c r="A33" s="155">
        <v>29</v>
      </c>
      <c r="B33" s="156">
        <v>8645.84</v>
      </c>
      <c r="C33" s="157">
        <v>10402.469999999999</v>
      </c>
      <c r="D33" s="157">
        <v>9020.64</v>
      </c>
      <c r="E33" s="157">
        <v>10584.52</v>
      </c>
      <c r="F33" s="157">
        <v>10065.27</v>
      </c>
      <c r="G33" s="157">
        <v>10001.25</v>
      </c>
      <c r="H33" s="157">
        <v>10373.43</v>
      </c>
      <c r="I33" s="157">
        <v>10648.52</v>
      </c>
      <c r="J33" s="157">
        <v>10283.48</v>
      </c>
      <c r="K33" s="157">
        <v>9022.17</v>
      </c>
      <c r="L33" s="157">
        <v>8676.2800000000007</v>
      </c>
      <c r="M33" s="157">
        <v>9484.94</v>
      </c>
      <c r="N33" s="157">
        <v>9330.15</v>
      </c>
      <c r="O33" s="157">
        <v>9860.56</v>
      </c>
      <c r="P33" s="157">
        <v>9942.7199999999993</v>
      </c>
      <c r="Q33" s="157">
        <v>10665.01</v>
      </c>
      <c r="R33" s="157">
        <v>8374.0499999999993</v>
      </c>
      <c r="S33" s="157">
        <v>10546.04</v>
      </c>
      <c r="T33" s="157">
        <v>10156.280000000001</v>
      </c>
      <c r="U33" s="157">
        <v>10731.74</v>
      </c>
      <c r="V33" s="157">
        <v>11497.64</v>
      </c>
      <c r="W33" s="157">
        <v>9713.02</v>
      </c>
      <c r="X33" s="157">
        <v>9149.7900000000009</v>
      </c>
      <c r="Y33" s="157">
        <v>10068.69</v>
      </c>
      <c r="Z33" s="157">
        <v>9384.4</v>
      </c>
      <c r="AA33" s="157">
        <v>10784.96</v>
      </c>
      <c r="AB33" s="157">
        <v>10977.26</v>
      </c>
      <c r="AC33" s="157">
        <v>9288.86</v>
      </c>
      <c r="AD33" s="157">
        <v>10926.02</v>
      </c>
      <c r="AE33" s="157">
        <v>9501.44</v>
      </c>
      <c r="AF33" s="157">
        <v>10282.85</v>
      </c>
      <c r="AG33" s="157">
        <v>10618.5</v>
      </c>
      <c r="AH33" s="157">
        <v>10566.27</v>
      </c>
      <c r="AI33" s="158">
        <v>329575.06</v>
      </c>
    </row>
    <row r="34" spans="1:35" ht="15" x14ac:dyDescent="0.25">
      <c r="A34" s="155">
        <v>30</v>
      </c>
      <c r="B34" s="156">
        <v>9711.42</v>
      </c>
      <c r="C34" s="157">
        <v>11685.03</v>
      </c>
      <c r="D34" s="157">
        <v>10127.9</v>
      </c>
      <c r="E34" s="157">
        <v>11900.29</v>
      </c>
      <c r="F34" s="157">
        <v>11327.3</v>
      </c>
      <c r="G34" s="157">
        <v>11240.89</v>
      </c>
      <c r="H34" s="157">
        <v>11647.67</v>
      </c>
      <c r="I34" s="157">
        <v>11997.07</v>
      </c>
      <c r="J34" s="157">
        <v>11612.27</v>
      </c>
      <c r="K34" s="157">
        <v>10179.26</v>
      </c>
      <c r="L34" s="157">
        <v>9745.1</v>
      </c>
      <c r="M34" s="157">
        <v>10678.78</v>
      </c>
      <c r="N34" s="157">
        <v>10489.36</v>
      </c>
      <c r="O34" s="157">
        <v>11066.19</v>
      </c>
      <c r="P34" s="157">
        <v>11197.54</v>
      </c>
      <c r="Q34" s="157">
        <v>12023.79</v>
      </c>
      <c r="R34" s="157">
        <v>9421.4500000000007</v>
      </c>
      <c r="S34" s="157">
        <v>11861.01</v>
      </c>
      <c r="T34" s="157">
        <v>11436.3</v>
      </c>
      <c r="U34" s="157">
        <v>12083.84</v>
      </c>
      <c r="V34" s="157">
        <v>12909.4</v>
      </c>
      <c r="W34" s="157">
        <v>10935.77</v>
      </c>
      <c r="X34" s="157">
        <v>10327.59</v>
      </c>
      <c r="Y34" s="157">
        <v>11332.23</v>
      </c>
      <c r="Z34" s="157">
        <v>10544.56</v>
      </c>
      <c r="AA34" s="157">
        <v>12125.83</v>
      </c>
      <c r="AB34" s="157">
        <v>12390.97</v>
      </c>
      <c r="AC34" s="157">
        <v>10479.969999999999</v>
      </c>
      <c r="AD34" s="157">
        <v>12328.98</v>
      </c>
      <c r="AE34" s="157">
        <v>10690.55</v>
      </c>
      <c r="AF34" s="157">
        <v>11573.54</v>
      </c>
      <c r="AG34" s="157">
        <v>11957.61</v>
      </c>
      <c r="AH34" s="157">
        <v>11874.24</v>
      </c>
      <c r="AI34" s="158">
        <v>370903.6999999999</v>
      </c>
    </row>
    <row r="35" spans="1:35" ht="15" x14ac:dyDescent="0.25">
      <c r="A35" s="155">
        <v>31</v>
      </c>
      <c r="B35" s="156">
        <v>10823.03</v>
      </c>
      <c r="C35" s="157">
        <v>13009.87</v>
      </c>
      <c r="D35" s="157">
        <v>11295.16</v>
      </c>
      <c r="E35" s="157">
        <v>13281.89</v>
      </c>
      <c r="F35" s="157">
        <v>12644.62</v>
      </c>
      <c r="G35" s="157">
        <v>12526.32</v>
      </c>
      <c r="H35" s="157">
        <v>12966.52</v>
      </c>
      <c r="I35" s="157">
        <v>13379.67</v>
      </c>
      <c r="J35" s="157">
        <v>12982.76</v>
      </c>
      <c r="K35" s="157">
        <v>11357.76</v>
      </c>
      <c r="L35" s="157">
        <v>10858.62</v>
      </c>
      <c r="M35" s="157">
        <v>11914.6</v>
      </c>
      <c r="N35" s="157">
        <v>11717.6</v>
      </c>
      <c r="O35" s="157">
        <v>12308.46</v>
      </c>
      <c r="P35" s="157">
        <v>12484.18</v>
      </c>
      <c r="Q35" s="157">
        <v>13412.82</v>
      </c>
      <c r="R35" s="157">
        <v>10513.37</v>
      </c>
      <c r="S35" s="157">
        <v>13217.28</v>
      </c>
      <c r="T35" s="157">
        <v>12766.65</v>
      </c>
      <c r="U35" s="157">
        <v>13513.85</v>
      </c>
      <c r="V35" s="157">
        <v>14372.82</v>
      </c>
      <c r="W35" s="157">
        <v>12161.31</v>
      </c>
      <c r="X35" s="157">
        <v>11539.52</v>
      </c>
      <c r="Y35" s="157">
        <v>12676.22</v>
      </c>
      <c r="Z35" s="157">
        <v>11748.45</v>
      </c>
      <c r="AA35" s="157">
        <v>13526.77</v>
      </c>
      <c r="AB35" s="157">
        <v>13849.48</v>
      </c>
      <c r="AC35" s="157">
        <v>11699.38</v>
      </c>
      <c r="AD35" s="157">
        <v>13755.86</v>
      </c>
      <c r="AE35" s="157">
        <v>11958.01</v>
      </c>
      <c r="AF35" s="157">
        <v>12917.32</v>
      </c>
      <c r="AG35" s="157">
        <v>13335.76</v>
      </c>
      <c r="AH35" s="157">
        <v>13224.67</v>
      </c>
      <c r="AI35" s="158">
        <v>413740.60000000003</v>
      </c>
    </row>
    <row r="36" spans="1:35" ht="15" x14ac:dyDescent="0.25">
      <c r="A36" s="155">
        <v>32</v>
      </c>
      <c r="B36" s="156">
        <v>11902.87</v>
      </c>
      <c r="C36" s="157">
        <v>14301.07</v>
      </c>
      <c r="D36" s="157">
        <v>12408.68</v>
      </c>
      <c r="E36" s="157">
        <v>14620.32</v>
      </c>
      <c r="F36" s="157">
        <v>13941.83</v>
      </c>
      <c r="G36" s="157">
        <v>13777.22</v>
      </c>
      <c r="H36" s="157">
        <v>14266.64</v>
      </c>
      <c r="I36" s="157">
        <v>14707.79</v>
      </c>
      <c r="J36" s="157">
        <v>14305.61</v>
      </c>
      <c r="K36" s="157">
        <v>12513.46</v>
      </c>
      <c r="L36" s="157">
        <v>11938.93</v>
      </c>
      <c r="M36" s="157">
        <v>13115.12</v>
      </c>
      <c r="N36" s="157">
        <v>12896.8</v>
      </c>
      <c r="O36" s="157">
        <v>13516.03</v>
      </c>
      <c r="P36" s="157">
        <v>13722.48</v>
      </c>
      <c r="Q36" s="157">
        <v>14743.69</v>
      </c>
      <c r="R36" s="157">
        <v>11578.39</v>
      </c>
      <c r="S36" s="157">
        <v>14532.15</v>
      </c>
      <c r="T36" s="157">
        <v>14058.37</v>
      </c>
      <c r="U36" s="157">
        <v>14876.11</v>
      </c>
      <c r="V36" s="157">
        <v>15809.63</v>
      </c>
      <c r="W36" s="157">
        <v>13350.41</v>
      </c>
      <c r="X36" s="157">
        <v>12733.6</v>
      </c>
      <c r="Y36" s="157">
        <v>13994.28</v>
      </c>
      <c r="Z36" s="157">
        <v>12911.29</v>
      </c>
      <c r="AA36" s="157">
        <v>14886.78</v>
      </c>
      <c r="AB36" s="157">
        <v>15233.23</v>
      </c>
      <c r="AC36" s="157">
        <v>12879.38</v>
      </c>
      <c r="AD36" s="157">
        <v>15155</v>
      </c>
      <c r="AE36" s="157">
        <v>13174.04</v>
      </c>
      <c r="AF36" s="157">
        <v>14219.73</v>
      </c>
      <c r="AG36" s="157">
        <v>14667.78</v>
      </c>
      <c r="AH36" s="157">
        <v>14529.32</v>
      </c>
      <c r="AI36" s="158">
        <v>455268.02999999997</v>
      </c>
    </row>
    <row r="37" spans="1:35" ht="15" x14ac:dyDescent="0.25">
      <c r="A37" s="155">
        <v>33</v>
      </c>
      <c r="B37" s="156">
        <v>12890.36</v>
      </c>
      <c r="C37" s="157">
        <v>15505</v>
      </c>
      <c r="D37" s="157">
        <v>13423.12</v>
      </c>
      <c r="E37" s="157">
        <v>15838.67</v>
      </c>
      <c r="F37" s="157">
        <v>15108.45</v>
      </c>
      <c r="G37" s="157">
        <v>14927.81</v>
      </c>
      <c r="H37" s="157">
        <v>15455.16</v>
      </c>
      <c r="I37" s="157">
        <v>15937.8</v>
      </c>
      <c r="J37" s="157">
        <v>15527.81</v>
      </c>
      <c r="K37" s="157">
        <v>13575.59</v>
      </c>
      <c r="L37" s="157">
        <v>12931.34</v>
      </c>
      <c r="M37" s="157">
        <v>14214.32</v>
      </c>
      <c r="N37" s="157">
        <v>13974.58</v>
      </c>
      <c r="O37" s="157">
        <v>14625.45</v>
      </c>
      <c r="P37" s="157">
        <v>14867</v>
      </c>
      <c r="Q37" s="157">
        <v>15973.95</v>
      </c>
      <c r="R37" s="157">
        <v>12570.36</v>
      </c>
      <c r="S37" s="157">
        <v>15755.23</v>
      </c>
      <c r="T37" s="157">
        <v>15260.84</v>
      </c>
      <c r="U37" s="157">
        <v>16106.76</v>
      </c>
      <c r="V37" s="157">
        <v>17121.38</v>
      </c>
      <c r="W37" s="157">
        <v>14428.15</v>
      </c>
      <c r="X37" s="157">
        <v>13820.87</v>
      </c>
      <c r="Y37" s="157">
        <v>15186.56</v>
      </c>
      <c r="Z37" s="157">
        <v>13978.39</v>
      </c>
      <c r="AA37" s="157">
        <v>16133.47</v>
      </c>
      <c r="AB37" s="157">
        <v>16490.689999999999</v>
      </c>
      <c r="AC37" s="157">
        <v>13968.14</v>
      </c>
      <c r="AD37" s="157">
        <v>16424.07</v>
      </c>
      <c r="AE37" s="157">
        <v>14279.47</v>
      </c>
      <c r="AF37" s="157">
        <v>15412.88</v>
      </c>
      <c r="AG37" s="157">
        <v>15891.84</v>
      </c>
      <c r="AH37" s="157">
        <v>15727.22</v>
      </c>
      <c r="AI37" s="158">
        <v>493332.73000000004</v>
      </c>
    </row>
    <row r="38" spans="1:35" ht="15" x14ac:dyDescent="0.25">
      <c r="A38" s="155">
        <v>34</v>
      </c>
      <c r="B38" s="156">
        <v>13748.36</v>
      </c>
      <c r="C38" s="157">
        <v>16554.93</v>
      </c>
      <c r="D38" s="157">
        <v>14311.53</v>
      </c>
      <c r="E38" s="157">
        <v>16875.689999999999</v>
      </c>
      <c r="F38" s="157">
        <v>16114.61</v>
      </c>
      <c r="G38" s="157">
        <v>15941.36</v>
      </c>
      <c r="H38" s="157">
        <v>16480.7</v>
      </c>
      <c r="I38" s="157">
        <v>16992.009999999998</v>
      </c>
      <c r="J38" s="157">
        <v>16575.64</v>
      </c>
      <c r="K38" s="157">
        <v>14487.1</v>
      </c>
      <c r="L38" s="157">
        <v>13796.03</v>
      </c>
      <c r="M38" s="157">
        <v>15184.74</v>
      </c>
      <c r="N38" s="157">
        <v>14911.65</v>
      </c>
      <c r="O38" s="157">
        <v>15593.34</v>
      </c>
      <c r="P38" s="157">
        <v>15849.03</v>
      </c>
      <c r="Q38" s="157">
        <v>17029.39</v>
      </c>
      <c r="R38" s="157">
        <v>13424.14</v>
      </c>
      <c r="S38" s="157">
        <v>16820.55</v>
      </c>
      <c r="T38" s="157">
        <v>16291.67</v>
      </c>
      <c r="U38" s="157">
        <v>17184.759999999998</v>
      </c>
      <c r="V38" s="157">
        <v>18235.27</v>
      </c>
      <c r="W38" s="157">
        <v>15362.78</v>
      </c>
      <c r="X38" s="157">
        <v>14766.78</v>
      </c>
      <c r="Y38" s="157">
        <v>16222.64</v>
      </c>
      <c r="Z38" s="157">
        <v>14920.06</v>
      </c>
      <c r="AA38" s="157">
        <v>17221.25</v>
      </c>
      <c r="AB38" s="157">
        <v>17583.77</v>
      </c>
      <c r="AC38" s="157">
        <v>14920.98</v>
      </c>
      <c r="AD38" s="157">
        <v>17523.5</v>
      </c>
      <c r="AE38" s="157">
        <v>15241.71</v>
      </c>
      <c r="AF38" s="157">
        <v>16460.62</v>
      </c>
      <c r="AG38" s="157">
        <v>16961.18</v>
      </c>
      <c r="AH38" s="157">
        <v>16769.93</v>
      </c>
      <c r="AI38" s="158">
        <v>526357.70000000007</v>
      </c>
    </row>
    <row r="39" spans="1:35" ht="15" x14ac:dyDescent="0.25">
      <c r="A39" s="155">
        <v>35</v>
      </c>
      <c r="B39" s="156">
        <v>14469.74</v>
      </c>
      <c r="C39" s="157">
        <v>17414.86</v>
      </c>
      <c r="D39" s="157">
        <v>15048.86</v>
      </c>
      <c r="E39" s="157">
        <v>17728.34</v>
      </c>
      <c r="F39" s="157">
        <v>16949.41</v>
      </c>
      <c r="G39" s="157">
        <v>16782.560000000001</v>
      </c>
      <c r="H39" s="157">
        <v>17316.02</v>
      </c>
      <c r="I39" s="157">
        <v>17857.93</v>
      </c>
      <c r="J39" s="157">
        <v>17438.87</v>
      </c>
      <c r="K39" s="157">
        <v>15240.24</v>
      </c>
      <c r="L39" s="157">
        <v>14529.23</v>
      </c>
      <c r="M39" s="157">
        <v>15992.29</v>
      </c>
      <c r="N39" s="157">
        <v>15695.93</v>
      </c>
      <c r="O39" s="157">
        <v>16404.73</v>
      </c>
      <c r="P39" s="157">
        <v>16660.189999999999</v>
      </c>
      <c r="Q39" s="157">
        <v>17909.07</v>
      </c>
      <c r="R39" s="157">
        <v>14133.74</v>
      </c>
      <c r="S39" s="157">
        <v>17690.830000000002</v>
      </c>
      <c r="T39" s="157">
        <v>17141.68</v>
      </c>
      <c r="U39" s="157">
        <v>18071.71</v>
      </c>
      <c r="V39" s="157">
        <v>19147.330000000002</v>
      </c>
      <c r="W39" s="157">
        <v>16141.98</v>
      </c>
      <c r="X39" s="157">
        <v>15554.52</v>
      </c>
      <c r="Y39" s="157">
        <v>17093.560000000001</v>
      </c>
      <c r="Z39" s="157">
        <v>15695.54</v>
      </c>
      <c r="AA39" s="157">
        <v>18127.93</v>
      </c>
      <c r="AB39" s="157">
        <v>18499.09</v>
      </c>
      <c r="AC39" s="157">
        <v>15718.77</v>
      </c>
      <c r="AD39" s="157">
        <v>18441.27</v>
      </c>
      <c r="AE39" s="157">
        <v>16045.56</v>
      </c>
      <c r="AF39" s="157">
        <v>17333.21</v>
      </c>
      <c r="AG39" s="157">
        <v>17854.05</v>
      </c>
      <c r="AH39" s="157">
        <v>17632.009999999998</v>
      </c>
      <c r="AI39" s="158">
        <v>553761.05000000016</v>
      </c>
    </row>
    <row r="40" spans="1:35" ht="15" x14ac:dyDescent="0.25">
      <c r="A40" s="155">
        <v>36</v>
      </c>
      <c r="B40" s="156">
        <v>15042.1</v>
      </c>
      <c r="C40" s="157">
        <v>18098.89</v>
      </c>
      <c r="D40" s="157">
        <v>15628.11</v>
      </c>
      <c r="E40" s="157">
        <v>18410.900000000001</v>
      </c>
      <c r="F40" s="157">
        <v>17613.22</v>
      </c>
      <c r="G40" s="157">
        <v>17442.86</v>
      </c>
      <c r="H40" s="157">
        <v>17979.009999999998</v>
      </c>
      <c r="I40" s="157">
        <v>18544.509999999998</v>
      </c>
      <c r="J40" s="157">
        <v>18127.07</v>
      </c>
      <c r="K40" s="157">
        <v>15838.53</v>
      </c>
      <c r="L40" s="157">
        <v>15106.13</v>
      </c>
      <c r="M40" s="157">
        <v>16618.91</v>
      </c>
      <c r="N40" s="157">
        <v>16328.06</v>
      </c>
      <c r="O40" s="157">
        <v>17055.7</v>
      </c>
      <c r="P40" s="157">
        <v>17299.740000000002</v>
      </c>
      <c r="Q40" s="157">
        <v>18411.349999999999</v>
      </c>
      <c r="R40" s="157">
        <v>14696.27</v>
      </c>
      <c r="S40" s="157">
        <v>18371</v>
      </c>
      <c r="T40" s="157">
        <v>17813.400000000001</v>
      </c>
      <c r="U40" s="157">
        <v>18766.98</v>
      </c>
      <c r="V40" s="157">
        <v>19859.47</v>
      </c>
      <c r="W40" s="157">
        <v>16769.599999999999</v>
      </c>
      <c r="X40" s="157">
        <v>16195.83</v>
      </c>
      <c r="Y40" s="157">
        <v>17786.54</v>
      </c>
      <c r="Z40" s="157">
        <v>16304.82</v>
      </c>
      <c r="AA40" s="157">
        <v>18843.14</v>
      </c>
      <c r="AB40" s="157">
        <v>19234.62</v>
      </c>
      <c r="AC40" s="157">
        <v>16361.01</v>
      </c>
      <c r="AD40" s="157">
        <v>19178.580000000002</v>
      </c>
      <c r="AE40" s="157">
        <v>16690.900000000001</v>
      </c>
      <c r="AF40" s="157">
        <v>18010.03</v>
      </c>
      <c r="AG40" s="157">
        <v>18568.96</v>
      </c>
      <c r="AH40" s="157">
        <v>18321.25</v>
      </c>
      <c r="AI40" s="158">
        <v>575317.49000000011</v>
      </c>
    </row>
    <row r="41" spans="1:35" ht="15" x14ac:dyDescent="0.25">
      <c r="A41" s="155">
        <v>37</v>
      </c>
      <c r="B41" s="156">
        <v>15362.86</v>
      </c>
      <c r="C41" s="157">
        <v>18485.75</v>
      </c>
      <c r="D41" s="157">
        <v>15970.91</v>
      </c>
      <c r="E41" s="157">
        <v>18946.98</v>
      </c>
      <c r="F41" s="157">
        <v>17985.75</v>
      </c>
      <c r="G41" s="157">
        <v>17813.7</v>
      </c>
      <c r="H41" s="157">
        <v>18355.43</v>
      </c>
      <c r="I41" s="157">
        <v>19076.96</v>
      </c>
      <c r="J41" s="157">
        <v>18515.82</v>
      </c>
      <c r="K41" s="157">
        <v>16303.09</v>
      </c>
      <c r="L41" s="157">
        <v>15445.71</v>
      </c>
      <c r="M41" s="157">
        <v>16987.12</v>
      </c>
      <c r="N41" s="157">
        <v>16821.39</v>
      </c>
      <c r="O41" s="157">
        <v>17421.61</v>
      </c>
      <c r="P41" s="157">
        <v>17677.97</v>
      </c>
      <c r="Q41" s="157">
        <v>18963.82</v>
      </c>
      <c r="R41" s="157">
        <v>15030.2</v>
      </c>
      <c r="S41" s="157">
        <v>18772.27</v>
      </c>
      <c r="T41" s="157">
        <v>18210.97</v>
      </c>
      <c r="U41" s="157">
        <v>19176.32</v>
      </c>
      <c r="V41" s="157">
        <v>20278.509999999998</v>
      </c>
      <c r="W41" s="157">
        <v>17125.560000000001</v>
      </c>
      <c r="X41" s="157">
        <v>16558.759999999998</v>
      </c>
      <c r="Y41" s="157">
        <v>18179.93</v>
      </c>
      <c r="Z41" s="157">
        <v>16664.48</v>
      </c>
      <c r="AA41" s="157">
        <v>19265.93</v>
      </c>
      <c r="AB41" s="157">
        <v>19798.59</v>
      </c>
      <c r="AC41" s="157">
        <v>16725.03</v>
      </c>
      <c r="AD41" s="157">
        <v>19595.080000000002</v>
      </c>
      <c r="AE41" s="157">
        <v>17188.64</v>
      </c>
      <c r="AF41" s="157">
        <v>18405.61</v>
      </c>
      <c r="AG41" s="157">
        <v>18971.150000000001</v>
      </c>
      <c r="AH41" s="157">
        <v>18711.990000000002</v>
      </c>
      <c r="AI41" s="158">
        <v>588793.8899999999</v>
      </c>
    </row>
    <row r="42" spans="1:35" ht="15" x14ac:dyDescent="0.25">
      <c r="A42" s="155">
        <v>38</v>
      </c>
      <c r="B42" s="156">
        <v>15716.3</v>
      </c>
      <c r="C42" s="157">
        <v>18893.79</v>
      </c>
      <c r="D42" s="157">
        <v>16335.37</v>
      </c>
      <c r="E42" s="157">
        <v>19249.02</v>
      </c>
      <c r="F42" s="157">
        <v>18391.68</v>
      </c>
      <c r="G42" s="157">
        <v>18200.900000000001</v>
      </c>
      <c r="H42" s="157">
        <v>18752.689999999999</v>
      </c>
      <c r="I42" s="157">
        <v>19375.8</v>
      </c>
      <c r="J42" s="157">
        <v>18936.73</v>
      </c>
      <c r="K42" s="157">
        <v>16564.59</v>
      </c>
      <c r="L42" s="157">
        <v>15801.45</v>
      </c>
      <c r="M42" s="157">
        <v>17381.310000000001</v>
      </c>
      <c r="N42" s="157">
        <v>17098.759999999998</v>
      </c>
      <c r="O42" s="157">
        <v>17816.12</v>
      </c>
      <c r="P42" s="157">
        <v>18083.18</v>
      </c>
      <c r="Q42" s="157">
        <v>19287.22</v>
      </c>
      <c r="R42" s="157">
        <v>15371.79</v>
      </c>
      <c r="S42" s="157">
        <v>19197.59</v>
      </c>
      <c r="T42" s="157">
        <v>18634.13</v>
      </c>
      <c r="U42" s="157">
        <v>19610.87</v>
      </c>
      <c r="V42" s="157">
        <v>20714.55</v>
      </c>
      <c r="W42" s="157">
        <v>17514.45</v>
      </c>
      <c r="X42" s="157">
        <v>16950.41</v>
      </c>
      <c r="Y42" s="157">
        <v>18593.830000000002</v>
      </c>
      <c r="Z42" s="157">
        <v>17044.14</v>
      </c>
      <c r="AA42" s="157">
        <v>19714.96</v>
      </c>
      <c r="AB42" s="157">
        <v>20128.240000000002</v>
      </c>
      <c r="AC42" s="157">
        <v>17114.2</v>
      </c>
      <c r="AD42" s="157">
        <v>20047.12</v>
      </c>
      <c r="AE42" s="157">
        <v>17480.95</v>
      </c>
      <c r="AF42" s="157">
        <v>18836.36</v>
      </c>
      <c r="AG42" s="157">
        <v>19408.830000000002</v>
      </c>
      <c r="AH42" s="157">
        <v>19137.86</v>
      </c>
      <c r="AI42" s="158">
        <v>601385.18999999994</v>
      </c>
    </row>
    <row r="43" spans="1:35" ht="15" x14ac:dyDescent="0.25">
      <c r="A43" s="155">
        <v>39</v>
      </c>
      <c r="B43" s="156">
        <v>15922.16</v>
      </c>
      <c r="C43" s="157">
        <v>19221.14</v>
      </c>
      <c r="D43" s="157">
        <v>16622.72</v>
      </c>
      <c r="E43" s="157">
        <v>19570.009999999998</v>
      </c>
      <c r="F43" s="157">
        <v>18628.05</v>
      </c>
      <c r="G43" s="157">
        <v>18511.21</v>
      </c>
      <c r="H43" s="157">
        <v>18984.73</v>
      </c>
      <c r="I43" s="157">
        <v>19687.28</v>
      </c>
      <c r="J43" s="157">
        <v>19184.16</v>
      </c>
      <c r="K43" s="157">
        <v>16836.689999999999</v>
      </c>
      <c r="L43" s="157">
        <v>16008.94</v>
      </c>
      <c r="M43" s="157">
        <v>17608.29</v>
      </c>
      <c r="N43" s="157">
        <v>17391.29</v>
      </c>
      <c r="O43" s="157">
        <v>18049.169999999998</v>
      </c>
      <c r="P43" s="157">
        <v>18319.64</v>
      </c>
      <c r="Q43" s="157">
        <v>19637.93</v>
      </c>
      <c r="R43" s="157">
        <v>15646.86</v>
      </c>
      <c r="S43" s="157">
        <v>19445.54</v>
      </c>
      <c r="T43" s="157">
        <v>18880.439999999999</v>
      </c>
      <c r="U43" s="157">
        <v>19861.3</v>
      </c>
      <c r="V43" s="157">
        <v>20964.599999999999</v>
      </c>
      <c r="W43" s="157">
        <v>17743.990000000002</v>
      </c>
      <c r="X43" s="157">
        <v>17179.419999999998</v>
      </c>
      <c r="Y43" s="157">
        <v>18929.18</v>
      </c>
      <c r="Z43" s="157">
        <v>17351.13</v>
      </c>
      <c r="AA43" s="157">
        <v>19978.28</v>
      </c>
      <c r="AB43" s="157">
        <v>20376.169999999998</v>
      </c>
      <c r="AC43" s="157">
        <v>17341.12</v>
      </c>
      <c r="AD43" s="157">
        <v>20312.54</v>
      </c>
      <c r="AE43" s="157">
        <v>17793.87</v>
      </c>
      <c r="AF43" s="157">
        <v>19087.650000000001</v>
      </c>
      <c r="AG43" s="157">
        <v>19663.080000000002</v>
      </c>
      <c r="AH43" s="157">
        <v>19385.86</v>
      </c>
      <c r="AI43" s="158">
        <v>610124.43999999983</v>
      </c>
    </row>
    <row r="44" spans="1:35" ht="15" x14ac:dyDescent="0.25">
      <c r="A44" s="155">
        <v>40</v>
      </c>
      <c r="B44" s="156">
        <v>16133.08</v>
      </c>
      <c r="C44" s="157">
        <v>19405.79</v>
      </c>
      <c r="D44" s="157">
        <v>16792.96</v>
      </c>
      <c r="E44" s="157">
        <v>19753.47</v>
      </c>
      <c r="F44" s="157">
        <v>18874.599999999999</v>
      </c>
      <c r="G44" s="157">
        <v>18685.28</v>
      </c>
      <c r="H44" s="157">
        <v>19157.21</v>
      </c>
      <c r="I44" s="157">
        <v>19867.43</v>
      </c>
      <c r="J44" s="157">
        <v>19366.89</v>
      </c>
      <c r="K44" s="157">
        <v>16993.330000000002</v>
      </c>
      <c r="L44" s="157">
        <v>16231.38</v>
      </c>
      <c r="M44" s="157">
        <v>17853.11</v>
      </c>
      <c r="N44" s="157">
        <v>17632.8</v>
      </c>
      <c r="O44" s="157">
        <v>18297.77</v>
      </c>
      <c r="P44" s="157">
        <v>18572.8</v>
      </c>
      <c r="Q44" s="157">
        <v>19840.099999999999</v>
      </c>
      <c r="R44" s="157">
        <v>15803.28</v>
      </c>
      <c r="S44" s="157">
        <v>19713.259999999998</v>
      </c>
      <c r="T44" s="157">
        <v>19139.45</v>
      </c>
      <c r="U44" s="157">
        <v>20129.55</v>
      </c>
      <c r="V44" s="157">
        <v>21153.74</v>
      </c>
      <c r="W44" s="157">
        <v>17992.89</v>
      </c>
      <c r="X44" s="157">
        <v>17422.39</v>
      </c>
      <c r="Y44" s="157">
        <v>19119.07</v>
      </c>
      <c r="Z44" s="157">
        <v>17523.419999999998</v>
      </c>
      <c r="AA44" s="157">
        <v>20258.830000000002</v>
      </c>
      <c r="AB44" s="157">
        <v>20656.98</v>
      </c>
      <c r="AC44" s="157">
        <v>17591.3</v>
      </c>
      <c r="AD44" s="157">
        <v>20592.349999999999</v>
      </c>
      <c r="AE44" s="157">
        <v>17975.05</v>
      </c>
      <c r="AF44" s="157">
        <v>19346.259999999998</v>
      </c>
      <c r="AG44" s="157">
        <v>19935.740000000002</v>
      </c>
      <c r="AH44" s="157">
        <v>19570.23</v>
      </c>
      <c r="AI44" s="158">
        <v>617381.79</v>
      </c>
    </row>
    <row r="45" spans="1:35" ht="15" x14ac:dyDescent="0.25">
      <c r="A45" s="155">
        <v>41</v>
      </c>
      <c r="B45" s="156">
        <v>16254.65</v>
      </c>
      <c r="C45" s="157">
        <v>19597.39</v>
      </c>
      <c r="D45" s="157">
        <v>16960.93</v>
      </c>
      <c r="E45" s="157">
        <v>19950.23</v>
      </c>
      <c r="F45" s="157">
        <v>19016.580000000002</v>
      </c>
      <c r="G45" s="157">
        <v>18818.36</v>
      </c>
      <c r="H45" s="157">
        <v>19348.64</v>
      </c>
      <c r="I45" s="157">
        <v>19996.02</v>
      </c>
      <c r="J45" s="157">
        <v>19566.43</v>
      </c>
      <c r="K45" s="157">
        <v>17109.689999999999</v>
      </c>
      <c r="L45" s="157">
        <v>16410.759999999998</v>
      </c>
      <c r="M45" s="157">
        <v>17995.07</v>
      </c>
      <c r="N45" s="157">
        <v>17771.62</v>
      </c>
      <c r="O45" s="157">
        <v>18441.46</v>
      </c>
      <c r="P45" s="157">
        <v>18719.490000000002</v>
      </c>
      <c r="Q45" s="157">
        <v>19989.990000000002</v>
      </c>
      <c r="R45" s="157">
        <v>15966.55</v>
      </c>
      <c r="S45" s="157">
        <v>19868.7</v>
      </c>
      <c r="T45" s="157">
        <v>19291.759999999998</v>
      </c>
      <c r="U45" s="157">
        <v>20283.400000000001</v>
      </c>
      <c r="V45" s="157">
        <v>21303.33</v>
      </c>
      <c r="W45" s="157">
        <v>18139.169999999998</v>
      </c>
      <c r="X45" s="157">
        <v>17564.22</v>
      </c>
      <c r="Y45" s="157">
        <v>19325.099999999999</v>
      </c>
      <c r="Z45" s="157">
        <v>17652.02</v>
      </c>
      <c r="AA45" s="157">
        <v>20423.349999999999</v>
      </c>
      <c r="AB45" s="157">
        <v>20822.599999999999</v>
      </c>
      <c r="AC45" s="157">
        <v>17735.560000000001</v>
      </c>
      <c r="AD45" s="157">
        <v>20754.439999999999</v>
      </c>
      <c r="AE45" s="157">
        <v>18107.98</v>
      </c>
      <c r="AF45" s="157">
        <v>19495.27</v>
      </c>
      <c r="AG45" s="157">
        <v>20093.080000000002</v>
      </c>
      <c r="AH45" s="157">
        <v>19778.48</v>
      </c>
      <c r="AI45" s="158">
        <v>622552.31999999995</v>
      </c>
    </row>
    <row r="46" spans="1:35" ht="15" x14ac:dyDescent="0.25">
      <c r="A46" s="155">
        <v>42</v>
      </c>
      <c r="B46" s="156">
        <v>16376.33</v>
      </c>
      <c r="C46" s="157">
        <v>19707.810000000001</v>
      </c>
      <c r="D46" s="157">
        <v>17057.349999999999</v>
      </c>
      <c r="E46" s="157">
        <v>20065.57</v>
      </c>
      <c r="F46" s="157">
        <v>19122.240000000002</v>
      </c>
      <c r="G46" s="157">
        <v>18962.41</v>
      </c>
      <c r="H46" s="157">
        <v>19458.89</v>
      </c>
      <c r="I46" s="157">
        <v>20098.580000000002</v>
      </c>
      <c r="J46" s="157">
        <v>19682.099999999999</v>
      </c>
      <c r="K46" s="157">
        <v>17232.02</v>
      </c>
      <c r="L46" s="157">
        <v>16513.95</v>
      </c>
      <c r="M46" s="157">
        <v>18136.439999999999</v>
      </c>
      <c r="N46" s="157">
        <v>17903.560000000001</v>
      </c>
      <c r="O46" s="157">
        <v>18592.689999999999</v>
      </c>
      <c r="P46" s="157">
        <v>18825.740000000002</v>
      </c>
      <c r="Q46" s="157">
        <v>20159.54</v>
      </c>
      <c r="R46" s="157">
        <v>16060.96</v>
      </c>
      <c r="S46" s="157">
        <v>20033.810000000001</v>
      </c>
      <c r="T46" s="157">
        <v>19447.310000000001</v>
      </c>
      <c r="U46" s="157">
        <v>20447.03</v>
      </c>
      <c r="V46" s="157">
        <v>21422.94</v>
      </c>
      <c r="W46" s="157">
        <v>18298.03</v>
      </c>
      <c r="X46" s="157">
        <v>17705.740000000002</v>
      </c>
      <c r="Y46" s="157">
        <v>19443.59</v>
      </c>
      <c r="Z46" s="157">
        <v>17796.86</v>
      </c>
      <c r="AA46" s="157">
        <v>20591.23</v>
      </c>
      <c r="AB46" s="157">
        <v>20995.26</v>
      </c>
      <c r="AC46" s="157">
        <v>17842.91</v>
      </c>
      <c r="AD46" s="157">
        <v>20870.740000000002</v>
      </c>
      <c r="AE46" s="157">
        <v>18255.04</v>
      </c>
      <c r="AF46" s="157">
        <v>19645.91</v>
      </c>
      <c r="AG46" s="157">
        <v>20206.09</v>
      </c>
      <c r="AH46" s="157">
        <v>19950.72</v>
      </c>
      <c r="AI46" s="158">
        <v>626909.3899999999</v>
      </c>
    </row>
    <row r="47" spans="1:35" ht="15" x14ac:dyDescent="0.25">
      <c r="A47" s="155">
        <v>43</v>
      </c>
      <c r="B47" s="156">
        <v>16428.2</v>
      </c>
      <c r="C47" s="157">
        <v>19764.830000000002</v>
      </c>
      <c r="D47" s="157">
        <v>17108.03</v>
      </c>
      <c r="E47" s="157">
        <v>20125.21</v>
      </c>
      <c r="F47" s="157">
        <v>19181.580000000002</v>
      </c>
      <c r="G47" s="157">
        <v>19023.599999999999</v>
      </c>
      <c r="H47" s="157">
        <v>19515.599999999999</v>
      </c>
      <c r="I47" s="157">
        <v>20154.29</v>
      </c>
      <c r="J47" s="157">
        <v>19740.52</v>
      </c>
      <c r="K47" s="157">
        <v>17284.55</v>
      </c>
      <c r="L47" s="157">
        <v>16566.68</v>
      </c>
      <c r="M47" s="157">
        <v>18196.240000000002</v>
      </c>
      <c r="N47" s="157">
        <v>17959.490000000002</v>
      </c>
      <c r="O47" s="157">
        <v>18656.650000000001</v>
      </c>
      <c r="P47" s="157">
        <v>18885.740000000002</v>
      </c>
      <c r="Q47" s="157">
        <v>20231.650000000001</v>
      </c>
      <c r="R47" s="157">
        <v>16109.65</v>
      </c>
      <c r="S47" s="157">
        <v>20104.13</v>
      </c>
      <c r="T47" s="157">
        <v>19513.82</v>
      </c>
      <c r="U47" s="157">
        <v>20516.11</v>
      </c>
      <c r="V47" s="157">
        <v>21490.560000000001</v>
      </c>
      <c r="W47" s="157">
        <v>18367.29</v>
      </c>
      <c r="X47" s="157">
        <v>17765.93</v>
      </c>
      <c r="Y47" s="157">
        <v>19503.39</v>
      </c>
      <c r="Z47" s="157">
        <v>17858.82</v>
      </c>
      <c r="AA47" s="157">
        <v>20661.59</v>
      </c>
      <c r="AB47" s="157">
        <v>21069.06</v>
      </c>
      <c r="AC47" s="157">
        <v>17902.55</v>
      </c>
      <c r="AD47" s="157">
        <v>20932.04</v>
      </c>
      <c r="AE47" s="157">
        <v>18317.900000000001</v>
      </c>
      <c r="AF47" s="157">
        <v>19709.59</v>
      </c>
      <c r="AG47" s="157">
        <v>20265.7</v>
      </c>
      <c r="AH47" s="157">
        <v>20022.72</v>
      </c>
      <c r="AI47" s="158">
        <v>628933.71</v>
      </c>
    </row>
    <row r="48" spans="1:35" ht="15" x14ac:dyDescent="0.25">
      <c r="A48" s="155">
        <v>44</v>
      </c>
      <c r="B48" s="156">
        <v>16497.490000000002</v>
      </c>
      <c r="C48" s="157">
        <v>19845.21</v>
      </c>
      <c r="D48" s="157">
        <v>17179.669999999998</v>
      </c>
      <c r="E48" s="157">
        <v>20209.259999999998</v>
      </c>
      <c r="F48" s="157">
        <v>19266.349999999999</v>
      </c>
      <c r="G48" s="157">
        <v>19105.169999999998</v>
      </c>
      <c r="H48" s="157">
        <v>19595.34</v>
      </c>
      <c r="I48" s="157">
        <v>20233.37</v>
      </c>
      <c r="J48" s="157">
        <v>19822.419999999998</v>
      </c>
      <c r="K48" s="157">
        <v>17354.87</v>
      </c>
      <c r="L48" s="157">
        <v>16640.93</v>
      </c>
      <c r="M48" s="157">
        <v>18276.2</v>
      </c>
      <c r="N48" s="157">
        <v>18034.27</v>
      </c>
      <c r="O48" s="157">
        <v>18741.919999999998</v>
      </c>
      <c r="P48" s="157">
        <v>18971.45</v>
      </c>
      <c r="Q48" s="157">
        <v>20327.78</v>
      </c>
      <c r="R48" s="157">
        <v>16178.3</v>
      </c>
      <c r="S48" s="157">
        <v>20198.240000000002</v>
      </c>
      <c r="T48" s="157">
        <v>19602.87</v>
      </c>
      <c r="U48" s="157">
        <v>20608.400000000001</v>
      </c>
      <c r="V48" s="157">
        <v>21587.25</v>
      </c>
      <c r="W48" s="157">
        <v>18459.98</v>
      </c>
      <c r="X48" s="157">
        <v>17846.43</v>
      </c>
      <c r="Y48" s="157">
        <v>19587.37</v>
      </c>
      <c r="Z48" s="157">
        <v>17941.8</v>
      </c>
      <c r="AA48" s="157">
        <v>20755.28</v>
      </c>
      <c r="AB48" s="157">
        <v>21167.89</v>
      </c>
      <c r="AC48" s="157">
        <v>17987.53</v>
      </c>
      <c r="AD48" s="157">
        <v>21018.6</v>
      </c>
      <c r="AE48" s="157">
        <v>18402.03</v>
      </c>
      <c r="AF48" s="157">
        <v>19794.64</v>
      </c>
      <c r="AG48" s="157">
        <v>20350.009999999998</v>
      </c>
      <c r="AH48" s="157">
        <v>20118.77</v>
      </c>
      <c r="AI48" s="158">
        <v>631707.09</v>
      </c>
    </row>
    <row r="49" spans="1:35" ht="15" x14ac:dyDescent="0.25">
      <c r="A49" s="155">
        <v>45</v>
      </c>
      <c r="B49" s="156">
        <v>16535.97</v>
      </c>
      <c r="C49" s="157">
        <v>19890.490000000002</v>
      </c>
      <c r="D49" s="157">
        <v>17220.05</v>
      </c>
      <c r="E49" s="157">
        <v>20256.599999999999</v>
      </c>
      <c r="F49" s="157">
        <v>19314.27</v>
      </c>
      <c r="G49" s="157">
        <v>19150.439999999999</v>
      </c>
      <c r="H49" s="157">
        <v>19640.22</v>
      </c>
      <c r="I49" s="157">
        <v>20277.990000000002</v>
      </c>
      <c r="J49" s="157">
        <v>19868.490000000002</v>
      </c>
      <c r="K49" s="157">
        <v>17393.939999999999</v>
      </c>
      <c r="L49" s="157">
        <v>16682.75</v>
      </c>
      <c r="M49" s="157">
        <v>18320.62</v>
      </c>
      <c r="N49" s="157">
        <v>18075.810000000001</v>
      </c>
      <c r="O49" s="157">
        <v>18789.259999999998</v>
      </c>
      <c r="P49" s="157">
        <v>19019.89</v>
      </c>
      <c r="Q49" s="157">
        <v>20381.14</v>
      </c>
      <c r="R49" s="157">
        <v>16216.98</v>
      </c>
      <c r="S49" s="157">
        <v>20250.53</v>
      </c>
      <c r="T49" s="157">
        <v>19652.349999999999</v>
      </c>
      <c r="U49" s="157">
        <v>20659.650000000001</v>
      </c>
      <c r="V49" s="157">
        <v>21641.91</v>
      </c>
      <c r="W49" s="157">
        <v>18511.47</v>
      </c>
      <c r="X49" s="157">
        <v>17891.14</v>
      </c>
      <c r="Y49" s="157">
        <v>19634.63</v>
      </c>
      <c r="Z49" s="157">
        <v>17987.91</v>
      </c>
      <c r="AA49" s="157">
        <v>20807.259999999998</v>
      </c>
      <c r="AB49" s="157">
        <v>21222.81</v>
      </c>
      <c r="AC49" s="157">
        <v>18035.53</v>
      </c>
      <c r="AD49" s="157">
        <v>21067.39</v>
      </c>
      <c r="AE49" s="157">
        <v>18448.77</v>
      </c>
      <c r="AF49" s="157">
        <v>19841.86</v>
      </c>
      <c r="AG49" s="157">
        <v>20397.54</v>
      </c>
      <c r="AH49" s="157">
        <v>20172.099999999999</v>
      </c>
      <c r="AI49" s="158">
        <v>633257.76000000013</v>
      </c>
    </row>
    <row r="50" spans="1:35" ht="15" x14ac:dyDescent="0.25">
      <c r="A50" s="159" t="s">
        <v>923</v>
      </c>
      <c r="B50" s="160">
        <v>404824.4</v>
      </c>
      <c r="C50" s="161">
        <v>485284.39</v>
      </c>
      <c r="D50" s="161">
        <v>420408.56999999995</v>
      </c>
      <c r="E50" s="161">
        <v>495415.56000000006</v>
      </c>
      <c r="F50" s="161">
        <v>471216.98</v>
      </c>
      <c r="G50" s="161">
        <v>466681.05</v>
      </c>
      <c r="H50" s="161">
        <v>485504.08000000007</v>
      </c>
      <c r="I50" s="161">
        <v>499644.84</v>
      </c>
      <c r="J50" s="161">
        <v>485718.09</v>
      </c>
      <c r="K50" s="161">
        <v>426388.12000000017</v>
      </c>
      <c r="L50" s="161">
        <v>408545.11000000004</v>
      </c>
      <c r="M50" s="161">
        <v>444449.4599999999</v>
      </c>
      <c r="N50" s="161">
        <v>438711.49</v>
      </c>
      <c r="O50" s="161">
        <v>459605.98000000004</v>
      </c>
      <c r="P50" s="161">
        <v>465264.48000000004</v>
      </c>
      <c r="Q50" s="161">
        <v>496257.85000000009</v>
      </c>
      <c r="R50" s="161">
        <v>393550.23999999993</v>
      </c>
      <c r="S50" s="161">
        <v>493817.80000000005</v>
      </c>
      <c r="T50" s="161">
        <v>476781.42999999993</v>
      </c>
      <c r="U50" s="161">
        <v>501942.34000000008</v>
      </c>
      <c r="V50" s="161">
        <v>535131.75</v>
      </c>
      <c r="W50" s="161">
        <v>451057.45999999996</v>
      </c>
      <c r="X50" s="161">
        <v>431602.2699999999</v>
      </c>
      <c r="Y50" s="161">
        <v>475403.39</v>
      </c>
      <c r="Z50" s="161">
        <v>437834.07</v>
      </c>
      <c r="AA50" s="161">
        <v>505240.86</v>
      </c>
      <c r="AB50" s="161">
        <v>515180.58000000007</v>
      </c>
      <c r="AC50" s="161">
        <v>437872.48</v>
      </c>
      <c r="AD50" s="161">
        <v>513760.4599999999</v>
      </c>
      <c r="AE50" s="161">
        <v>447377.14</v>
      </c>
      <c r="AF50" s="161">
        <v>482227.79000000004</v>
      </c>
      <c r="AG50" s="161">
        <v>500570.9200000001</v>
      </c>
      <c r="AH50" s="161">
        <v>493042.58999999985</v>
      </c>
      <c r="AI50" s="162">
        <v>15446314.020000001</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0BD92-999F-490C-97DC-72A2F0D55131}">
  <sheetPr codeName="Sheet18">
    <pageSetUpPr fitToPage="1"/>
  </sheetPr>
  <dimension ref="A1:S222"/>
  <sheetViews>
    <sheetView topLeftCell="A4" zoomScale="70" zoomScaleNormal="70" workbookViewId="0">
      <selection activeCell="I127" sqref="I127"/>
    </sheetView>
  </sheetViews>
  <sheetFormatPr defaultColWidth="9.140625" defaultRowHeight="15" x14ac:dyDescent="0.25"/>
  <cols>
    <col min="1" max="1" width="9.140625" style="76"/>
    <col min="2" max="2" width="27.5703125" style="76" customWidth="1"/>
    <col min="3" max="3" width="24" style="76" customWidth="1"/>
    <col min="4" max="8" width="9.140625" style="76"/>
    <col min="9" max="9" width="26.7109375" style="76" customWidth="1"/>
    <col min="10" max="11" width="9.140625" style="76"/>
    <col min="12" max="12" width="24.85546875" style="76" customWidth="1"/>
    <col min="13" max="13" width="24.42578125" style="76" customWidth="1"/>
    <col min="14" max="15" width="9.140625" style="76"/>
    <col min="16" max="16" width="26.5703125" style="76" customWidth="1"/>
    <col min="17" max="16384" width="9.140625" style="76"/>
  </cols>
  <sheetData>
    <row r="1" spans="1:11" x14ac:dyDescent="0.25">
      <c r="A1" s="165" t="s">
        <v>329</v>
      </c>
      <c r="B1" s="165"/>
      <c r="C1" s="165"/>
      <c r="D1" s="165"/>
      <c r="E1" s="165"/>
      <c r="F1" s="165"/>
      <c r="G1" s="165"/>
      <c r="H1" s="165"/>
      <c r="I1" s="165"/>
      <c r="J1" s="165"/>
      <c r="K1" s="165"/>
    </row>
    <row r="2" spans="1:11" x14ac:dyDescent="0.25">
      <c r="A2" s="165"/>
      <c r="B2" s="165" t="s">
        <v>330</v>
      </c>
      <c r="C2" s="165" t="s">
        <v>331</v>
      </c>
      <c r="D2" s="165" t="s">
        <v>332</v>
      </c>
      <c r="E2" s="165"/>
      <c r="F2" s="165"/>
      <c r="G2" s="165"/>
      <c r="H2" s="165"/>
      <c r="I2" s="165"/>
      <c r="J2" s="165"/>
      <c r="K2" s="165"/>
    </row>
    <row r="3" spans="1:11" x14ac:dyDescent="0.25">
      <c r="A3" s="165"/>
      <c r="B3" s="165" t="s">
        <v>333</v>
      </c>
      <c r="C3" s="165">
        <v>10</v>
      </c>
      <c r="D3" s="165" t="s">
        <v>334</v>
      </c>
      <c r="E3" s="165"/>
      <c r="F3" s="165"/>
      <c r="G3" s="165"/>
      <c r="H3" s="165"/>
      <c r="I3" s="165"/>
      <c r="J3" s="165"/>
      <c r="K3" s="165" t="str">
        <f>B3&amp;" = "&amp;C3&amp;","&amp;" # "&amp;D3</f>
        <v>orig_F_conc = 10, # What is the starting F primer concentration? (in uM)</v>
      </c>
    </row>
    <row r="4" spans="1:11" x14ac:dyDescent="0.25">
      <c r="A4" s="165"/>
      <c r="B4" s="165" t="s">
        <v>335</v>
      </c>
      <c r="C4" s="165">
        <v>10</v>
      </c>
      <c r="D4" s="165" t="s">
        <v>336</v>
      </c>
      <c r="E4" s="165"/>
      <c r="F4" s="165"/>
      <c r="G4" s="165"/>
      <c r="H4" s="165"/>
      <c r="I4" s="165"/>
      <c r="J4" s="165"/>
      <c r="K4" s="165" t="str">
        <f t="shared" ref="K4:K31" si="0">B4&amp;" = "&amp;C4&amp;","&amp;" # "&amp;D4</f>
        <v>orig_R_conc = 10, # What is the starting R primer concentration? (in uM)</v>
      </c>
    </row>
    <row r="5" spans="1:11" x14ac:dyDescent="0.25">
      <c r="A5" s="165"/>
      <c r="B5" s="165" t="s">
        <v>337</v>
      </c>
      <c r="C5" s="165">
        <v>10</v>
      </c>
      <c r="D5" s="165" t="s">
        <v>338</v>
      </c>
      <c r="E5" s="165"/>
      <c r="F5" s="165"/>
      <c r="G5" s="165"/>
      <c r="H5" s="165"/>
      <c r="I5" s="165"/>
      <c r="J5" s="165"/>
      <c r="K5" s="165" t="str">
        <f t="shared" si="0"/>
        <v>orig_P_conc = 10, # What is probe starting concentration? (in uM)</v>
      </c>
    </row>
    <row r="6" spans="1:11" x14ac:dyDescent="0.25">
      <c r="A6" s="165"/>
      <c r="B6" s="165" t="s">
        <v>339</v>
      </c>
      <c r="C6" s="165">
        <v>300</v>
      </c>
      <c r="D6" s="165" t="s">
        <v>340</v>
      </c>
      <c r="E6" s="165"/>
      <c r="F6" s="165"/>
      <c r="G6" s="165"/>
      <c r="H6" s="165"/>
      <c r="I6" s="165"/>
      <c r="J6" s="165"/>
      <c r="K6" s="165" t="str">
        <f t="shared" si="0"/>
        <v>std_F_conc = 300, # What is the constant F primer concentration for standards? This should be guess or from literature. (in nM)</v>
      </c>
    </row>
    <row r="7" spans="1:11" x14ac:dyDescent="0.25">
      <c r="A7" s="165"/>
      <c r="B7" s="165" t="s">
        <v>341</v>
      </c>
      <c r="C7" s="165">
        <v>300</v>
      </c>
      <c r="D7" s="165" t="s">
        <v>342</v>
      </c>
      <c r="E7" s="165"/>
      <c r="F7" s="165"/>
      <c r="G7" s="165"/>
      <c r="H7" s="165"/>
      <c r="I7" s="165"/>
      <c r="J7" s="165"/>
      <c r="K7" s="165" t="str">
        <f t="shared" si="0"/>
        <v>std_R_cond = 300, # What is the constant R primer concentration for standards? This should be guess or from literature. (in nM)</v>
      </c>
    </row>
    <row r="8" spans="1:11" x14ac:dyDescent="0.25">
      <c r="A8" s="165"/>
      <c r="B8" s="165" t="s">
        <v>343</v>
      </c>
      <c r="C8" s="165">
        <v>300</v>
      </c>
      <c r="D8" s="165" t="s">
        <v>344</v>
      </c>
      <c r="E8" s="165"/>
      <c r="F8" s="165"/>
      <c r="G8" s="165"/>
      <c r="H8" s="165"/>
      <c r="I8" s="165"/>
      <c r="J8" s="165"/>
      <c r="K8" s="165" t="str">
        <f t="shared" si="0"/>
        <v>P_conc = 300, # What is the probe concentration? This should be constant throughout experiment.</v>
      </c>
    </row>
    <row r="9" spans="1:11" x14ac:dyDescent="0.25">
      <c r="A9" s="165"/>
      <c r="B9" s="165" t="s">
        <v>345</v>
      </c>
      <c r="C9" s="165">
        <v>21</v>
      </c>
      <c r="D9" s="165" t="s">
        <v>346</v>
      </c>
      <c r="E9" s="165"/>
      <c r="F9" s="165"/>
      <c r="G9" s="165"/>
      <c r="H9" s="165"/>
      <c r="I9" s="165"/>
      <c r="J9" s="165"/>
      <c r="K9" s="165" t="str">
        <f t="shared" si="0"/>
        <v>tot_stds = 21, # How many wells of standards will be run? (in # wells)</v>
      </c>
    </row>
    <row r="10" spans="1:11" x14ac:dyDescent="0.25">
      <c r="A10" s="165"/>
      <c r="B10" s="165" t="s">
        <v>347</v>
      </c>
      <c r="C10" s="165">
        <v>3</v>
      </c>
      <c r="D10" s="165" t="s">
        <v>348</v>
      </c>
      <c r="E10" s="165"/>
      <c r="F10" s="165"/>
      <c r="G10" s="165"/>
      <c r="H10" s="165"/>
      <c r="I10" s="165"/>
      <c r="J10" s="165"/>
      <c r="K10" s="165" t="str">
        <f t="shared" si="0"/>
        <v>tot_NTCs = 3, # How many wells of NTCs will be run? (in # wells)</v>
      </c>
    </row>
    <row r="11" spans="1:11" x14ac:dyDescent="0.25">
      <c r="A11" s="165"/>
      <c r="B11" s="165" t="s">
        <v>349</v>
      </c>
      <c r="C11" s="165">
        <v>72</v>
      </c>
      <c r="D11" s="165" t="s">
        <v>350</v>
      </c>
      <c r="E11" s="165"/>
      <c r="F11" s="165"/>
      <c r="G11" s="165"/>
      <c r="H11" s="165"/>
      <c r="I11" s="165"/>
      <c r="J11" s="165"/>
      <c r="K11" s="165" t="str">
        <f t="shared" si="0"/>
        <v>tot_samp = 72, # How many samples with varying conditions will be run? (in # wells)</v>
      </c>
    </row>
    <row r="12" spans="1:11" x14ac:dyDescent="0.25">
      <c r="A12" s="165"/>
      <c r="B12" s="165" t="s">
        <v>351</v>
      </c>
      <c r="C12" s="165">
        <v>8.86</v>
      </c>
      <c r="D12" s="165" t="s">
        <v>352</v>
      </c>
      <c r="E12" s="165"/>
      <c r="F12" s="165"/>
      <c r="G12" s="165"/>
      <c r="H12" s="165"/>
      <c r="I12" s="165"/>
      <c r="J12" s="165"/>
      <c r="K12" s="165" t="str">
        <f t="shared" si="0"/>
        <v>rxn_base = 8.86, # Everything in PCR buffer (Mg2+, dNTPs, polymerase, enhancers, stabilizers, sugars, etc.). (in uL)</v>
      </c>
    </row>
    <row r="13" spans="1:11" x14ac:dyDescent="0.25">
      <c r="A13" s="165"/>
      <c r="B13" s="165" t="s">
        <v>353</v>
      </c>
      <c r="C13" s="165">
        <v>20</v>
      </c>
      <c r="D13" s="165" t="s">
        <v>354</v>
      </c>
      <c r="E13" s="165"/>
      <c r="F13" s="165"/>
      <c r="G13" s="165"/>
      <c r="H13" s="165"/>
      <c r="I13" s="165"/>
      <c r="J13" s="165"/>
      <c r="K13" s="165" t="str">
        <f t="shared" si="0"/>
        <v>tot_rxn_vol = 20, # What is total volume of PCR reaction in plate/tube? (in ul)</v>
      </c>
    </row>
    <row r="14" spans="1:11" x14ac:dyDescent="0.25">
      <c r="A14" s="165"/>
      <c r="B14" s="165" t="s">
        <v>355</v>
      </c>
      <c r="C14" s="165" t="s">
        <v>356</v>
      </c>
      <c r="D14" s="165" t="s">
        <v>357</v>
      </c>
      <c r="E14" s="165"/>
      <c r="F14" s="165"/>
      <c r="G14" s="165"/>
      <c r="H14" s="165"/>
      <c r="I14" s="165"/>
      <c r="J14" s="165"/>
      <c r="K14" s="165" t="str">
        <f t="shared" si="0"/>
        <v>F_concs = [50, 100, 200, 400, 600, 800], # What are the F primer concentrations? (a list in nM)</v>
      </c>
    </row>
    <row r="15" spans="1:11" x14ac:dyDescent="0.25">
      <c r="A15" s="165"/>
      <c r="B15" s="165" t="s">
        <v>358</v>
      </c>
      <c r="C15" s="165" t="s">
        <v>356</v>
      </c>
      <c r="D15" s="165" t="s">
        <v>359</v>
      </c>
      <c r="E15" s="165"/>
      <c r="F15" s="165"/>
      <c r="G15" s="165"/>
      <c r="H15" s="165"/>
      <c r="I15" s="165"/>
      <c r="J15" s="165"/>
      <c r="K15" s="165" t="str">
        <f t="shared" si="0"/>
        <v>R_concs = [50, 100, 200, 400, 600, 800], # What are the R primer concentrations? (a list in nM)</v>
      </c>
    </row>
    <row r="16" spans="1:11" x14ac:dyDescent="0.25">
      <c r="A16" s="165"/>
      <c r="B16" s="165" t="s">
        <v>360</v>
      </c>
      <c r="C16" s="165">
        <v>50</v>
      </c>
      <c r="D16" s="165" t="s">
        <v>361</v>
      </c>
      <c r="E16" s="165"/>
      <c r="F16" s="165"/>
      <c r="G16" s="165"/>
      <c r="H16" s="165"/>
      <c r="I16" s="165"/>
      <c r="J16" s="165"/>
      <c r="K16" s="165" t="str">
        <f t="shared" si="0"/>
        <v>F_50 = 50, # F primer at lowest concentration. (in nM)</v>
      </c>
    </row>
    <row r="17" spans="2:11" x14ac:dyDescent="0.25">
      <c r="B17" s="165" t="s">
        <v>362</v>
      </c>
      <c r="C17" s="165">
        <v>100</v>
      </c>
      <c r="D17" s="165" t="s">
        <v>363</v>
      </c>
      <c r="E17" s="165"/>
      <c r="F17" s="165"/>
      <c r="G17" s="165"/>
      <c r="H17" s="165"/>
      <c r="I17" s="165"/>
      <c r="J17" s="165"/>
      <c r="K17" s="165" t="str">
        <f t="shared" si="0"/>
        <v>F_100 = 100, # F primer at concentration. (in nM)</v>
      </c>
    </row>
    <row r="18" spans="2:11" x14ac:dyDescent="0.25">
      <c r="B18" s="165" t="s">
        <v>364</v>
      </c>
      <c r="C18" s="165">
        <v>200</v>
      </c>
      <c r="D18" s="165" t="s">
        <v>363</v>
      </c>
      <c r="E18" s="165"/>
      <c r="F18" s="165"/>
      <c r="G18" s="165"/>
      <c r="H18" s="165"/>
      <c r="I18" s="165"/>
      <c r="J18" s="165"/>
      <c r="K18" s="165" t="str">
        <f t="shared" si="0"/>
        <v>F_200 = 200, # F primer at concentration. (in nM)</v>
      </c>
    </row>
    <row r="19" spans="2:11" x14ac:dyDescent="0.25">
      <c r="B19" s="165" t="s">
        <v>365</v>
      </c>
      <c r="C19" s="165">
        <v>400</v>
      </c>
      <c r="D19" s="165" t="s">
        <v>363</v>
      </c>
      <c r="E19" s="165"/>
      <c r="F19" s="165"/>
      <c r="G19" s="165"/>
      <c r="H19" s="165"/>
      <c r="I19" s="165"/>
      <c r="J19" s="165"/>
      <c r="K19" s="165" t="str">
        <f t="shared" si="0"/>
        <v>F_400 = 400, # F primer at concentration. (in nM)</v>
      </c>
    </row>
    <row r="20" spans="2:11" x14ac:dyDescent="0.25">
      <c r="B20" s="165" t="s">
        <v>366</v>
      </c>
      <c r="C20" s="165">
        <v>600</v>
      </c>
      <c r="D20" s="165" t="s">
        <v>363</v>
      </c>
      <c r="E20" s="165"/>
      <c r="F20" s="165"/>
      <c r="G20" s="165"/>
      <c r="H20" s="165"/>
      <c r="I20" s="165"/>
      <c r="J20" s="165"/>
      <c r="K20" s="165" t="str">
        <f t="shared" si="0"/>
        <v>F_600 = 600, # F primer at concentration. (in nM)</v>
      </c>
    </row>
    <row r="21" spans="2:11" x14ac:dyDescent="0.25">
      <c r="B21" s="165" t="s">
        <v>367</v>
      </c>
      <c r="C21" s="165">
        <v>800</v>
      </c>
      <c r="D21" s="165" t="s">
        <v>368</v>
      </c>
      <c r="E21" s="165"/>
      <c r="F21" s="165"/>
      <c r="G21" s="165"/>
      <c r="H21" s="165"/>
      <c r="I21" s="165"/>
      <c r="J21" s="165"/>
      <c r="K21" s="165" t="str">
        <f t="shared" si="0"/>
        <v>F_800 = 800, # F primer at highest concentration. (in nM)</v>
      </c>
    </row>
    <row r="22" spans="2:11" x14ac:dyDescent="0.25">
      <c r="B22" s="165" t="s">
        <v>369</v>
      </c>
      <c r="C22" s="165">
        <v>50</v>
      </c>
      <c r="D22" s="165" t="s">
        <v>370</v>
      </c>
      <c r="E22" s="165"/>
      <c r="F22" s="165"/>
      <c r="G22" s="165"/>
      <c r="H22" s="165"/>
      <c r="I22" s="165"/>
      <c r="J22" s="165"/>
      <c r="K22" s="165" t="str">
        <f t="shared" si="0"/>
        <v>R_50 = 50, # R primer at lowest concentration. (in nM)</v>
      </c>
    </row>
    <row r="23" spans="2:11" x14ac:dyDescent="0.25">
      <c r="B23" s="165" t="s">
        <v>371</v>
      </c>
      <c r="C23" s="165">
        <v>100</v>
      </c>
      <c r="D23" s="165" t="s">
        <v>372</v>
      </c>
      <c r="E23" s="165"/>
      <c r="F23" s="165"/>
      <c r="G23" s="165"/>
      <c r="H23" s="165"/>
      <c r="I23" s="165"/>
      <c r="J23" s="165"/>
      <c r="K23" s="165" t="str">
        <f t="shared" si="0"/>
        <v>R_100 = 100, # R primer at concentration. (in nM)</v>
      </c>
    </row>
    <row r="24" spans="2:11" x14ac:dyDescent="0.25">
      <c r="B24" s="165" t="s">
        <v>373</v>
      </c>
      <c r="C24" s="165">
        <v>200</v>
      </c>
      <c r="D24" s="165" t="s">
        <v>372</v>
      </c>
      <c r="E24" s="165"/>
      <c r="F24" s="165"/>
      <c r="G24" s="165"/>
      <c r="H24" s="165"/>
      <c r="I24" s="165"/>
      <c r="J24" s="165"/>
      <c r="K24" s="165" t="str">
        <f t="shared" si="0"/>
        <v>R_200 = 200, # R primer at concentration. (in nM)</v>
      </c>
    </row>
    <row r="25" spans="2:11" x14ac:dyDescent="0.25">
      <c r="B25" s="165" t="s">
        <v>374</v>
      </c>
      <c r="C25" s="165">
        <v>400</v>
      </c>
      <c r="D25" s="165" t="s">
        <v>372</v>
      </c>
      <c r="E25" s="165"/>
      <c r="F25" s="165"/>
      <c r="G25" s="165"/>
      <c r="H25" s="165"/>
      <c r="I25" s="165"/>
      <c r="J25" s="165"/>
      <c r="K25" s="165" t="str">
        <f t="shared" si="0"/>
        <v>R_400 = 400, # R primer at concentration. (in nM)</v>
      </c>
    </row>
    <row r="26" spans="2:11" x14ac:dyDescent="0.25">
      <c r="B26" s="165" t="s">
        <v>375</v>
      </c>
      <c r="C26" s="165">
        <v>600</v>
      </c>
      <c r="D26" s="165" t="s">
        <v>372</v>
      </c>
      <c r="E26" s="165"/>
      <c r="F26" s="165"/>
      <c r="G26" s="165"/>
      <c r="H26" s="165"/>
      <c r="I26" s="165"/>
      <c r="J26" s="165"/>
      <c r="K26" s="165" t="str">
        <f t="shared" si="0"/>
        <v>R_600 = 600, # R primer at concentration. (in nM)</v>
      </c>
    </row>
    <row r="27" spans="2:11" x14ac:dyDescent="0.25">
      <c r="B27" s="165" t="s">
        <v>376</v>
      </c>
      <c r="C27" s="165">
        <v>800</v>
      </c>
      <c r="D27" s="165" t="s">
        <v>377</v>
      </c>
      <c r="E27" s="165"/>
      <c r="F27" s="165"/>
      <c r="G27" s="165"/>
      <c r="H27" s="165"/>
      <c r="I27" s="165"/>
      <c r="J27" s="165"/>
      <c r="K27" s="165" t="str">
        <f t="shared" si="0"/>
        <v>R_800 = 800, # R primer at highest concentration. (in nM)</v>
      </c>
    </row>
    <row r="28" spans="2:11" x14ac:dyDescent="0.25">
      <c r="B28" s="165" t="s">
        <v>378</v>
      </c>
      <c r="C28" s="165">
        <v>2</v>
      </c>
      <c r="D28" s="165" t="s">
        <v>379</v>
      </c>
      <c r="E28" s="165"/>
      <c r="F28" s="165"/>
      <c r="G28" s="165"/>
      <c r="H28" s="165"/>
      <c r="I28" s="165"/>
      <c r="J28" s="165"/>
      <c r="K28" s="165" t="str">
        <f t="shared" si="0"/>
        <v xml:space="preserve">dna_per_rxn = 2, # How much standard, positive control or NTC to add per well. </v>
      </c>
    </row>
    <row r="29" spans="2:11" x14ac:dyDescent="0.25">
      <c r="B29" s="165" t="s">
        <v>380</v>
      </c>
      <c r="C29" s="165">
        <v>3</v>
      </c>
      <c r="D29" s="165" t="s">
        <v>381</v>
      </c>
      <c r="E29" s="165"/>
      <c r="F29" s="165"/>
      <c r="G29" s="165"/>
      <c r="H29" s="165"/>
      <c r="I29" s="165"/>
      <c r="J29" s="165"/>
      <c r="K29" s="165" t="str">
        <f t="shared" si="0"/>
        <v>std_NTC_reps = 3, # How many standard and NTC replicates? (int)</v>
      </c>
    </row>
    <row r="30" spans="2:11" x14ac:dyDescent="0.25">
      <c r="B30" s="165" t="s">
        <v>382</v>
      </c>
      <c r="C30" s="165">
        <v>12</v>
      </c>
      <c r="D30" s="165" t="s">
        <v>383</v>
      </c>
      <c r="E30" s="165"/>
      <c r="F30" s="165"/>
      <c r="G30" s="165"/>
      <c r="H30" s="165"/>
      <c r="I30" s="165"/>
      <c r="J30" s="165"/>
      <c r="K30" s="165" t="str">
        <f t="shared" si="0"/>
        <v>R_reps = 12, # How many wells will use R primer at particular concentration? (int)</v>
      </c>
    </row>
    <row r="31" spans="2:11" x14ac:dyDescent="0.25">
      <c r="B31" s="165" t="s">
        <v>384</v>
      </c>
      <c r="C31" s="165">
        <v>12</v>
      </c>
      <c r="D31" s="165" t="s">
        <v>385</v>
      </c>
      <c r="E31" s="165"/>
      <c r="F31" s="165"/>
      <c r="G31" s="165"/>
      <c r="H31" s="165"/>
      <c r="I31" s="165"/>
      <c r="J31" s="165"/>
      <c r="K31" s="165" t="str">
        <f t="shared" si="0"/>
        <v>F_reps = 12, # How many wells will use F primer at particular concentration? (int)</v>
      </c>
    </row>
    <row r="32" spans="2:11" x14ac:dyDescent="0.25">
      <c r="B32" s="165" t="s">
        <v>386</v>
      </c>
      <c r="C32" s="165">
        <v>100</v>
      </c>
      <c r="D32" s="165" t="s">
        <v>387</v>
      </c>
      <c r="E32" s="165"/>
      <c r="F32" s="165"/>
      <c r="G32" s="165"/>
      <c r="H32" s="165"/>
      <c r="I32" s="165"/>
      <c r="J32" s="165"/>
      <c r="K32" s="165" t="str">
        <f>B32&amp;" = "&amp;F_int_vol&amp;","&amp;" # "&amp;D32</f>
        <v>F_int_vol = 100, # What is the volume of F intermediate primer in new tube? (in ul)</v>
      </c>
    </row>
    <row r="33" spans="2:11" x14ac:dyDescent="0.25">
      <c r="B33" s="102" t="s">
        <v>388</v>
      </c>
      <c r="C33" s="165">
        <v>0.2</v>
      </c>
      <c r="D33" s="165" t="s">
        <v>389</v>
      </c>
      <c r="E33" s="165"/>
      <c r="F33" s="165"/>
      <c r="G33" s="165"/>
      <c r="H33" s="165"/>
      <c r="I33" s="165"/>
      <c r="J33" s="165"/>
      <c r="K33" s="165" t="str">
        <f>B33&amp;" = "&amp;" "&amp;"# "&amp;D33</f>
        <v>percent_waste =  # What percentage waste? (decimal)</v>
      </c>
    </row>
    <row r="34" spans="2:11" x14ac:dyDescent="0.25">
      <c r="B34" s="165" t="s">
        <v>390</v>
      </c>
      <c r="C34" s="165">
        <v>2.5000000000000001E-2</v>
      </c>
      <c r="D34" s="165" t="s">
        <v>391</v>
      </c>
      <c r="E34" s="165"/>
      <c r="F34" s="165"/>
      <c r="G34" s="165"/>
      <c r="H34" s="165"/>
      <c r="I34" s="165"/>
      <c r="J34" s="165"/>
      <c r="K34" s="165" t="str">
        <f t="shared" ref="K34:K37" si="1">B34&amp;" = "&amp;" "&amp;"# "&amp;D34</f>
        <v>sN_mix_waste_offset =  # How much percent_waste offset should sN_mix use? This calculated as percent_waste-sN_mix_overage = percent_waste for sN_mix_overage e.g. (20-7=13%) Should not be 0 otherwise offset = percent_waste. (decimal)</v>
      </c>
    </row>
    <row r="35" spans="2:11" x14ac:dyDescent="0.25">
      <c r="B35" s="165" t="s">
        <v>392</v>
      </c>
      <c r="C35" s="165">
        <v>0.1</v>
      </c>
      <c r="D35" s="165" t="s">
        <v>393</v>
      </c>
      <c r="E35" s="165"/>
      <c r="F35" s="165"/>
      <c r="G35" s="165"/>
      <c r="H35" s="165"/>
      <c r="I35" s="165"/>
      <c r="J35" s="165"/>
      <c r="K35" s="165" t="str">
        <f t="shared" si="1"/>
        <v>R_mix_waste_offset =  # How much percent_waste offset should R_mix use? This calculated as percent_waste-R_mix_overage = percent_waste for R_mix_overage e.g. (20-=13%) If 0, then offset = percent_waste. (decimal)</v>
      </c>
    </row>
    <row r="36" spans="2:11" x14ac:dyDescent="0.25">
      <c r="B36" s="165" t="s">
        <v>394</v>
      </c>
      <c r="C36" s="101">
        <v>2.8000000000000001E-2</v>
      </c>
      <c r="D36" s="165" t="s">
        <v>395</v>
      </c>
      <c r="E36" s="165"/>
      <c r="F36" s="165"/>
      <c r="G36" s="165"/>
      <c r="H36" s="165"/>
      <c r="I36" s="165"/>
      <c r="J36" s="165"/>
      <c r="K36" s="165" t="str">
        <f t="shared" si="1"/>
        <v>std_NTC_waste_offset =  # How much percent_waste offset should std_NTC use? (decimal)</v>
      </c>
    </row>
    <row r="37" spans="2:11" x14ac:dyDescent="0.25">
      <c r="B37" s="165" t="s">
        <v>396</v>
      </c>
      <c r="C37" s="103">
        <v>3.2000000000000001E-2</v>
      </c>
      <c r="D37" s="165" t="s">
        <v>397</v>
      </c>
      <c r="E37" s="165"/>
      <c r="F37" s="165"/>
      <c r="G37" s="165"/>
      <c r="H37" s="165"/>
      <c r="I37" s="165"/>
      <c r="J37" s="165"/>
      <c r="K37" s="165" t="str">
        <f t="shared" si="1"/>
        <v>bpw_waste_offset =  # How much percent_waste offset should bpw_waste use? (decimal)</v>
      </c>
    </row>
    <row r="38" spans="2:11" x14ac:dyDescent="0.25">
      <c r="B38" s="165"/>
      <c r="C38" s="84"/>
      <c r="D38" s="165"/>
      <c r="E38" s="165"/>
      <c r="F38" s="165"/>
      <c r="G38" s="165"/>
      <c r="H38" s="165"/>
      <c r="I38" s="165"/>
      <c r="J38" s="165"/>
      <c r="K38" s="165"/>
    </row>
    <row r="39" spans="2:11" x14ac:dyDescent="0.25">
      <c r="B39" s="165" t="s">
        <v>398</v>
      </c>
      <c r="C39" s="165"/>
      <c r="D39" s="165"/>
      <c r="E39" s="165"/>
      <c r="F39" s="165"/>
      <c r="G39" s="165"/>
      <c r="H39" s="165"/>
      <c r="I39" s="165"/>
      <c r="J39" s="165"/>
      <c r="K39" s="165"/>
    </row>
    <row r="40" spans="2:11" x14ac:dyDescent="0.25">
      <c r="B40" s="165" t="s">
        <v>399</v>
      </c>
      <c r="C40" s="165">
        <f>SUM(C9:C11)</f>
        <v>96</v>
      </c>
      <c r="D40" s="165" t="s">
        <v>400</v>
      </c>
      <c r="E40" s="165"/>
      <c r="F40" s="165"/>
      <c r="G40" s="165"/>
      <c r="H40" s="165"/>
      <c r="I40" s="165"/>
      <c r="J40" s="165"/>
      <c r="K40" s="165" t="str">
        <f>B40&amp;" = "&amp;" "&amp;"# "&amp;D40</f>
        <v>tot_rxns =  # Calc what is total # rxns. (int)</v>
      </c>
    </row>
    <row r="41" spans="2:11" x14ac:dyDescent="0.25">
      <c r="B41" s="165" t="s">
        <v>401</v>
      </c>
      <c r="C41" s="165">
        <f>SUM(C9:C10)</f>
        <v>24</v>
      </c>
      <c r="D41" s="165" t="s">
        <v>402</v>
      </c>
      <c r="E41" s="165"/>
      <c r="F41" s="165"/>
      <c r="G41" s="165"/>
      <c r="H41" s="165"/>
      <c r="I41" s="165"/>
      <c r="J41" s="165"/>
      <c r="K41" s="165" t="str">
        <f t="shared" ref="K41:K105" si="2">B41&amp;" = "&amp;" "&amp;"# "&amp;D41</f>
        <v>tot_sds_NTC =  # Calc number of standards and nontemplate controls. (int)</v>
      </c>
    </row>
    <row r="42" spans="2:11" x14ac:dyDescent="0.25">
      <c r="B42" s="165" t="s">
        <v>403</v>
      </c>
      <c r="C42" s="165">
        <f>C13-C28</f>
        <v>18</v>
      </c>
      <c r="D42" s="165" t="s">
        <v>404</v>
      </c>
      <c r="E42" s="165"/>
      <c r="F42" s="165"/>
      <c r="G42" s="165"/>
      <c r="H42" s="165"/>
      <c r="I42" s="165"/>
      <c r="J42" s="165"/>
      <c r="K42" s="165" t="str">
        <f t="shared" si="2"/>
        <v>rxn_vol_no_dna =  # Calc what is volume of PCR rxn with no DNA added. (in ul)</v>
      </c>
    </row>
    <row r="43" spans="2:11" x14ac:dyDescent="0.25">
      <c r="B43" s="165" t="s">
        <v>405</v>
      </c>
      <c r="C43" s="165">
        <f>C8/1000*C13/C5</f>
        <v>0.6</v>
      </c>
      <c r="D43" s="165" t="s">
        <v>406</v>
      </c>
      <c r="E43" s="165"/>
      <c r="F43" s="165"/>
      <c r="G43" s="165"/>
      <c r="H43" s="165"/>
      <c r="I43" s="165"/>
      <c r="J43" s="165"/>
      <c r="K43" s="165" t="str">
        <f t="shared" si="2"/>
        <v>P_per_rxn =  # Calc this constant probe is needed per pcr reaction. (in ul)</v>
      </c>
    </row>
    <row r="44" spans="2:11" x14ac:dyDescent="0.25">
      <c r="B44" s="165" t="s">
        <v>407</v>
      </c>
      <c r="C44" s="165">
        <f>C21/1000*C13/C3</f>
        <v>1.6</v>
      </c>
      <c r="D44" s="165" t="s">
        <v>408</v>
      </c>
      <c r="E44" s="165"/>
      <c r="F44" s="165"/>
      <c r="G44" s="165"/>
      <c r="H44" s="165"/>
      <c r="I44" s="165"/>
      <c r="J44" s="165"/>
      <c r="K44" s="165" t="str">
        <f t="shared" si="2"/>
        <v>max_vol_F_per_rxn =  # Calc greatest vol added from starting F primer conc to rxn to satisfy max test F conc? (in ul)</v>
      </c>
    </row>
    <row r="45" spans="2:11" x14ac:dyDescent="0.25">
      <c r="B45" s="165" t="s">
        <v>409</v>
      </c>
      <c r="C45" s="165">
        <f>C27/1000*C13/orig_R_conc</f>
        <v>1.6</v>
      </c>
      <c r="D45" s="165" t="s">
        <v>410</v>
      </c>
      <c r="E45" s="165"/>
      <c r="F45" s="165"/>
      <c r="G45" s="165"/>
      <c r="H45" s="165"/>
      <c r="I45" s="165"/>
      <c r="J45" s="165"/>
      <c r="K45" s="165" t="str">
        <f t="shared" si="2"/>
        <v>max_vol_R_per_rxn =  # Calc greatest vol added from starting R primer conc to rxn to satisfy max test R conc? (in ul)</v>
      </c>
    </row>
    <row r="46" spans="2:11" x14ac:dyDescent="0.25">
      <c r="B46" s="165" t="s">
        <v>411</v>
      </c>
      <c r="C46" s="165">
        <f>C42-C12-C43-C44-C45</f>
        <v>5.3400000000000016</v>
      </c>
      <c r="D46" s="165" t="s">
        <v>412</v>
      </c>
      <c r="E46" s="165"/>
      <c r="F46" s="165"/>
      <c r="G46" s="165"/>
      <c r="H46" s="165"/>
      <c r="I46" s="165"/>
      <c r="J46" s="165"/>
      <c r="K46" s="165" t="str">
        <f t="shared" si="2"/>
        <v>water_per_rxn =  # Calc this is water added per rxn such that greatest F, R primer conc can be accommodated in total rxn vol. (in ul)</v>
      </c>
    </row>
    <row r="47" spans="2:11" x14ac:dyDescent="0.25">
      <c r="B47" s="102" t="s">
        <v>413</v>
      </c>
      <c r="C47" s="165">
        <f>C6/1000*C13/C3</f>
        <v>0.6</v>
      </c>
      <c r="D47" s="165" t="s">
        <v>414</v>
      </c>
      <c r="E47" s="165"/>
      <c r="F47" s="165"/>
      <c r="G47" s="165"/>
      <c r="H47" s="165"/>
      <c r="I47" s="165"/>
      <c r="J47" s="165"/>
      <c r="K47" s="165" t="str">
        <f t="shared" si="2"/>
        <v>std_vol_F_per_rxn =  # Calc adding this much F primer to each std rxn</v>
      </c>
    </row>
    <row r="48" spans="2:11" x14ac:dyDescent="0.25">
      <c r="B48" s="102" t="s">
        <v>415</v>
      </c>
      <c r="C48" s="165">
        <f>C7/1000*C13/orig_R_conc</f>
        <v>0.6</v>
      </c>
      <c r="D48" s="165" t="s">
        <v>414</v>
      </c>
      <c r="E48" s="165"/>
      <c r="F48" s="165"/>
      <c r="G48" s="165"/>
      <c r="H48" s="165"/>
      <c r="I48" s="165"/>
      <c r="J48" s="165"/>
      <c r="K48" s="165" t="str">
        <f t="shared" si="2"/>
        <v>std_vol_R_per_rxn =  # Calc adding this much F primer to each std rxn</v>
      </c>
    </row>
    <row r="49" spans="2:11" x14ac:dyDescent="0.25">
      <c r="B49" s="165" t="s">
        <v>416</v>
      </c>
      <c r="C49" s="165">
        <f>C12+C43+C46</f>
        <v>14.8</v>
      </c>
      <c r="D49" s="165" t="s">
        <v>417</v>
      </c>
      <c r="E49" s="165"/>
      <c r="F49" s="165"/>
      <c r="G49" s="165"/>
      <c r="H49" s="165"/>
      <c r="I49" s="165"/>
      <c r="J49" s="165"/>
      <c r="K49" s="165" t="str">
        <f t="shared" si="2"/>
        <v>BPW_rxn =  # Mix base + probe + water (no DNA, F, R primer). (in ul)</v>
      </c>
    </row>
    <row r="50" spans="2:11" x14ac:dyDescent="0.25">
      <c r="B50" s="165" t="s">
        <v>418</v>
      </c>
      <c r="C50" s="165">
        <f>C44-C47+C45-C48</f>
        <v>2</v>
      </c>
      <c r="D50" s="165" t="s">
        <v>419</v>
      </c>
      <c r="E50" s="165"/>
      <c r="F50" s="165"/>
      <c r="G50" s="165"/>
      <c r="H50" s="165"/>
      <c r="I50" s="165"/>
      <c r="J50" s="165"/>
      <c r="K50" s="165"/>
    </row>
    <row r="51" spans="2:11" x14ac:dyDescent="0.25">
      <c r="B51" s="165" t="s">
        <v>420</v>
      </c>
      <c r="C51" s="165">
        <f>C49+C47+C48+C50</f>
        <v>18</v>
      </c>
      <c r="D51" s="165" t="s">
        <v>421</v>
      </c>
      <c r="E51" s="165"/>
      <c r="F51" s="165"/>
      <c r="G51" s="165"/>
      <c r="H51" s="165"/>
      <c r="I51" s="165"/>
      <c r="J51" s="165"/>
      <c r="K51" s="165" t="str">
        <f t="shared" si="2"/>
        <v>BPW_sN_rxn =  # Mix base + probe + water+F,R primer at std conc+water_offset(no DNA). (in ul)</v>
      </c>
    </row>
    <row r="52" spans="2:11" x14ac:dyDescent="0.25">
      <c r="B52" s="165" t="s">
        <v>422</v>
      </c>
      <c r="C52" s="165">
        <f>C41*(1+C33-C34)*C49</f>
        <v>417.36000000000007</v>
      </c>
      <c r="D52" s="165" t="s">
        <v>423</v>
      </c>
      <c r="E52" s="165"/>
      <c r="F52" s="165"/>
      <c r="G52" s="165"/>
      <c r="H52" s="165"/>
      <c r="I52" s="165"/>
      <c r="J52" s="165"/>
      <c r="K52" s="165" t="str">
        <f t="shared" si="2"/>
        <v>BWP_mix_xfer_sN_mix =  # Calc how much tot_BPW_mix to move to make new tube for stds and NTC. (in ul)</v>
      </c>
    </row>
    <row r="53" spans="2:11" x14ac:dyDescent="0.25">
      <c r="B53" s="165" t="s">
        <v>424</v>
      </c>
      <c r="C53" s="165">
        <f>C50*C41*(1+C33-C34)</f>
        <v>56.400000000000006</v>
      </c>
      <c r="D53" s="165" t="s">
        <v>425</v>
      </c>
      <c r="E53" s="165"/>
      <c r="F53" s="165"/>
      <c r="G53" s="165"/>
      <c r="H53" s="165"/>
      <c r="I53" s="165"/>
      <c r="J53" s="165"/>
      <c r="K53" s="165" t="str">
        <f t="shared" si="2"/>
        <v>std_woff_add_to_sN_mix =  # Cal how much water to add to sdd_NTC mmix with waste</v>
      </c>
    </row>
    <row r="54" spans="2:11" x14ac:dyDescent="0.25">
      <c r="B54" s="165" t="s">
        <v>426</v>
      </c>
      <c r="C54" s="165">
        <f>C41*(1+C33-C34)*C47</f>
        <v>16.920000000000002</v>
      </c>
      <c r="D54" s="165" t="s">
        <v>427</v>
      </c>
      <c r="E54" s="165"/>
      <c r="F54" s="165"/>
      <c r="G54" s="165"/>
      <c r="H54" s="165"/>
      <c r="I54" s="165"/>
      <c r="J54" s="165"/>
      <c r="K54" s="165" t="str">
        <f t="shared" si="2"/>
        <v>F_add_to_sN_mix =  # Calc how much F primer to add to std_NTC mmix with waste</v>
      </c>
    </row>
    <row r="55" spans="2:11" x14ac:dyDescent="0.25">
      <c r="B55" s="165" t="s">
        <v>428</v>
      </c>
      <c r="C55" s="165">
        <f>C41*(1+C33-C34)*C48</f>
        <v>16.920000000000002</v>
      </c>
      <c r="D55" s="165" t="s">
        <v>429</v>
      </c>
      <c r="E55" s="165"/>
      <c r="F55" s="165"/>
      <c r="G55" s="165"/>
      <c r="H55" s="165"/>
      <c r="I55" s="165"/>
      <c r="J55" s="165"/>
      <c r="K55" s="165" t="str">
        <f t="shared" si="2"/>
        <v>R_add_to_sN_mix =  # Calc how much R primer to add to std_NTC mmix with waste</v>
      </c>
    </row>
    <row r="56" spans="2:11" x14ac:dyDescent="0.25">
      <c r="B56" s="165" t="s">
        <v>430</v>
      </c>
      <c r="C56" s="165">
        <f>C51*C29*(1+C33-C36)</f>
        <v>63.287999999999997</v>
      </c>
      <c r="D56" s="165" t="s">
        <v>431</v>
      </c>
      <c r="E56" s="165"/>
      <c r="F56" s="165"/>
      <c r="G56" s="165"/>
      <c r="H56" s="165"/>
      <c r="I56" s="165"/>
      <c r="J56" s="165"/>
      <c r="K56" s="165" t="str">
        <f t="shared" si="2"/>
        <v>sN_mix_xfer_to_stds_mix =  # Calc how much sn_mix to aliquot to tube in preparation for std DNA mixing. (in ul)</v>
      </c>
    </row>
    <row r="57" spans="2:11" x14ac:dyDescent="0.25">
      <c r="B57" s="165" t="s">
        <v>432</v>
      </c>
      <c r="C57" s="165">
        <f>C28*C29*(1+C33-C36)</f>
        <v>7.032</v>
      </c>
      <c r="D57" s="165" t="s">
        <v>433</v>
      </c>
      <c r="E57" s="165"/>
      <c r="F57" s="165"/>
      <c r="G57" s="165"/>
      <c r="H57" s="165"/>
      <c r="I57" s="165"/>
      <c r="J57" s="165"/>
      <c r="K57" s="165" t="str">
        <f t="shared" si="2"/>
        <v>std_DNA_xfer_to_stds_mix =  # Calc how much DNA from each standard adding to stds_mix with waste. (in ul)</v>
      </c>
    </row>
    <row r="58" spans="2:11" x14ac:dyDescent="0.25">
      <c r="B58" s="165" t="s">
        <v>434</v>
      </c>
      <c r="C58" s="165">
        <f>C11*C49*(1+C33-C37)</f>
        <v>1244.6208000000001</v>
      </c>
      <c r="D58" s="165" t="s">
        <v>435</v>
      </c>
      <c r="E58" s="165"/>
      <c r="F58" s="165"/>
      <c r="G58" s="165"/>
      <c r="H58" s="165"/>
      <c r="I58" s="165"/>
      <c r="J58" s="165"/>
      <c r="K58" s="165" t="str">
        <f t="shared" si="2"/>
        <v>bpw_mix_xfer_bpwd_mix =  # Calc how much bpw_mix needed in new tube for # total samples</v>
      </c>
    </row>
    <row r="59" spans="2:11" x14ac:dyDescent="0.25">
      <c r="B59" s="165" t="s">
        <v>436</v>
      </c>
      <c r="C59" s="165">
        <f>C28*C11*(1+C33-C37)</f>
        <v>168.19199999999998</v>
      </c>
      <c r="D59" s="165" t="s">
        <v>437</v>
      </c>
      <c r="E59" s="165"/>
      <c r="F59" s="165"/>
      <c r="G59" s="165"/>
      <c r="H59" s="165"/>
      <c r="I59" s="165"/>
      <c r="J59" s="165"/>
      <c r="K59" s="165" t="str">
        <f t="shared" si="2"/>
        <v>std_DNA_xfer_to_bpwd_mix =  # Calc how much DNA to add to bpw_mix for template in PCR rxns.</v>
      </c>
    </row>
    <row r="60" spans="2:11" s="164" customFormat="1" x14ac:dyDescent="0.25">
      <c r="B60" s="165" t="s">
        <v>926</v>
      </c>
      <c r="C60" s="165">
        <f>0.2</f>
        <v>0.2</v>
      </c>
      <c r="D60" s="165" t="s">
        <v>927</v>
      </c>
      <c r="E60" s="165"/>
      <c r="F60" s="165"/>
      <c r="G60" s="165"/>
      <c r="H60" s="165"/>
      <c r="I60" s="165"/>
      <c r="J60" s="165"/>
      <c r="K60" s="165" t="str">
        <f t="shared" si="2"/>
        <v>dna_per_rxn_10x =  # 10x concentrated DNA to add to reactions to avoid using too much std sample</v>
      </c>
    </row>
    <row r="61" spans="2:11" x14ac:dyDescent="0.25">
      <c r="B61" s="165" t="s">
        <v>438</v>
      </c>
      <c r="C61" s="165">
        <f>C49+C28</f>
        <v>16.8</v>
      </c>
      <c r="D61" s="165" t="s">
        <v>439</v>
      </c>
      <c r="E61" s="165"/>
      <c r="F61" s="165"/>
      <c r="G61" s="165"/>
      <c r="H61" s="165"/>
      <c r="I61" s="165"/>
      <c r="J61" s="165"/>
      <c r="K61" s="165" t="str">
        <f t="shared" si="2"/>
        <v>bpwd_rxn =  # Calc vol of bpw reaction + DNA vol</v>
      </c>
    </row>
    <row r="62" spans="2:11" x14ac:dyDescent="0.25">
      <c r="B62" s="165" t="s">
        <v>440</v>
      </c>
      <c r="C62" s="165">
        <f>C61*R_reps*(1+C33-C35)</f>
        <v>221.76</v>
      </c>
      <c r="D62" s="165" t="s">
        <v>441</v>
      </c>
      <c r="E62" s="165"/>
      <c r="F62" s="165"/>
      <c r="G62" s="165"/>
      <c r="H62" s="165"/>
      <c r="I62" s="165"/>
      <c r="J62" s="165"/>
      <c r="K62" s="165" t="str">
        <f t="shared" si="2"/>
        <v>bpwd_mix_xfer_R_mix =  # Calc how muc bpwd_mix to transfer to each tube for specific R conc. Less than 12% to avoid missing vol.</v>
      </c>
    </row>
    <row r="63" spans="2:11" x14ac:dyDescent="0.25">
      <c r="B63" s="165" t="s">
        <v>442</v>
      </c>
      <c r="C63" s="84">
        <f>C22/1000*C13/orig_R_conc</f>
        <v>0.1</v>
      </c>
      <c r="D63" s="165" t="s">
        <v>443</v>
      </c>
      <c r="E63" s="165"/>
      <c r="F63" s="165"/>
      <c r="G63" s="165"/>
      <c r="H63" s="165"/>
      <c r="I63" s="165"/>
      <c r="J63" s="165"/>
      <c r="K63" s="165" t="str">
        <f t="shared" si="2"/>
        <v>R_50_rxn =  # Calc how much R primer at lowest concentration to add per reaction? (e.g. 50nM) (in ul)</v>
      </c>
    </row>
    <row r="64" spans="2:11" x14ac:dyDescent="0.25">
      <c r="B64" s="165" t="s">
        <v>444</v>
      </c>
      <c r="C64" s="84">
        <f>C63*C30*(1+C33-C35)</f>
        <v>1.32</v>
      </c>
      <c r="D64" s="165" t="s">
        <v>445</v>
      </c>
      <c r="E64" s="165"/>
      <c r="F64" s="165"/>
      <c r="G64" s="165"/>
      <c r="H64" s="165"/>
      <c r="I64" s="165"/>
      <c r="J64" s="165"/>
      <c r="K64" s="165" t="str">
        <f t="shared" si="2"/>
        <v>R_50_mix =  # Calc how much R primer to add to R_50 mix. (in ul)</v>
      </c>
    </row>
    <row r="65" spans="2:11" x14ac:dyDescent="0.25">
      <c r="B65" s="165" t="s">
        <v>446</v>
      </c>
      <c r="C65" s="84">
        <f>C45-C63</f>
        <v>1.5</v>
      </c>
      <c r="D65" s="165" t="s">
        <v>447</v>
      </c>
      <c r="E65" s="165"/>
      <c r="F65" s="165"/>
      <c r="G65" s="165"/>
      <c r="H65" s="165"/>
      <c r="I65" s="165"/>
      <c r="J65" s="165"/>
      <c r="K65" s="165" t="str">
        <f t="shared" si="2"/>
        <v>R_50_woff_rxn =  # Calc how much water offset to add to each rxn. (in ul)</v>
      </c>
    </row>
    <row r="66" spans="2:11" x14ac:dyDescent="0.25">
      <c r="B66" s="165" t="s">
        <v>448</v>
      </c>
      <c r="C66" s="84">
        <f>C65*C30*(1+C33-C35)</f>
        <v>19.799999999999997</v>
      </c>
      <c r="D66" s="165" t="s">
        <v>449</v>
      </c>
      <c r="E66" s="165"/>
      <c r="F66" s="165"/>
      <c r="G66" s="165"/>
      <c r="H66" s="165"/>
      <c r="I66" s="165"/>
      <c r="J66" s="165"/>
      <c r="K66" s="165" t="str">
        <f t="shared" si="2"/>
        <v>R_50_woff_mix =  # Calc how much water offset to add to R_50 mix. (in ul)</v>
      </c>
    </row>
    <row r="67" spans="2:11" x14ac:dyDescent="0.25">
      <c r="B67" s="165" t="s">
        <v>450</v>
      </c>
      <c r="C67" s="84">
        <f>C23/1000*$C$13/orig_R_conc</f>
        <v>0.2</v>
      </c>
      <c r="D67" s="165" t="s">
        <v>451</v>
      </c>
      <c r="E67" s="165"/>
      <c r="F67" s="165"/>
      <c r="G67" s="165"/>
      <c r="H67" s="165"/>
      <c r="I67" s="165"/>
      <c r="J67" s="165"/>
      <c r="K67" s="165" t="str">
        <f t="shared" si="2"/>
        <v>R_100_rxn =  # Calc how much R primer at concentration to add. (in ul)</v>
      </c>
    </row>
    <row r="68" spans="2:11" x14ac:dyDescent="0.25">
      <c r="B68" s="165" t="s">
        <v>452</v>
      </c>
      <c r="C68" s="84">
        <f>C67*$C$30*(1+$C$33-C35)</f>
        <v>2.64</v>
      </c>
      <c r="D68" s="165" t="s">
        <v>453</v>
      </c>
      <c r="E68" s="165"/>
      <c r="F68" s="165"/>
      <c r="G68" s="165"/>
      <c r="H68" s="165"/>
      <c r="I68" s="165"/>
      <c r="J68" s="165"/>
      <c r="K68" s="165" t="str">
        <f t="shared" si="2"/>
        <v>R_100_mix =  # Calc how much R primer to add to add. (in ul)</v>
      </c>
    </row>
    <row r="69" spans="2:11" x14ac:dyDescent="0.25">
      <c r="B69" s="165" t="s">
        <v>454</v>
      </c>
      <c r="C69" s="84">
        <f>$C$45-C67</f>
        <v>1.4000000000000001</v>
      </c>
      <c r="D69" s="165" t="s">
        <v>447</v>
      </c>
      <c r="E69" s="165"/>
      <c r="F69" s="165"/>
      <c r="G69" s="165"/>
      <c r="H69" s="165"/>
      <c r="I69" s="165"/>
      <c r="J69" s="165"/>
      <c r="K69" s="165" t="str">
        <f t="shared" si="2"/>
        <v>R_100_woff_rxn =  # Calc how much water offset to add to each rxn. (in ul)</v>
      </c>
    </row>
    <row r="70" spans="2:11" x14ac:dyDescent="0.25">
      <c r="B70" s="165" t="s">
        <v>455</v>
      </c>
      <c r="C70" s="84">
        <f>C69*$C$30*(1+$C$33-C35)</f>
        <v>18.479999999999997</v>
      </c>
      <c r="D70" s="165" t="s">
        <v>456</v>
      </c>
      <c r="E70" s="165"/>
      <c r="F70" s="165"/>
      <c r="G70" s="165"/>
      <c r="H70" s="165"/>
      <c r="I70" s="165"/>
      <c r="J70" s="165"/>
      <c r="K70" s="165" t="str">
        <f t="shared" si="2"/>
        <v>R_100_woff_mix =  # Calc how much water offset to add to mix. (in ul)</v>
      </c>
    </row>
    <row r="71" spans="2:11" x14ac:dyDescent="0.25">
      <c r="B71" s="165" t="s">
        <v>457</v>
      </c>
      <c r="C71" s="84">
        <f>C24/1000*$C$13/orig_R_conc</f>
        <v>0.4</v>
      </c>
      <c r="D71" s="165" t="s">
        <v>451</v>
      </c>
      <c r="E71" s="165"/>
      <c r="F71" s="165"/>
      <c r="G71" s="165"/>
      <c r="H71" s="165"/>
      <c r="I71" s="165"/>
      <c r="J71" s="165"/>
      <c r="K71" s="165" t="str">
        <f t="shared" si="2"/>
        <v>R_200_rxn =  # Calc how much R primer at concentration to add. (in ul)</v>
      </c>
    </row>
    <row r="72" spans="2:11" x14ac:dyDescent="0.25">
      <c r="B72" s="165" t="s">
        <v>458</v>
      </c>
      <c r="C72" s="84">
        <f>C71*$C$30*(1+$C$33-C35)</f>
        <v>5.28</v>
      </c>
      <c r="D72" s="165" t="s">
        <v>453</v>
      </c>
      <c r="E72" s="165"/>
      <c r="F72" s="165"/>
      <c r="G72" s="165"/>
      <c r="H72" s="165"/>
      <c r="I72" s="165"/>
      <c r="J72" s="165"/>
      <c r="K72" s="165" t="str">
        <f t="shared" si="2"/>
        <v>R_200_mix =  # Calc how much R primer to add to add. (in ul)</v>
      </c>
    </row>
    <row r="73" spans="2:11" x14ac:dyDescent="0.25">
      <c r="B73" s="165" t="s">
        <v>459</v>
      </c>
      <c r="C73" s="84">
        <f>$C$45-C71</f>
        <v>1.2000000000000002</v>
      </c>
      <c r="D73" s="165" t="s">
        <v>447</v>
      </c>
      <c r="E73" s="165"/>
      <c r="F73" s="165"/>
      <c r="G73" s="165"/>
      <c r="H73" s="165"/>
      <c r="I73" s="165"/>
      <c r="J73" s="165"/>
      <c r="K73" s="165" t="str">
        <f t="shared" si="2"/>
        <v>R_200_woff_rxn =  # Calc how much water offset to add to each rxn. (in ul)</v>
      </c>
    </row>
    <row r="74" spans="2:11" x14ac:dyDescent="0.25">
      <c r="B74" s="165" t="s">
        <v>460</v>
      </c>
      <c r="C74" s="84">
        <f>C73*$C$30*(1+$C$33-C35)</f>
        <v>15.84</v>
      </c>
      <c r="D74" s="165" t="s">
        <v>456</v>
      </c>
      <c r="E74" s="165"/>
      <c r="F74" s="165"/>
      <c r="G74" s="165"/>
      <c r="H74" s="165"/>
      <c r="I74" s="165"/>
      <c r="J74" s="165"/>
      <c r="K74" s="165" t="str">
        <f t="shared" si="2"/>
        <v>R_200_woff_mix =  # Calc how much water offset to add to mix. (in ul)</v>
      </c>
    </row>
    <row r="75" spans="2:11" x14ac:dyDescent="0.25">
      <c r="B75" s="165" t="s">
        <v>461</v>
      </c>
      <c r="C75" s="84">
        <f>C25/1000*$C$13/orig_R_conc</f>
        <v>0.8</v>
      </c>
      <c r="D75" s="165" t="s">
        <v>451</v>
      </c>
      <c r="E75" s="165"/>
      <c r="F75" s="165"/>
      <c r="G75" s="165"/>
      <c r="H75" s="165"/>
      <c r="I75" s="165"/>
      <c r="J75" s="165"/>
      <c r="K75" s="165" t="str">
        <f t="shared" si="2"/>
        <v>R_400_rxn =  # Calc how much R primer at concentration to add. (in ul)</v>
      </c>
    </row>
    <row r="76" spans="2:11" x14ac:dyDescent="0.25">
      <c r="B76" s="165" t="s">
        <v>462</v>
      </c>
      <c r="C76" s="84">
        <f>C75*$C$30*(1+$C$33-C35)</f>
        <v>10.56</v>
      </c>
      <c r="D76" s="165" t="s">
        <v>453</v>
      </c>
      <c r="E76" s="165"/>
      <c r="F76" s="165"/>
      <c r="G76" s="165"/>
      <c r="H76" s="165"/>
      <c r="I76" s="165"/>
      <c r="J76" s="165"/>
      <c r="K76" s="165" t="str">
        <f t="shared" si="2"/>
        <v>R_400_mix =  # Calc how much R primer to add to add. (in ul)</v>
      </c>
    </row>
    <row r="77" spans="2:11" x14ac:dyDescent="0.25">
      <c r="B77" s="165" t="s">
        <v>463</v>
      </c>
      <c r="C77" s="84">
        <f>$C$45-C75</f>
        <v>0.8</v>
      </c>
      <c r="D77" s="165" t="s">
        <v>447</v>
      </c>
      <c r="E77" s="165"/>
      <c r="F77" s="165"/>
      <c r="G77" s="165"/>
      <c r="H77" s="165"/>
      <c r="I77" s="165"/>
      <c r="J77" s="165"/>
      <c r="K77" s="165" t="str">
        <f t="shared" si="2"/>
        <v>R_400_woff_rxn =  # Calc how much water offset to add to each rxn. (in ul)</v>
      </c>
    </row>
    <row r="78" spans="2:11" x14ac:dyDescent="0.25">
      <c r="B78" s="165" t="s">
        <v>464</v>
      </c>
      <c r="C78" s="84">
        <f>C77*$C$30*(1+$C$33-C35)</f>
        <v>10.56</v>
      </c>
      <c r="D78" s="165" t="s">
        <v>456</v>
      </c>
      <c r="E78" s="165"/>
      <c r="F78" s="165"/>
      <c r="G78" s="165"/>
      <c r="H78" s="165"/>
      <c r="I78" s="165"/>
      <c r="J78" s="165"/>
      <c r="K78" s="165" t="str">
        <f t="shared" si="2"/>
        <v>R_400_woff_mix =  # Calc how much water offset to add to mix. (in ul)</v>
      </c>
    </row>
    <row r="79" spans="2:11" x14ac:dyDescent="0.25">
      <c r="B79" s="165" t="s">
        <v>465</v>
      </c>
      <c r="C79" s="84">
        <f>C26/1000*$C$13/orig_R_conc</f>
        <v>1.2</v>
      </c>
      <c r="D79" s="165" t="s">
        <v>451</v>
      </c>
      <c r="E79" s="165"/>
      <c r="F79" s="165"/>
      <c r="G79" s="165"/>
      <c r="H79" s="165"/>
      <c r="I79" s="165"/>
      <c r="J79" s="165"/>
      <c r="K79" s="165" t="str">
        <f t="shared" si="2"/>
        <v>R_600_rxn =  # Calc how much R primer at concentration to add. (in ul)</v>
      </c>
    </row>
    <row r="80" spans="2:11" x14ac:dyDescent="0.25">
      <c r="B80" s="165" t="s">
        <v>466</v>
      </c>
      <c r="C80" s="84">
        <f>C79*$C$30*(1+$C$33-C35)</f>
        <v>15.839999999999996</v>
      </c>
      <c r="D80" s="165" t="s">
        <v>453</v>
      </c>
      <c r="E80" s="165"/>
      <c r="F80" s="165"/>
      <c r="G80" s="165"/>
      <c r="H80" s="165"/>
      <c r="I80" s="165"/>
      <c r="J80" s="165"/>
      <c r="K80" s="165" t="str">
        <f t="shared" si="2"/>
        <v>R_600_mix =  # Calc how much R primer to add to add. (in ul)</v>
      </c>
    </row>
    <row r="81" spans="2:11" x14ac:dyDescent="0.25">
      <c r="B81" s="165" t="s">
        <v>467</v>
      </c>
      <c r="C81" s="84">
        <f>$C$45-C79</f>
        <v>0.40000000000000013</v>
      </c>
      <c r="D81" s="165" t="s">
        <v>447</v>
      </c>
      <c r="E81" s="165"/>
      <c r="F81" s="165"/>
      <c r="G81" s="165"/>
      <c r="H81" s="165"/>
      <c r="I81" s="165"/>
      <c r="J81" s="165"/>
      <c r="K81" s="165" t="str">
        <f t="shared" si="2"/>
        <v>R_600_woff_rxn =  # Calc how much water offset to add to each rxn. (in ul)</v>
      </c>
    </row>
    <row r="82" spans="2:11" x14ac:dyDescent="0.25">
      <c r="B82" s="165" t="s">
        <v>468</v>
      </c>
      <c r="C82" s="84">
        <f>C81*$C$30*(1+$C$33-C35)</f>
        <v>5.2800000000000011</v>
      </c>
      <c r="D82" s="165" t="s">
        <v>456</v>
      </c>
      <c r="E82" s="165"/>
      <c r="F82" s="165"/>
      <c r="G82" s="165"/>
      <c r="H82" s="165"/>
      <c r="I82" s="165"/>
      <c r="J82" s="165"/>
      <c r="K82" s="165" t="str">
        <f t="shared" si="2"/>
        <v>R_600_woff_mix =  # Calc how much water offset to add to mix. (in ul)</v>
      </c>
    </row>
    <row r="83" spans="2:11" x14ac:dyDescent="0.25">
      <c r="B83" s="165" t="s">
        <v>469</v>
      </c>
      <c r="C83" s="84">
        <f>C27/1000*$C$13/orig_R_conc</f>
        <v>1.6</v>
      </c>
      <c r="D83" s="165" t="s">
        <v>451</v>
      </c>
      <c r="E83" s="165"/>
      <c r="F83" s="165"/>
      <c r="G83" s="165"/>
      <c r="H83" s="165"/>
      <c r="I83" s="165"/>
      <c r="J83" s="165"/>
      <c r="K83" s="165" t="str">
        <f t="shared" si="2"/>
        <v>R_800_rxn =  # Calc how much R primer at concentration to add. (in ul)</v>
      </c>
    </row>
    <row r="84" spans="2:11" x14ac:dyDescent="0.25">
      <c r="B84" s="165" t="s">
        <v>470</v>
      </c>
      <c r="C84" s="84">
        <f>C83*$C$30*(1+$C$33-C35)</f>
        <v>21.12</v>
      </c>
      <c r="D84" s="165" t="s">
        <v>453</v>
      </c>
      <c r="E84" s="165"/>
      <c r="F84" s="165"/>
      <c r="G84" s="165"/>
      <c r="H84" s="165"/>
      <c r="I84" s="165"/>
      <c r="J84" s="165"/>
      <c r="K84" s="165" t="str">
        <f t="shared" si="2"/>
        <v>R_800_mix =  # Calc how much R primer to add to add. (in ul)</v>
      </c>
    </row>
    <row r="85" spans="2:11" x14ac:dyDescent="0.25">
      <c r="B85" s="165" t="s">
        <v>471</v>
      </c>
      <c r="C85" s="84">
        <f>$C$45-C83</f>
        <v>0</v>
      </c>
      <c r="D85" s="165" t="s">
        <v>447</v>
      </c>
      <c r="E85" s="165"/>
      <c r="F85" s="165"/>
      <c r="G85" s="165"/>
      <c r="H85" s="165"/>
      <c r="I85" s="165"/>
      <c r="J85" s="165"/>
      <c r="K85" s="165" t="str">
        <f t="shared" si="2"/>
        <v>R_800_woff_rxn =  # Calc how much water offset to add to each rxn. (in ul)</v>
      </c>
    </row>
    <row r="86" spans="2:11" x14ac:dyDescent="0.25">
      <c r="B86" s="165" t="s">
        <v>472</v>
      </c>
      <c r="C86" s="84">
        <f>C85*$C$30*(1+$C$33-C35)</f>
        <v>0</v>
      </c>
      <c r="D86" s="165" t="s">
        <v>456</v>
      </c>
      <c r="E86" s="165"/>
      <c r="F86" s="165"/>
      <c r="G86" s="165"/>
      <c r="H86" s="165"/>
      <c r="I86" s="165"/>
      <c r="J86" s="165"/>
      <c r="K86" s="165" t="str">
        <f t="shared" si="2"/>
        <v>R_800_woff_mix =  # Calc how much water offset to add to mix. (in ul)</v>
      </c>
    </row>
    <row r="87" spans="2:11" x14ac:dyDescent="0.25">
      <c r="B87" s="165" t="s">
        <v>473</v>
      </c>
      <c r="C87" s="84">
        <f t="shared" ref="C87:C92" si="3">C16/1000*$C$13/$C$44</f>
        <v>0.625</v>
      </c>
      <c r="D87" s="165" t="s">
        <v>474</v>
      </c>
      <c r="E87" s="165"/>
      <c r="F87" s="165"/>
      <c r="G87" s="165"/>
      <c r="H87" s="165"/>
      <c r="I87" s="165"/>
      <c r="J87" s="165"/>
      <c r="K87" s="165" t="str">
        <f t="shared" si="2"/>
        <v>F_50_int_conc =  # What intermediate (int) concentration of F primer is needed such that by adding 1.6ul I obtain a final F primer concentration of 50, 100, 200…etc in rxn well? (in uM)</v>
      </c>
    </row>
    <row r="88" spans="2:11" x14ac:dyDescent="0.25">
      <c r="B88" s="165" t="s">
        <v>475</v>
      </c>
      <c r="C88" s="84">
        <f t="shared" si="3"/>
        <v>1.25</v>
      </c>
      <c r="D88" s="165" t="s">
        <v>474</v>
      </c>
      <c r="E88" s="165"/>
      <c r="F88" s="165"/>
      <c r="G88" s="165"/>
      <c r="H88" s="165"/>
      <c r="I88" s="165"/>
      <c r="J88" s="165"/>
      <c r="K88" s="165" t="str">
        <f t="shared" si="2"/>
        <v>F_100_int_conc =  # What intermediate (int) concentration of F primer is needed such that by adding 1.6ul I obtain a final F primer concentration of 50, 100, 200…etc in rxn well? (in uM)</v>
      </c>
    </row>
    <row r="89" spans="2:11" x14ac:dyDescent="0.25">
      <c r="B89" s="165" t="s">
        <v>476</v>
      </c>
      <c r="C89" s="84">
        <f t="shared" si="3"/>
        <v>2.5</v>
      </c>
      <c r="D89" s="165" t="s">
        <v>474</v>
      </c>
      <c r="E89" s="165"/>
      <c r="F89" s="165"/>
      <c r="G89" s="165"/>
      <c r="H89" s="165"/>
      <c r="I89" s="165"/>
      <c r="J89" s="165"/>
      <c r="K89" s="165" t="str">
        <f t="shared" si="2"/>
        <v>F_200_int_conc =  # What intermediate (int) concentration of F primer is needed such that by adding 1.6ul I obtain a final F primer concentration of 50, 100, 200…etc in rxn well? (in uM)</v>
      </c>
    </row>
    <row r="90" spans="2:11" x14ac:dyDescent="0.25">
      <c r="B90" s="165" t="s">
        <v>477</v>
      </c>
      <c r="C90" s="84">
        <f t="shared" si="3"/>
        <v>5</v>
      </c>
      <c r="D90" s="165" t="s">
        <v>474</v>
      </c>
      <c r="E90" s="165"/>
      <c r="F90" s="165"/>
      <c r="G90" s="165"/>
      <c r="H90" s="165"/>
      <c r="I90" s="165"/>
      <c r="J90" s="165"/>
      <c r="K90" s="165" t="str">
        <f t="shared" si="2"/>
        <v>F_400_int_conc =  # What intermediate (int) concentration of F primer is needed such that by adding 1.6ul I obtain a final F primer concentration of 50, 100, 200…etc in rxn well? (in uM)</v>
      </c>
    </row>
    <row r="91" spans="2:11" x14ac:dyDescent="0.25">
      <c r="B91" s="165" t="s">
        <v>478</v>
      </c>
      <c r="C91" s="84">
        <f t="shared" si="3"/>
        <v>7.5</v>
      </c>
      <c r="D91" s="165" t="s">
        <v>474</v>
      </c>
      <c r="E91" s="165"/>
      <c r="F91" s="165"/>
      <c r="G91" s="165"/>
      <c r="H91" s="165"/>
      <c r="I91" s="165"/>
      <c r="J91" s="165"/>
      <c r="K91" s="165" t="str">
        <f t="shared" si="2"/>
        <v>F_600_int_conc =  # What intermediate (int) concentration of F primer is needed such that by adding 1.6ul I obtain a final F primer concentration of 50, 100, 200…etc in rxn well? (in uM)</v>
      </c>
    </row>
    <row r="92" spans="2:11" x14ac:dyDescent="0.25">
      <c r="B92" s="165" t="s">
        <v>479</v>
      </c>
      <c r="C92" s="84">
        <f t="shared" si="3"/>
        <v>10</v>
      </c>
      <c r="D92" s="165" t="s">
        <v>474</v>
      </c>
      <c r="E92" s="165"/>
      <c r="F92" s="165"/>
      <c r="G92" s="165"/>
      <c r="H92" s="165"/>
      <c r="I92" s="165"/>
      <c r="J92" s="165"/>
      <c r="K92" s="165" t="str">
        <f t="shared" si="2"/>
        <v>F_800_int_conc =  # What intermediate (int) concentration of F primer is needed such that by adding 1.6ul I obtain a final F primer concentration of 50, 100, 200…etc in rxn well? (in uM)</v>
      </c>
    </row>
    <row r="93" spans="2:11" x14ac:dyDescent="0.25">
      <c r="B93" s="165" t="s">
        <v>480</v>
      </c>
      <c r="C93" s="84">
        <f>C87*F_int_vol/$C$3</f>
        <v>6.25</v>
      </c>
      <c r="D93" s="165" t="s">
        <v>481</v>
      </c>
      <c r="E93" s="165"/>
      <c r="F93" s="165"/>
      <c r="G93" s="165"/>
      <c r="H93" s="165"/>
      <c r="I93" s="165"/>
      <c r="J93" s="165"/>
      <c r="K93" s="165" t="str">
        <f t="shared" si="2"/>
        <v>F_50_int_primer =  # What amount of primer should be added to generate int F primer conc? (in ul)</v>
      </c>
    </row>
    <row r="94" spans="2:11" x14ac:dyDescent="0.25">
      <c r="B94" s="165" t="s">
        <v>482</v>
      </c>
      <c r="C94" s="84">
        <f>F_int_vol-C93</f>
        <v>93.75</v>
      </c>
      <c r="D94" s="165" t="s">
        <v>483</v>
      </c>
      <c r="E94" s="165"/>
      <c r="F94" s="165"/>
      <c r="G94" s="165"/>
      <c r="H94" s="165"/>
      <c r="I94" s="165"/>
      <c r="J94" s="165"/>
      <c r="K94" s="165" t="str">
        <f t="shared" si="2"/>
        <v>F_50_int_water =  # What amount of water should be added to generate int F primer conc? (in ul)</v>
      </c>
    </row>
    <row r="95" spans="2:11" x14ac:dyDescent="0.25">
      <c r="B95" s="165" t="s">
        <v>484</v>
      </c>
      <c r="C95" s="84">
        <f>C88*F_int_vol/$C$3</f>
        <v>12.5</v>
      </c>
      <c r="D95" s="165" t="s">
        <v>481</v>
      </c>
      <c r="E95" s="165"/>
      <c r="F95" s="165"/>
      <c r="G95" s="165"/>
      <c r="H95" s="165"/>
      <c r="I95" s="165"/>
      <c r="J95" s="165"/>
      <c r="K95" s="165" t="str">
        <f t="shared" si="2"/>
        <v>F_100_int_primer =  # What amount of primer should be added to generate int F primer conc? (in ul)</v>
      </c>
    </row>
    <row r="96" spans="2:11" x14ac:dyDescent="0.25">
      <c r="B96" s="165" t="s">
        <v>485</v>
      </c>
      <c r="C96" s="84">
        <f>F_int_vol-C95</f>
        <v>87.5</v>
      </c>
      <c r="D96" s="165" t="s">
        <v>483</v>
      </c>
      <c r="E96" s="165"/>
      <c r="F96" s="165"/>
      <c r="G96" s="165"/>
      <c r="H96" s="165"/>
      <c r="I96" s="165"/>
      <c r="J96" s="165"/>
      <c r="K96" s="165" t="str">
        <f t="shared" si="2"/>
        <v>F_100_int_water =  # What amount of water should be added to generate int F primer conc? (in ul)</v>
      </c>
    </row>
    <row r="97" spans="2:11" x14ac:dyDescent="0.25">
      <c r="B97" s="165" t="s">
        <v>486</v>
      </c>
      <c r="C97" s="84">
        <f>C89*F_int_vol/$C$3</f>
        <v>25</v>
      </c>
      <c r="D97" s="165" t="s">
        <v>481</v>
      </c>
      <c r="E97" s="165"/>
      <c r="F97" s="165"/>
      <c r="G97" s="165"/>
      <c r="H97" s="165"/>
      <c r="I97" s="165"/>
      <c r="J97" s="165"/>
      <c r="K97" s="165" t="str">
        <f t="shared" si="2"/>
        <v>F_200_int_primer =  # What amount of primer should be added to generate int F primer conc? (in ul)</v>
      </c>
    </row>
    <row r="98" spans="2:11" x14ac:dyDescent="0.25">
      <c r="B98" s="165" t="s">
        <v>487</v>
      </c>
      <c r="C98" s="84">
        <f>F_int_vol-C97</f>
        <v>75</v>
      </c>
      <c r="D98" s="165" t="s">
        <v>483</v>
      </c>
      <c r="E98" s="165"/>
      <c r="F98" s="165"/>
      <c r="G98" s="165"/>
      <c r="H98" s="165"/>
      <c r="I98" s="165"/>
      <c r="J98" s="165"/>
      <c r="K98" s="165" t="str">
        <f t="shared" si="2"/>
        <v>F_200_int_water =  # What amount of water should be added to generate int F primer conc? (in ul)</v>
      </c>
    </row>
    <row r="99" spans="2:11" x14ac:dyDescent="0.25">
      <c r="B99" s="165" t="s">
        <v>488</v>
      </c>
      <c r="C99" s="84">
        <f>C90*F_int_vol/$C$3</f>
        <v>50</v>
      </c>
      <c r="D99" s="165" t="s">
        <v>481</v>
      </c>
      <c r="E99" s="165"/>
      <c r="F99" s="165"/>
      <c r="G99" s="165"/>
      <c r="H99" s="165"/>
      <c r="I99" s="165"/>
      <c r="J99" s="165"/>
      <c r="K99" s="165" t="str">
        <f t="shared" si="2"/>
        <v>F_400_int_primer =  # What amount of primer should be added to generate int F primer conc? (in ul)</v>
      </c>
    </row>
    <row r="100" spans="2:11" x14ac:dyDescent="0.25">
      <c r="B100" s="165" t="s">
        <v>489</v>
      </c>
      <c r="C100" s="84">
        <f>F_int_vol-C99</f>
        <v>50</v>
      </c>
      <c r="D100" s="165" t="s">
        <v>483</v>
      </c>
      <c r="E100" s="165"/>
      <c r="F100" s="165"/>
      <c r="G100" s="165"/>
      <c r="H100" s="165"/>
      <c r="I100" s="165"/>
      <c r="J100" s="165"/>
      <c r="K100" s="165" t="str">
        <f t="shared" si="2"/>
        <v>F_400_int_water =  # What amount of water should be added to generate int F primer conc? (in ul)</v>
      </c>
    </row>
    <row r="101" spans="2:11" x14ac:dyDescent="0.25">
      <c r="B101" s="165" t="s">
        <v>490</v>
      </c>
      <c r="C101" s="84">
        <f>C91*F_int_vol/$C$3</f>
        <v>75</v>
      </c>
      <c r="D101" s="165" t="s">
        <v>481</v>
      </c>
      <c r="E101" s="165"/>
      <c r="F101" s="165"/>
      <c r="G101" s="165"/>
      <c r="H101" s="165"/>
      <c r="I101" s="165"/>
      <c r="J101" s="165"/>
      <c r="K101" s="165" t="str">
        <f t="shared" si="2"/>
        <v>F_600_int_primer =  # What amount of primer should be added to generate int F primer conc? (in ul)</v>
      </c>
    </row>
    <row r="102" spans="2:11" x14ac:dyDescent="0.25">
      <c r="B102" s="165" t="s">
        <v>491</v>
      </c>
      <c r="C102" s="84">
        <f>F_int_vol-C101</f>
        <v>25</v>
      </c>
      <c r="D102" s="165" t="s">
        <v>483</v>
      </c>
      <c r="E102" s="165"/>
      <c r="F102" s="165"/>
      <c r="G102" s="165"/>
      <c r="H102" s="165"/>
      <c r="I102" s="165"/>
      <c r="J102" s="165"/>
      <c r="K102" s="165" t="str">
        <f t="shared" si="2"/>
        <v>F_600_int_water =  # What amount of water should be added to generate int F primer conc? (in ul)</v>
      </c>
    </row>
    <row r="103" spans="2:11" x14ac:dyDescent="0.25">
      <c r="B103" s="165" t="s">
        <v>492</v>
      </c>
      <c r="C103" s="84">
        <f>C92*F_int_vol/$C$3</f>
        <v>100</v>
      </c>
      <c r="D103" s="165" t="s">
        <v>481</v>
      </c>
      <c r="E103" s="165"/>
      <c r="F103" s="165"/>
      <c r="G103" s="165"/>
      <c r="H103" s="165"/>
      <c r="I103" s="165"/>
      <c r="J103" s="165"/>
      <c r="K103" s="165" t="str">
        <f t="shared" si="2"/>
        <v>F_800_int_primer =  # What amount of primer should be added to generate int F primer conc? (in ul)</v>
      </c>
    </row>
    <row r="104" spans="2:11" x14ac:dyDescent="0.25">
      <c r="B104" s="165" t="s">
        <v>493</v>
      </c>
      <c r="C104" s="84">
        <f>F_int_vol-C103</f>
        <v>0</v>
      </c>
      <c r="D104" s="165" t="s">
        <v>483</v>
      </c>
      <c r="E104" s="165"/>
      <c r="F104" s="165"/>
      <c r="G104" s="165"/>
      <c r="H104" s="165"/>
      <c r="I104" s="165"/>
      <c r="J104" s="165"/>
      <c r="K104" s="165" t="str">
        <f t="shared" si="2"/>
        <v>F_800_int_water =  # What amount of water should be added to generate int F primer conc? (in ul)</v>
      </c>
    </row>
    <row r="105" spans="2:11" x14ac:dyDescent="0.25">
      <c r="B105" s="165" t="s">
        <v>494</v>
      </c>
      <c r="C105" s="84">
        <f>C61+C63+C65</f>
        <v>18.400000000000002</v>
      </c>
      <c r="D105" s="165" t="s">
        <v>495</v>
      </c>
      <c r="E105" s="165"/>
      <c r="F105" s="165"/>
      <c r="G105" s="165"/>
      <c r="H105" s="165"/>
      <c r="I105" s="165"/>
      <c r="J105" s="165"/>
      <c r="K105" s="165" t="str">
        <f t="shared" si="2"/>
        <v>R_mix_rxn =  # What is the rxn vol that should be aliquoted to plate wells after R primer addition? (in ul)</v>
      </c>
    </row>
    <row r="109" spans="2:11" x14ac:dyDescent="0.25">
      <c r="B109" s="165" t="s">
        <v>496</v>
      </c>
      <c r="C109" s="165"/>
      <c r="D109" s="165"/>
      <c r="E109" s="165"/>
      <c r="F109" s="165"/>
      <c r="G109" s="165"/>
      <c r="H109" s="165"/>
      <c r="I109" s="165"/>
      <c r="J109" s="165"/>
      <c r="K109" s="165"/>
    </row>
    <row r="110" spans="2:11" x14ac:dyDescent="0.25">
      <c r="B110" s="102" t="s">
        <v>497</v>
      </c>
      <c r="C110" s="84">
        <f>C49*(1+C33)*C40</f>
        <v>1704.96</v>
      </c>
      <c r="D110" s="165" t="s">
        <v>498</v>
      </c>
      <c r="E110" s="165"/>
      <c r="F110" s="165"/>
      <c r="G110" s="165"/>
      <c r="H110" s="165"/>
      <c r="I110" s="165"/>
      <c r="J110" s="165"/>
      <c r="K110" s="165" t="str">
        <f t="shared" ref="K110:K118" si="4">B110&amp;" = "&amp;" "&amp;"# "&amp;D110</f>
        <v>BPW_mix_tot =  # Mix = base + probe + water (no DNA, F, R primer)*96*waste. (in ul)</v>
      </c>
    </row>
    <row r="111" spans="2:11" x14ac:dyDescent="0.25">
      <c r="B111" s="165" t="s">
        <v>499</v>
      </c>
      <c r="C111" s="84">
        <f>C52+C53+C54+C55</f>
        <v>507.60000000000014</v>
      </c>
      <c r="D111" s="165" t="s">
        <v>500</v>
      </c>
      <c r="E111" s="165"/>
      <c r="F111" s="165"/>
      <c r="G111" s="165"/>
      <c r="H111" s="165"/>
      <c r="I111" s="165"/>
      <c r="J111" s="165"/>
      <c r="K111" s="165" t="str">
        <f t="shared" si="4"/>
        <v>sN_mix_tot =  # Mix = base + probe + water + F,R primers at std conc + water offset (no DNA) * number stds_NTC * waste</v>
      </c>
    </row>
    <row r="112" spans="2:11" x14ac:dyDescent="0.25">
      <c r="B112" s="165" t="s">
        <v>501</v>
      </c>
      <c r="C112" s="84">
        <f>C58+C59</f>
        <v>1412.8128000000002</v>
      </c>
      <c r="D112" s="165" t="s">
        <v>502</v>
      </c>
      <c r="E112" s="165"/>
      <c r="F112" s="165"/>
      <c r="G112" s="165"/>
      <c r="H112" s="165"/>
      <c r="I112" s="165"/>
      <c r="J112" s="165"/>
      <c r="K112" s="165" t="str">
        <f t="shared" si="4"/>
        <v xml:space="preserve">bpwd_mix_tot =  # Mix = base + probe + DNA (no F, R primer) </v>
      </c>
    </row>
    <row r="113" spans="2:19" x14ac:dyDescent="0.25">
      <c r="B113" s="165" t="s">
        <v>503</v>
      </c>
      <c r="C113" s="84">
        <f>C62+C64+C66</f>
        <v>242.88</v>
      </c>
      <c r="D113" s="165" t="s">
        <v>504</v>
      </c>
      <c r="E113" s="165"/>
      <c r="F113" s="165"/>
      <c r="G113" s="165"/>
      <c r="H113" s="165"/>
      <c r="I113" s="165"/>
      <c r="J113" s="165"/>
      <c r="K113" s="165" t="str">
        <f t="shared" si="4"/>
        <v>50_mix =  # Mix = base + probe + DNA+ R primer (No F primer)</v>
      </c>
      <c r="L113" s="165"/>
      <c r="M113" s="165"/>
      <c r="N113" s="165"/>
      <c r="O113" s="165"/>
      <c r="P113" s="165"/>
      <c r="Q113" s="165"/>
      <c r="R113" s="165"/>
      <c r="S113" s="165"/>
    </row>
    <row r="114" spans="2:19" x14ac:dyDescent="0.25">
      <c r="B114" s="165" t="s">
        <v>505</v>
      </c>
      <c r="C114" s="84">
        <f>C62+C68+C70</f>
        <v>242.87999999999997</v>
      </c>
      <c r="D114" s="165" t="s">
        <v>504</v>
      </c>
      <c r="E114" s="165"/>
      <c r="F114" s="165"/>
      <c r="G114" s="165"/>
      <c r="H114" s="165"/>
      <c r="I114" s="165"/>
      <c r="J114" s="165"/>
      <c r="K114" s="165" t="str">
        <f t="shared" si="4"/>
        <v>100_mix =  # Mix = base + probe + DNA+ R primer (No F primer)</v>
      </c>
      <c r="L114" s="165"/>
      <c r="M114" s="165"/>
      <c r="N114" s="165"/>
      <c r="O114" s="165"/>
      <c r="P114" s="165"/>
      <c r="Q114" s="165"/>
      <c r="R114" s="165"/>
      <c r="S114" s="165"/>
    </row>
    <row r="115" spans="2:19" x14ac:dyDescent="0.25">
      <c r="B115" s="165" t="s">
        <v>506</v>
      </c>
      <c r="C115" s="84">
        <f>C62+C72+C74</f>
        <v>242.88</v>
      </c>
      <c r="D115" s="165" t="s">
        <v>504</v>
      </c>
      <c r="E115" s="165"/>
      <c r="F115" s="165"/>
      <c r="G115" s="165"/>
      <c r="H115" s="165"/>
      <c r="I115" s="165"/>
      <c r="J115" s="165"/>
      <c r="K115" s="165" t="str">
        <f t="shared" si="4"/>
        <v>200_mix =  # Mix = base + probe + DNA+ R primer (No F primer)</v>
      </c>
      <c r="L115" s="165"/>
      <c r="M115" s="165"/>
      <c r="N115" s="165"/>
      <c r="O115" s="165"/>
      <c r="P115" s="165"/>
      <c r="Q115" s="165"/>
      <c r="R115" s="165"/>
      <c r="S115" s="165"/>
    </row>
    <row r="116" spans="2:19" x14ac:dyDescent="0.25">
      <c r="B116" s="165" t="s">
        <v>507</v>
      </c>
      <c r="C116" s="84">
        <f>C62+C76+C78</f>
        <v>242.88</v>
      </c>
      <c r="D116" s="165" t="s">
        <v>504</v>
      </c>
      <c r="E116" s="165"/>
      <c r="F116" s="165"/>
      <c r="G116" s="165"/>
      <c r="H116" s="165"/>
      <c r="I116" s="165"/>
      <c r="J116" s="165"/>
      <c r="K116" s="165" t="str">
        <f t="shared" si="4"/>
        <v>400_mix =  # Mix = base + probe + DNA+ R primer (No F primer)</v>
      </c>
      <c r="L116" s="165"/>
      <c r="M116" s="165"/>
      <c r="N116" s="165"/>
      <c r="O116" s="165"/>
      <c r="P116" s="165"/>
      <c r="Q116" s="165"/>
      <c r="R116" s="165"/>
      <c r="S116" s="165"/>
    </row>
    <row r="117" spans="2:19" x14ac:dyDescent="0.25">
      <c r="B117" s="165" t="s">
        <v>508</v>
      </c>
      <c r="C117" s="84">
        <f>C62+C80+C82</f>
        <v>242.88</v>
      </c>
      <c r="D117" s="165" t="s">
        <v>504</v>
      </c>
      <c r="E117" s="165"/>
      <c r="F117" s="165"/>
      <c r="G117" s="165"/>
      <c r="H117" s="165"/>
      <c r="I117" s="165"/>
      <c r="J117" s="165"/>
      <c r="K117" s="165" t="str">
        <f t="shared" si="4"/>
        <v>600_mix =  # Mix = base + probe + DNA+ R primer (No F primer)</v>
      </c>
      <c r="L117" s="165"/>
      <c r="M117" s="165"/>
      <c r="N117" s="165"/>
      <c r="O117" s="165"/>
      <c r="P117" s="165"/>
      <c r="Q117" s="165"/>
      <c r="R117" s="165"/>
      <c r="S117" s="165"/>
    </row>
    <row r="118" spans="2:19" x14ac:dyDescent="0.25">
      <c r="B118" s="165" t="s">
        <v>509</v>
      </c>
      <c r="C118" s="84">
        <f>C62+C84+C86</f>
        <v>242.88</v>
      </c>
      <c r="D118" s="165" t="s">
        <v>504</v>
      </c>
      <c r="E118" s="165"/>
      <c r="F118" s="165"/>
      <c r="G118" s="165"/>
      <c r="H118" s="165"/>
      <c r="I118" s="165"/>
      <c r="J118" s="165"/>
      <c r="K118" s="165" t="str">
        <f t="shared" si="4"/>
        <v>800_mix =  # Mix = base + probe + DNA+ R primer (No F primer)</v>
      </c>
      <c r="L118" s="165"/>
      <c r="M118" s="165"/>
      <c r="N118" s="165"/>
      <c r="O118" s="165"/>
      <c r="P118" s="165"/>
      <c r="Q118" s="165"/>
      <c r="R118" s="165"/>
      <c r="S118" s="165"/>
    </row>
    <row r="120" spans="2:19" ht="15.75" thickBot="1" x14ac:dyDescent="0.3">
      <c r="B120" s="165" t="s">
        <v>510</v>
      </c>
      <c r="C120" s="165"/>
      <c r="D120" s="165"/>
      <c r="E120" s="165"/>
      <c r="F120" s="165"/>
      <c r="G120" s="165"/>
      <c r="H120" s="165"/>
      <c r="I120" s="165"/>
      <c r="J120" s="165"/>
      <c r="K120" s="165"/>
      <c r="L120" s="165"/>
      <c r="M120" s="165"/>
      <c r="N120" s="165"/>
      <c r="O120" s="165"/>
      <c r="P120" s="165"/>
      <c r="Q120" s="165"/>
      <c r="R120" s="165"/>
      <c r="S120" s="165"/>
    </row>
    <row r="121" spans="2:19" x14ac:dyDescent="0.25">
      <c r="B121" s="123" t="s">
        <v>822</v>
      </c>
      <c r="C121" s="77"/>
      <c r="D121" s="77"/>
      <c r="E121" s="78" t="s">
        <v>125</v>
      </c>
      <c r="F121" s="79"/>
      <c r="G121" s="79"/>
      <c r="H121" s="80">
        <v>800</v>
      </c>
      <c r="I121" s="81"/>
      <c r="J121" s="165"/>
      <c r="K121" s="165"/>
      <c r="L121" s="165" t="s">
        <v>511</v>
      </c>
      <c r="M121" s="165"/>
      <c r="N121" s="165"/>
      <c r="O121" s="165"/>
      <c r="P121" s="165"/>
      <c r="Q121" s="165"/>
      <c r="R121" s="165"/>
      <c r="S121" s="165"/>
    </row>
    <row r="122" spans="2:19" ht="15.75" thickBot="1" x14ac:dyDescent="0.3">
      <c r="B122" s="124" t="s">
        <v>126</v>
      </c>
      <c r="C122" s="165"/>
      <c r="D122" s="165"/>
      <c r="E122" s="306" t="s">
        <v>127</v>
      </c>
      <c r="F122" s="307"/>
      <c r="G122" s="307"/>
      <c r="H122" s="82">
        <v>5</v>
      </c>
      <c r="I122" s="83" t="s">
        <v>128</v>
      </c>
      <c r="J122" s="165"/>
      <c r="K122" s="165"/>
      <c r="L122" s="102" t="s">
        <v>512</v>
      </c>
      <c r="M122" s="165">
        <f>C49*(1+C33)*C40</f>
        <v>1704.96</v>
      </c>
      <c r="N122" s="165"/>
      <c r="O122" s="165"/>
      <c r="P122" s="165" t="str">
        <f>B112</f>
        <v>bpwd_mix_tot</v>
      </c>
      <c r="Q122" s="84">
        <f>C112</f>
        <v>1412.8128000000002</v>
      </c>
      <c r="R122" s="165"/>
      <c r="S122" s="165" t="s">
        <v>513</v>
      </c>
    </row>
    <row r="123" spans="2:19" x14ac:dyDescent="0.25">
      <c r="B123" s="125" t="s">
        <v>136</v>
      </c>
      <c r="C123" s="77">
        <v>25</v>
      </c>
      <c r="D123" s="77" t="s">
        <v>137</v>
      </c>
      <c r="E123" s="165"/>
      <c r="F123" s="308"/>
      <c r="G123" s="300"/>
      <c r="H123" s="300"/>
      <c r="I123" s="88"/>
      <c r="J123" s="165"/>
      <c r="K123" s="165"/>
      <c r="L123" s="165" t="s">
        <v>514</v>
      </c>
      <c r="M123" s="165"/>
      <c r="N123" s="165"/>
      <c r="O123" s="165"/>
      <c r="P123" s="165" t="str">
        <f>B62</f>
        <v>bpwd_mix_xfer_R_mix</v>
      </c>
      <c r="Q123" s="165">
        <f>C62</f>
        <v>221.76</v>
      </c>
      <c r="R123" s="165"/>
      <c r="S123" s="165"/>
    </row>
    <row r="124" spans="2:19" x14ac:dyDescent="0.25">
      <c r="B124" s="125" t="s">
        <v>138</v>
      </c>
      <c r="C124" s="77">
        <v>1000</v>
      </c>
      <c r="D124" s="77" t="s">
        <v>137</v>
      </c>
      <c r="E124" s="85"/>
      <c r="F124" s="165"/>
      <c r="G124" s="86"/>
      <c r="H124" s="87"/>
      <c r="I124" s="86"/>
      <c r="J124" s="165"/>
      <c r="K124" s="165"/>
      <c r="L124" s="165" t="str">
        <f>B52</f>
        <v>BWP_mix_xfer_sN_mix</v>
      </c>
      <c r="M124" s="165">
        <f>C52</f>
        <v>417.36000000000007</v>
      </c>
      <c r="N124" s="165"/>
      <c r="O124" s="165"/>
      <c r="P124" s="165" t="s">
        <v>515</v>
      </c>
      <c r="Q124" s="165">
        <v>6</v>
      </c>
      <c r="R124" s="165"/>
      <c r="S124" s="165"/>
    </row>
    <row r="125" spans="2:19" x14ac:dyDescent="0.25">
      <c r="B125" s="125" t="s">
        <v>139</v>
      </c>
      <c r="C125" s="77">
        <v>50</v>
      </c>
      <c r="D125" s="77" t="s">
        <v>140</v>
      </c>
      <c r="E125" s="165"/>
      <c r="F125" s="165"/>
      <c r="G125" s="86"/>
      <c r="H125" s="87"/>
      <c r="I125" s="86"/>
      <c r="J125" s="165"/>
      <c r="K125" s="165"/>
      <c r="L125" s="165" t="s">
        <v>516</v>
      </c>
      <c r="M125" s="165">
        <f>C58</f>
        <v>1244.6208000000001</v>
      </c>
      <c r="N125" s="165"/>
      <c r="O125" s="165"/>
      <c r="P125" s="165"/>
      <c r="Q125" s="165">
        <f>Q123*Q124</f>
        <v>1330.56</v>
      </c>
      <c r="R125" s="165"/>
      <c r="S125" s="165"/>
    </row>
    <row r="126" spans="2:19" x14ac:dyDescent="0.25">
      <c r="B126" s="125" t="s">
        <v>142</v>
      </c>
      <c r="C126" s="77">
        <v>50</v>
      </c>
      <c r="D126" s="77" t="s">
        <v>143</v>
      </c>
      <c r="E126" s="165"/>
      <c r="F126" s="165"/>
      <c r="G126" s="86"/>
      <c r="H126" s="87"/>
      <c r="I126" s="86"/>
      <c r="J126" s="165"/>
      <c r="K126" s="165"/>
      <c r="L126" s="165"/>
      <c r="M126" s="165">
        <f>SUM(M124:M125)</f>
        <v>1661.9808000000003</v>
      </c>
      <c r="N126" s="165"/>
      <c r="O126" s="165"/>
      <c r="P126" s="165"/>
      <c r="Q126" s="165"/>
      <c r="R126" s="165"/>
      <c r="S126" s="165"/>
    </row>
    <row r="127" spans="2:19" x14ac:dyDescent="0.25">
      <c r="B127" s="125" t="s">
        <v>144</v>
      </c>
      <c r="C127" s="77">
        <v>50</v>
      </c>
      <c r="D127" s="77" t="s">
        <v>145</v>
      </c>
      <c r="E127" s="85"/>
      <c r="F127" s="165"/>
      <c r="G127" s="86"/>
      <c r="H127" s="87"/>
      <c r="I127" s="86"/>
      <c r="J127" s="165"/>
      <c r="K127" s="165"/>
      <c r="L127" s="165"/>
      <c r="M127" s="165"/>
      <c r="N127" s="165"/>
      <c r="O127" s="165"/>
      <c r="P127" s="165"/>
      <c r="Q127" s="165"/>
      <c r="R127" s="165"/>
      <c r="S127" s="165"/>
    </row>
    <row r="128" spans="2:19" x14ac:dyDescent="0.25">
      <c r="B128" s="125" t="s">
        <v>146</v>
      </c>
      <c r="C128" s="77">
        <v>10</v>
      </c>
      <c r="D128" s="77" t="s">
        <v>147</v>
      </c>
      <c r="E128" s="85"/>
      <c r="F128" s="165"/>
      <c r="G128" s="86"/>
      <c r="H128" s="87"/>
      <c r="I128" s="86"/>
      <c r="J128" s="165"/>
      <c r="K128" s="165"/>
      <c r="L128" s="165" t="s">
        <v>517</v>
      </c>
      <c r="M128" s="165"/>
      <c r="N128" s="165"/>
      <c r="O128" s="165"/>
      <c r="P128" s="165"/>
      <c r="Q128" s="165"/>
      <c r="R128" s="165"/>
      <c r="S128" s="165"/>
    </row>
    <row r="129" spans="2:14" ht="30" x14ac:dyDescent="0.25">
      <c r="B129" s="126" t="s">
        <v>148</v>
      </c>
      <c r="C129" s="77">
        <v>45</v>
      </c>
      <c r="D129" s="77" t="s">
        <v>143</v>
      </c>
      <c r="E129" s="165"/>
      <c r="F129" s="165"/>
      <c r="G129" s="86"/>
      <c r="H129" s="87"/>
      <c r="I129" s="86"/>
      <c r="J129" s="165"/>
      <c r="K129" s="165"/>
      <c r="L129" s="165" t="str">
        <f>B111</f>
        <v>sN_mix_tot</v>
      </c>
      <c r="M129" s="84">
        <f>C111</f>
        <v>507.60000000000014</v>
      </c>
      <c r="N129" s="165"/>
    </row>
    <row r="130" spans="2:14" x14ac:dyDescent="0.25">
      <c r="B130" s="125"/>
      <c r="C130" s="77"/>
      <c r="D130" s="77"/>
      <c r="E130" s="165"/>
      <c r="F130" s="165"/>
      <c r="G130" s="165"/>
      <c r="H130" s="84"/>
      <c r="I130" s="165"/>
      <c r="J130" s="165"/>
      <c r="K130" s="165"/>
      <c r="L130" s="165" t="str">
        <f>B56</f>
        <v>sN_mix_xfer_to_stds_mix</v>
      </c>
      <c r="M130" s="165">
        <f>C56</f>
        <v>63.287999999999997</v>
      </c>
      <c r="N130" s="165"/>
    </row>
    <row r="131" spans="2:14" ht="15.75" thickBot="1" x14ac:dyDescent="0.3">
      <c r="B131" s="105"/>
      <c r="C131" s="165"/>
      <c r="D131" s="165"/>
      <c r="E131" s="165"/>
      <c r="F131" s="165"/>
      <c r="G131" s="165"/>
      <c r="H131" s="84"/>
      <c r="I131" s="165"/>
      <c r="J131" s="165"/>
      <c r="K131" s="165"/>
      <c r="L131" s="165" t="s">
        <v>518</v>
      </c>
      <c r="M131" s="165">
        <f>M130*8</f>
        <v>506.30399999999997</v>
      </c>
      <c r="N131" s="165"/>
    </row>
    <row r="132" spans="2:14" x14ac:dyDescent="0.25">
      <c r="B132" s="127" t="s">
        <v>50</v>
      </c>
      <c r="C132" s="128" t="s">
        <v>74</v>
      </c>
      <c r="D132" s="128"/>
      <c r="E132" s="128" t="s">
        <v>150</v>
      </c>
      <c r="F132" s="129"/>
      <c r="G132" s="318" t="s">
        <v>151</v>
      </c>
      <c r="H132" s="319"/>
      <c r="I132" s="165"/>
      <c r="J132" s="165"/>
      <c r="K132" s="165"/>
      <c r="L132" s="165"/>
      <c r="M132" s="165"/>
      <c r="N132" s="165"/>
    </row>
    <row r="133" spans="2:14" x14ac:dyDescent="0.25">
      <c r="B133" s="130" t="s">
        <v>136</v>
      </c>
      <c r="C133" s="131">
        <v>0.25</v>
      </c>
      <c r="D133" s="131" t="s">
        <v>137</v>
      </c>
      <c r="E133" s="132">
        <f>32*C133/C123</f>
        <v>0.32</v>
      </c>
      <c r="F133" s="133" t="s">
        <v>56</v>
      </c>
      <c r="G133" s="132">
        <f>E133*($G$2+1+$G$3)</f>
        <v>0.32</v>
      </c>
      <c r="H133" s="134" t="str">
        <f t="shared" ref="H133:H140" si="5">F133</f>
        <v>uL</v>
      </c>
      <c r="I133" s="165"/>
      <c r="J133" s="165"/>
      <c r="K133" s="165"/>
      <c r="L133" s="165"/>
      <c r="M133" s="165"/>
      <c r="N133" s="165"/>
    </row>
    <row r="134" spans="2:14" x14ac:dyDescent="0.25">
      <c r="B134" s="130" t="s">
        <v>139</v>
      </c>
      <c r="C134" s="131">
        <v>2.5</v>
      </c>
      <c r="D134" s="131" t="s">
        <v>52</v>
      </c>
      <c r="E134" s="132">
        <f>C134/C125</f>
        <v>0.05</v>
      </c>
      <c r="F134" s="133" t="s">
        <v>56</v>
      </c>
      <c r="G134" s="132">
        <f t="shared" ref="G134:G140" si="6">E134*($G$2+1+$G$3)</f>
        <v>0.05</v>
      </c>
      <c r="H134" s="134" t="str">
        <f t="shared" si="5"/>
        <v>uL</v>
      </c>
      <c r="I134" s="165"/>
      <c r="J134" s="165"/>
      <c r="K134" s="165" t="s">
        <v>519</v>
      </c>
      <c r="L134" s="165"/>
      <c r="M134" s="165"/>
      <c r="N134" s="165"/>
    </row>
    <row r="135" spans="2:14" x14ac:dyDescent="0.25">
      <c r="B135" s="130" t="s">
        <v>138</v>
      </c>
      <c r="C135" s="131">
        <v>3.5</v>
      </c>
      <c r="D135" s="131" t="s">
        <v>137</v>
      </c>
      <c r="E135" s="132">
        <f>(20*(C135/C124))</f>
        <v>7.0000000000000007E-2</v>
      </c>
      <c r="F135" s="133" t="s">
        <v>56</v>
      </c>
      <c r="G135" s="132">
        <f t="shared" si="6"/>
        <v>7.0000000000000007E-2</v>
      </c>
      <c r="H135" s="134" t="str">
        <f t="shared" si="5"/>
        <v>uL</v>
      </c>
      <c r="I135" s="165"/>
      <c r="J135" s="165"/>
      <c r="K135" s="175" t="s">
        <v>27</v>
      </c>
      <c r="L135" s="175" t="s">
        <v>520</v>
      </c>
      <c r="M135" s="175" t="s">
        <v>521</v>
      </c>
      <c r="N135" s="175" t="s">
        <v>520</v>
      </c>
    </row>
    <row r="136" spans="2:14" x14ac:dyDescent="0.25">
      <c r="B136" s="130" t="s">
        <v>142</v>
      </c>
      <c r="C136" s="131">
        <v>10</v>
      </c>
      <c r="D136" s="131" t="s">
        <v>143</v>
      </c>
      <c r="E136" s="132">
        <f>20*C136/C126</f>
        <v>4</v>
      </c>
      <c r="F136" s="133" t="s">
        <v>56</v>
      </c>
      <c r="G136" s="132">
        <f t="shared" si="6"/>
        <v>4</v>
      </c>
      <c r="H136" s="134" t="str">
        <f t="shared" si="5"/>
        <v>uL</v>
      </c>
      <c r="I136" s="165"/>
      <c r="J136" s="165"/>
      <c r="K136" s="175" t="s">
        <v>522</v>
      </c>
      <c r="L136" s="175" t="s">
        <v>523</v>
      </c>
      <c r="M136" s="175" t="s">
        <v>524</v>
      </c>
      <c r="N136" s="175" t="s">
        <v>525</v>
      </c>
    </row>
    <row r="137" spans="2:14" x14ac:dyDescent="0.25">
      <c r="B137" s="130" t="s">
        <v>144</v>
      </c>
      <c r="C137" s="131">
        <v>0.5</v>
      </c>
      <c r="D137" s="131" t="s">
        <v>145</v>
      </c>
      <c r="E137" s="132">
        <f>20*C137/C127</f>
        <v>0.2</v>
      </c>
      <c r="F137" s="133" t="s">
        <v>56</v>
      </c>
      <c r="G137" s="132">
        <f t="shared" si="6"/>
        <v>0.2</v>
      </c>
      <c r="H137" s="134" t="str">
        <f t="shared" si="5"/>
        <v>uL</v>
      </c>
      <c r="I137" s="165"/>
      <c r="J137" s="165"/>
      <c r="K137" s="175">
        <f>M137/1000*N137/L137</f>
        <v>0.625</v>
      </c>
      <c r="L137" s="175">
        <v>1.6</v>
      </c>
      <c r="M137" s="175">
        <v>50</v>
      </c>
      <c r="N137" s="175">
        <v>20</v>
      </c>
    </row>
    <row r="138" spans="2:14" x14ac:dyDescent="0.25">
      <c r="B138" s="130" t="s">
        <v>159</v>
      </c>
      <c r="C138" s="131">
        <v>1</v>
      </c>
      <c r="D138" s="131" t="s">
        <v>147</v>
      </c>
      <c r="E138" s="132">
        <f>20*C138/C128</f>
        <v>2</v>
      </c>
      <c r="F138" s="133" t="s">
        <v>56</v>
      </c>
      <c r="G138" s="132">
        <f t="shared" si="6"/>
        <v>2</v>
      </c>
      <c r="H138" s="134" t="str">
        <f t="shared" si="5"/>
        <v>uL</v>
      </c>
      <c r="I138" s="165"/>
      <c r="J138" s="165"/>
      <c r="K138" s="175">
        <f t="shared" ref="K138:K142" si="7">M138/1000*N138/L138</f>
        <v>1.25</v>
      </c>
      <c r="L138" s="175">
        <v>1.6</v>
      </c>
      <c r="M138" s="175">
        <v>100</v>
      </c>
      <c r="N138" s="175">
        <v>20</v>
      </c>
    </row>
    <row r="139" spans="2:14" x14ac:dyDescent="0.25">
      <c r="B139" s="130" t="s">
        <v>148</v>
      </c>
      <c r="C139" s="131">
        <v>5</v>
      </c>
      <c r="D139" s="131" t="s">
        <v>143</v>
      </c>
      <c r="E139" s="132">
        <f>20*C139/C129</f>
        <v>2.2222222222222223</v>
      </c>
      <c r="F139" s="133" t="s">
        <v>56</v>
      </c>
      <c r="G139" s="132">
        <f t="shared" si="6"/>
        <v>2.2222222222222223</v>
      </c>
      <c r="H139" s="134" t="str">
        <f t="shared" si="5"/>
        <v>uL</v>
      </c>
      <c r="I139" s="165"/>
      <c r="J139" s="165"/>
      <c r="K139" s="175">
        <f t="shared" si="7"/>
        <v>2.5</v>
      </c>
      <c r="L139" s="175">
        <v>1.6</v>
      </c>
      <c r="M139" s="175">
        <v>200</v>
      </c>
      <c r="N139" s="175">
        <v>20</v>
      </c>
    </row>
    <row r="140" spans="2:14" ht="15.75" thickBot="1" x14ac:dyDescent="0.3">
      <c r="B140" s="121" t="s">
        <v>161</v>
      </c>
      <c r="C140" s="122"/>
      <c r="D140" s="122"/>
      <c r="E140" s="135">
        <v>0</v>
      </c>
      <c r="F140" s="136" t="s">
        <v>56</v>
      </c>
      <c r="G140" s="138">
        <f t="shared" si="6"/>
        <v>0</v>
      </c>
      <c r="H140" s="137" t="str">
        <f t="shared" si="5"/>
        <v>uL</v>
      </c>
      <c r="I140" s="165"/>
      <c r="J140" s="165"/>
      <c r="K140" s="175">
        <f t="shared" si="7"/>
        <v>5</v>
      </c>
      <c r="L140" s="175">
        <v>1.6</v>
      </c>
      <c r="M140" s="175">
        <v>400</v>
      </c>
      <c r="N140" s="175">
        <v>20</v>
      </c>
    </row>
    <row r="141" spans="2:14" x14ac:dyDescent="0.25">
      <c r="B141" s="165"/>
      <c r="C141" s="165"/>
      <c r="D141" s="85" t="s">
        <v>162</v>
      </c>
      <c r="E141" s="85">
        <f>SUM(E133:E140)</f>
        <v>8.862222222222222</v>
      </c>
      <c r="F141" s="85" t="s">
        <v>56</v>
      </c>
      <c r="G141" s="85">
        <f>SUM(G133:G140)</f>
        <v>8.862222222222222</v>
      </c>
      <c r="H141" s="85" t="s">
        <v>56</v>
      </c>
      <c r="I141" s="165"/>
      <c r="J141" s="165"/>
      <c r="K141" s="175">
        <f t="shared" si="7"/>
        <v>7.5</v>
      </c>
      <c r="L141" s="175">
        <v>1.6</v>
      </c>
      <c r="M141" s="175">
        <v>600</v>
      </c>
      <c r="N141" s="175">
        <v>20</v>
      </c>
    </row>
    <row r="142" spans="2:14" x14ac:dyDescent="0.25">
      <c r="B142" s="165"/>
      <c r="C142" s="165"/>
      <c r="D142" s="165"/>
      <c r="E142" s="165"/>
      <c r="F142" s="165"/>
      <c r="G142" s="165"/>
      <c r="H142" s="165"/>
      <c r="I142" s="165"/>
      <c r="J142" s="165"/>
      <c r="K142" s="175">
        <f t="shared" si="7"/>
        <v>10</v>
      </c>
      <c r="L142" s="175">
        <v>1.6</v>
      </c>
      <c r="M142" s="175">
        <v>800</v>
      </c>
      <c r="N142" s="175">
        <v>20</v>
      </c>
    </row>
    <row r="143" spans="2:14" ht="15.75" thickBot="1" x14ac:dyDescent="0.3">
      <c r="B143" s="165" t="s">
        <v>526</v>
      </c>
      <c r="C143" s="165" t="s">
        <v>527</v>
      </c>
      <c r="D143" s="165"/>
      <c r="E143" s="165"/>
      <c r="F143" s="165"/>
      <c r="G143" s="165"/>
      <c r="H143" s="165"/>
      <c r="I143" s="165"/>
      <c r="J143" s="165"/>
      <c r="K143" s="165"/>
      <c r="L143" s="165"/>
      <c r="M143" s="165"/>
      <c r="N143" s="165"/>
    </row>
    <row r="144" spans="2:14" x14ac:dyDescent="0.25">
      <c r="B144" s="91" t="s">
        <v>50</v>
      </c>
      <c r="C144" s="92" t="s">
        <v>74</v>
      </c>
      <c r="D144" s="92" t="s">
        <v>52</v>
      </c>
      <c r="E144" s="92" t="s">
        <v>75</v>
      </c>
      <c r="F144" s="93">
        <f>C40*(1+C33)</f>
        <v>115.19999999999999</v>
      </c>
      <c r="G144" s="165"/>
      <c r="H144" s="165"/>
      <c r="I144" s="165"/>
      <c r="J144" s="165"/>
      <c r="K144" s="165" t="s">
        <v>528</v>
      </c>
      <c r="L144" s="165"/>
      <c r="M144" s="165"/>
      <c r="N144" s="165"/>
    </row>
    <row r="145" spans="2:18" x14ac:dyDescent="0.25">
      <c r="B145" s="94" t="s">
        <v>76</v>
      </c>
      <c r="C145" s="95"/>
      <c r="D145" s="95"/>
      <c r="E145" s="96">
        <f>E141</f>
        <v>8.862222222222222</v>
      </c>
      <c r="F145" s="96">
        <f>E145*$F$144</f>
        <v>1020.9279999999999</v>
      </c>
      <c r="G145" s="165"/>
      <c r="H145" s="165"/>
      <c r="I145" s="165"/>
      <c r="J145" s="165"/>
      <c r="K145" s="175" t="s">
        <v>27</v>
      </c>
      <c r="L145" s="175" t="s">
        <v>520</v>
      </c>
      <c r="M145" s="175" t="s">
        <v>27</v>
      </c>
      <c r="N145" s="175" t="s">
        <v>520</v>
      </c>
      <c r="O145" s="165"/>
      <c r="P145" s="165"/>
      <c r="Q145" s="165"/>
      <c r="R145" s="165"/>
    </row>
    <row r="146" spans="2:18" x14ac:dyDescent="0.25">
      <c r="B146" s="104" t="s">
        <v>77</v>
      </c>
      <c r="C146" s="95" t="s">
        <v>530</v>
      </c>
      <c r="D146" s="95"/>
      <c r="E146" s="96">
        <f>0.5*20/10</f>
        <v>1</v>
      </c>
      <c r="F146" s="96">
        <f t="shared" ref="F146:F153" si="8">E146*$F$144</f>
        <v>115.19999999999999</v>
      </c>
      <c r="G146" s="165"/>
      <c r="H146" s="165"/>
      <c r="I146" s="165"/>
      <c r="J146" s="165"/>
      <c r="K146" s="175" t="s">
        <v>522</v>
      </c>
      <c r="L146" s="175" t="s">
        <v>523</v>
      </c>
      <c r="M146" s="175" t="s">
        <v>524</v>
      </c>
      <c r="N146" s="175" t="s">
        <v>525</v>
      </c>
      <c r="O146" s="165"/>
      <c r="P146" s="165"/>
      <c r="Q146" s="165" t="s">
        <v>531</v>
      </c>
      <c r="R146" s="165" t="s">
        <v>161</v>
      </c>
    </row>
    <row r="147" spans="2:18" x14ac:dyDescent="0.25">
      <c r="B147" s="104" t="s">
        <v>928</v>
      </c>
      <c r="C147" s="95"/>
      <c r="D147" s="95"/>
      <c r="E147" s="96">
        <v>0.2</v>
      </c>
      <c r="F147" s="96">
        <f t="shared" si="8"/>
        <v>23.04</v>
      </c>
      <c r="G147" s="165"/>
      <c r="H147" s="165"/>
      <c r="I147" s="165"/>
      <c r="J147" s="165"/>
      <c r="K147" s="175">
        <v>10</v>
      </c>
      <c r="L147" s="106">
        <f>M147*N147/K147</f>
        <v>6.25</v>
      </c>
      <c r="M147" s="106">
        <f>K137</f>
        <v>0.625</v>
      </c>
      <c r="N147" s="175">
        <v>100</v>
      </c>
      <c r="O147" s="165"/>
      <c r="P147" s="165"/>
      <c r="Q147" s="84">
        <f>L147</f>
        <v>6.25</v>
      </c>
      <c r="R147" s="84">
        <f>N147-Q147</f>
        <v>93.75</v>
      </c>
    </row>
    <row r="148" spans="2:18" x14ac:dyDescent="0.25">
      <c r="B148" s="104" t="s">
        <v>929</v>
      </c>
      <c r="C148" s="95" t="s">
        <v>930</v>
      </c>
      <c r="D148" s="95"/>
      <c r="E148" s="96">
        <f>0.4*20/10</f>
        <v>0.8</v>
      </c>
      <c r="F148" s="96">
        <f t="shared" si="8"/>
        <v>92.16</v>
      </c>
      <c r="G148" s="165"/>
      <c r="H148" s="165"/>
      <c r="I148" s="165"/>
      <c r="J148" s="165"/>
      <c r="K148" s="175">
        <v>10</v>
      </c>
      <c r="L148" s="106">
        <f t="shared" ref="L148:L152" si="9">M148*N148/K148</f>
        <v>12.5</v>
      </c>
      <c r="M148" s="106">
        <f t="shared" ref="M148:M152" si="10">K138</f>
        <v>1.25</v>
      </c>
      <c r="N148" s="175">
        <v>100</v>
      </c>
      <c r="O148" s="165"/>
      <c r="P148" s="165"/>
      <c r="Q148" s="84">
        <f t="shared" ref="Q148:Q152" si="11">L148</f>
        <v>12.5</v>
      </c>
      <c r="R148" s="84">
        <f t="shared" ref="R148:R152" si="12">N148-Q148</f>
        <v>87.5</v>
      </c>
    </row>
    <row r="149" spans="2:18" x14ac:dyDescent="0.25">
      <c r="B149" s="104" t="s">
        <v>931</v>
      </c>
      <c r="C149" s="95" t="s">
        <v>930</v>
      </c>
      <c r="D149" s="95"/>
      <c r="E149" s="96">
        <f>0.4*20/10</f>
        <v>0.8</v>
      </c>
      <c r="F149" s="96">
        <f t="shared" si="8"/>
        <v>92.16</v>
      </c>
      <c r="G149" s="165"/>
      <c r="H149" s="165"/>
      <c r="I149" s="165"/>
      <c r="J149" s="165"/>
      <c r="K149" s="175">
        <v>10</v>
      </c>
      <c r="L149" s="106">
        <f t="shared" si="9"/>
        <v>25</v>
      </c>
      <c r="M149" s="106">
        <f t="shared" si="10"/>
        <v>2.5</v>
      </c>
      <c r="N149" s="175">
        <v>100</v>
      </c>
      <c r="O149" s="165"/>
      <c r="P149" s="165"/>
      <c r="Q149" s="84">
        <f t="shared" si="11"/>
        <v>25</v>
      </c>
      <c r="R149" s="84">
        <f t="shared" si="12"/>
        <v>75</v>
      </c>
    </row>
    <row r="150" spans="2:18" x14ac:dyDescent="0.25">
      <c r="B150" s="104" t="s">
        <v>932</v>
      </c>
      <c r="C150" s="95" t="s">
        <v>933</v>
      </c>
      <c r="D150" s="95"/>
      <c r="E150" s="96">
        <f>0.3*20/10</f>
        <v>0.6</v>
      </c>
      <c r="F150" s="96">
        <f t="shared" si="8"/>
        <v>69.11999999999999</v>
      </c>
      <c r="G150" s="165"/>
      <c r="H150" s="165"/>
      <c r="I150" s="165"/>
      <c r="J150" s="165"/>
      <c r="K150" s="175">
        <v>10</v>
      </c>
      <c r="L150" s="106">
        <f t="shared" si="9"/>
        <v>50</v>
      </c>
      <c r="M150" s="106">
        <f t="shared" si="10"/>
        <v>5</v>
      </c>
      <c r="N150" s="175">
        <v>100</v>
      </c>
      <c r="O150" s="165"/>
      <c r="P150" s="165"/>
      <c r="Q150" s="84">
        <f t="shared" si="11"/>
        <v>50</v>
      </c>
      <c r="R150" s="84">
        <f t="shared" si="12"/>
        <v>50</v>
      </c>
    </row>
    <row r="151" spans="2:18" x14ac:dyDescent="0.25">
      <c r="B151" s="104"/>
      <c r="C151" s="95"/>
      <c r="D151" s="95"/>
      <c r="E151" s="96"/>
      <c r="F151" s="96">
        <f t="shared" si="8"/>
        <v>0</v>
      </c>
      <c r="G151" s="165"/>
      <c r="H151" s="165"/>
      <c r="I151" s="165"/>
      <c r="J151" s="165"/>
      <c r="K151" s="175">
        <v>10</v>
      </c>
      <c r="L151" s="106">
        <f t="shared" si="9"/>
        <v>75</v>
      </c>
      <c r="M151" s="106">
        <f t="shared" si="10"/>
        <v>7.5</v>
      </c>
      <c r="N151" s="175">
        <v>100</v>
      </c>
      <c r="O151" s="165"/>
      <c r="P151" s="165"/>
      <c r="Q151" s="84">
        <f t="shared" si="11"/>
        <v>75</v>
      </c>
      <c r="R151" s="84">
        <f t="shared" si="12"/>
        <v>25</v>
      </c>
    </row>
    <row r="152" spans="2:18" x14ac:dyDescent="0.25">
      <c r="B152" s="104" t="s">
        <v>79</v>
      </c>
      <c r="C152" s="95"/>
      <c r="D152" s="95"/>
      <c r="E152" s="96">
        <f>14.8-SUM(E145:E151)</f>
        <v>2.5377777777777784</v>
      </c>
      <c r="F152" s="96">
        <f t="shared" si="8"/>
        <v>292.35200000000003</v>
      </c>
      <c r="G152" s="165"/>
      <c r="H152" s="165"/>
      <c r="I152" s="165"/>
      <c r="J152" s="165"/>
      <c r="K152" s="175">
        <v>10</v>
      </c>
      <c r="L152" s="106">
        <f t="shared" si="9"/>
        <v>100</v>
      </c>
      <c r="M152" s="106">
        <f t="shared" si="10"/>
        <v>10</v>
      </c>
      <c r="N152" s="175">
        <v>100</v>
      </c>
      <c r="O152" s="165"/>
      <c r="P152" s="165"/>
      <c r="Q152" s="84">
        <f t="shared" si="11"/>
        <v>100</v>
      </c>
      <c r="R152" s="84">
        <f t="shared" si="12"/>
        <v>0</v>
      </c>
    </row>
    <row r="153" spans="2:18" ht="15.75" thickBot="1" x14ac:dyDescent="0.3">
      <c r="B153" s="97" t="s">
        <v>80</v>
      </c>
      <c r="C153" s="98"/>
      <c r="D153" s="98"/>
      <c r="E153" s="99">
        <f>SUM(E145:E152)</f>
        <v>14.8</v>
      </c>
      <c r="F153" s="96">
        <f t="shared" si="8"/>
        <v>1704.9599999999998</v>
      </c>
      <c r="G153" s="165"/>
      <c r="H153" s="165"/>
      <c r="I153" s="165"/>
      <c r="J153" s="165"/>
      <c r="K153" s="165"/>
      <c r="L153" s="165"/>
      <c r="M153" s="165"/>
      <c r="N153" s="165"/>
      <c r="O153" s="165"/>
      <c r="P153" s="165"/>
      <c r="Q153" s="165"/>
      <c r="R153" s="165"/>
    </row>
    <row r="154" spans="2:18" x14ac:dyDescent="0.25">
      <c r="B154" s="165"/>
      <c r="C154" s="165"/>
      <c r="D154" s="165"/>
      <c r="E154" s="165"/>
      <c r="F154" s="165"/>
      <c r="G154" s="165"/>
      <c r="H154" s="84"/>
      <c r="I154" s="165"/>
      <c r="J154" s="165"/>
      <c r="K154" s="165"/>
      <c r="L154" s="165"/>
      <c r="M154" s="165"/>
      <c r="N154" s="165"/>
      <c r="O154" s="165"/>
      <c r="P154" s="165"/>
      <c r="Q154" s="165"/>
      <c r="R154" s="165"/>
    </row>
    <row r="155" spans="2:18" x14ac:dyDescent="0.25">
      <c r="B155" s="165"/>
      <c r="C155" s="165"/>
      <c r="D155" s="165"/>
      <c r="E155" s="165"/>
      <c r="F155" s="165"/>
      <c r="G155" s="165"/>
      <c r="H155" s="84"/>
      <c r="I155" s="165"/>
      <c r="J155" s="165"/>
      <c r="K155" s="165"/>
      <c r="L155" s="165"/>
      <c r="M155" s="165"/>
      <c r="N155" s="165"/>
      <c r="O155" s="165"/>
      <c r="P155" s="165"/>
      <c r="Q155" s="165"/>
      <c r="R155" s="165"/>
    </row>
    <row r="157" spans="2:18" x14ac:dyDescent="0.25">
      <c r="B157" s="165"/>
      <c r="C157" s="165"/>
      <c r="D157" s="165"/>
      <c r="E157" s="165"/>
      <c r="F157" s="165"/>
      <c r="G157" s="165"/>
      <c r="H157" s="165"/>
      <c r="I157" s="84"/>
      <c r="J157" s="165"/>
      <c r="K157" s="165"/>
      <c r="L157" s="165"/>
      <c r="M157" s="165"/>
      <c r="N157" s="165"/>
      <c r="O157" s="165"/>
      <c r="P157" s="165"/>
      <c r="Q157" s="165"/>
      <c r="R157" s="165"/>
    </row>
    <row r="158" spans="2:18" ht="15.75" thickBot="1" x14ac:dyDescent="0.3">
      <c r="B158" s="165" t="s">
        <v>533</v>
      </c>
      <c r="C158" s="165" t="s">
        <v>527</v>
      </c>
      <c r="D158" s="165"/>
      <c r="E158" s="165"/>
      <c r="F158" s="165"/>
      <c r="G158" s="165"/>
      <c r="H158" s="165"/>
      <c r="I158" s="165"/>
      <c r="J158" s="165"/>
      <c r="K158" s="165"/>
      <c r="L158" s="165"/>
      <c r="M158" s="165"/>
      <c r="N158" s="165"/>
      <c r="O158" s="165"/>
      <c r="P158" s="165"/>
      <c r="Q158" s="165"/>
      <c r="R158" s="165"/>
    </row>
    <row r="159" spans="2:18" x14ac:dyDescent="0.25">
      <c r="B159" s="91" t="s">
        <v>50</v>
      </c>
      <c r="C159" s="92" t="s">
        <v>74</v>
      </c>
      <c r="D159" s="92" t="s">
        <v>52</v>
      </c>
      <c r="E159" s="92" t="s">
        <v>75</v>
      </c>
      <c r="F159" s="93">
        <f>C41*(1+C33-0.05)</f>
        <v>27.599999999999998</v>
      </c>
      <c r="G159" s="165"/>
      <c r="H159" s="165"/>
      <c r="I159" s="165"/>
      <c r="J159" s="165"/>
      <c r="K159" s="165"/>
      <c r="L159" s="165"/>
      <c r="M159" s="165"/>
      <c r="N159" s="165"/>
      <c r="O159" s="165"/>
      <c r="P159" s="165"/>
      <c r="Q159" s="165"/>
      <c r="R159" s="165"/>
    </row>
    <row r="160" spans="2:18" x14ac:dyDescent="0.25">
      <c r="B160" s="94" t="s">
        <v>76</v>
      </c>
      <c r="C160" s="95"/>
      <c r="D160" s="95"/>
      <c r="E160" s="96">
        <f>$C$49</f>
        <v>14.8</v>
      </c>
      <c r="F160" s="96">
        <f>E160*$F$159</f>
        <v>408.47999999999996</v>
      </c>
      <c r="G160" s="165"/>
      <c r="H160" s="165"/>
      <c r="I160" s="165"/>
      <c r="J160" s="165"/>
      <c r="K160" s="165"/>
      <c r="L160" s="165"/>
      <c r="M160" s="165"/>
      <c r="N160" s="165"/>
      <c r="O160" s="165"/>
      <c r="P160" s="165"/>
      <c r="Q160" s="165"/>
      <c r="R160" s="165"/>
    </row>
    <row r="161" spans="2:6" x14ac:dyDescent="0.25">
      <c r="B161" s="104" t="s">
        <v>934</v>
      </c>
      <c r="C161" s="95" t="s">
        <v>933</v>
      </c>
      <c r="D161" s="95"/>
      <c r="E161" s="96">
        <f>C47</f>
        <v>0.6</v>
      </c>
      <c r="F161" s="96">
        <f>E161*$F$159</f>
        <v>16.559999999999999</v>
      </c>
    </row>
    <row r="162" spans="2:6" x14ac:dyDescent="0.25">
      <c r="B162" s="104" t="s">
        <v>825</v>
      </c>
      <c r="C162" s="95" t="s">
        <v>933</v>
      </c>
      <c r="D162" s="95"/>
      <c r="E162" s="96">
        <f>C48</f>
        <v>0.6</v>
      </c>
      <c r="F162" s="96">
        <f>E162*$F$159</f>
        <v>16.559999999999999</v>
      </c>
    </row>
    <row r="163" spans="2:6" x14ac:dyDescent="0.25">
      <c r="B163" s="104" t="s">
        <v>79</v>
      </c>
      <c r="C163" s="95"/>
      <c r="D163" s="95"/>
      <c r="E163" s="96">
        <f>C50</f>
        <v>2</v>
      </c>
      <c r="F163" s="96">
        <f>E163*$F$159</f>
        <v>55.199999999999996</v>
      </c>
    </row>
    <row r="164" spans="2:6" ht="15.75" thickBot="1" x14ac:dyDescent="0.3">
      <c r="B164" s="97" t="s">
        <v>80</v>
      </c>
      <c r="C164" s="98"/>
      <c r="D164" s="98"/>
      <c r="E164" s="99">
        <f>SUM(E160:E163)</f>
        <v>18</v>
      </c>
      <c r="F164" s="96">
        <f>E164*$F$159</f>
        <v>496.79999999999995</v>
      </c>
    </row>
    <row r="165" spans="2:6" x14ac:dyDescent="0.25">
      <c r="B165" s="105"/>
      <c r="C165" s="165"/>
      <c r="D165" s="165"/>
      <c r="E165" s="165"/>
      <c r="F165" s="84"/>
    </row>
    <row r="167" spans="2:6" ht="15.75" thickBot="1" x14ac:dyDescent="0.3">
      <c r="B167" s="165" t="s">
        <v>536</v>
      </c>
      <c r="C167" s="165" t="s">
        <v>537</v>
      </c>
      <c r="D167" s="165"/>
      <c r="E167" s="165"/>
      <c r="F167" s="165"/>
    </row>
    <row r="168" spans="2:6" x14ac:dyDescent="0.25">
      <c r="B168" s="91" t="s">
        <v>50</v>
      </c>
      <c r="C168" s="92" t="s">
        <v>74</v>
      </c>
      <c r="D168" s="92" t="s">
        <v>52</v>
      </c>
      <c r="E168" s="92" t="s">
        <v>75</v>
      </c>
      <c r="F168" s="93">
        <f>C11*(1+$C$33-$C$37)</f>
        <v>84.095999999999989</v>
      </c>
    </row>
    <row r="169" spans="2:6" x14ac:dyDescent="0.25">
      <c r="B169" s="94" t="s">
        <v>76</v>
      </c>
      <c r="C169" s="95"/>
      <c r="D169" s="95"/>
      <c r="E169" s="96">
        <f>$C$49</f>
        <v>14.8</v>
      </c>
      <c r="F169" s="96">
        <f t="shared" ref="F169:F174" si="13">E169*$F$168</f>
        <v>1244.6207999999999</v>
      </c>
    </row>
    <row r="170" spans="2:6" x14ac:dyDescent="0.25">
      <c r="B170" s="104" t="s">
        <v>534</v>
      </c>
      <c r="C170" s="95" t="s">
        <v>540</v>
      </c>
      <c r="D170" s="95"/>
      <c r="E170" s="96">
        <v>0</v>
      </c>
      <c r="F170" s="96">
        <f t="shared" si="13"/>
        <v>0</v>
      </c>
    </row>
    <row r="171" spans="2:6" x14ac:dyDescent="0.25">
      <c r="B171" s="104" t="s">
        <v>535</v>
      </c>
      <c r="C171" s="95" t="s">
        <v>540</v>
      </c>
      <c r="D171" s="95"/>
      <c r="E171" s="96">
        <v>0</v>
      </c>
      <c r="F171" s="96">
        <f t="shared" si="13"/>
        <v>0</v>
      </c>
    </row>
    <row r="172" spans="2:6" x14ac:dyDescent="0.25">
      <c r="B172" s="104" t="s">
        <v>79</v>
      </c>
      <c r="C172" s="95"/>
      <c r="D172" s="95"/>
      <c r="E172" s="96">
        <v>0</v>
      </c>
      <c r="F172" s="96">
        <f t="shared" si="13"/>
        <v>0</v>
      </c>
    </row>
    <row r="173" spans="2:6" x14ac:dyDescent="0.25">
      <c r="B173" s="104" t="s">
        <v>935</v>
      </c>
      <c r="C173" s="95"/>
      <c r="D173" s="95"/>
      <c r="E173" s="96">
        <v>2</v>
      </c>
      <c r="F173" s="96">
        <f t="shared" si="13"/>
        <v>168.19199999999998</v>
      </c>
    </row>
    <row r="174" spans="2:6" ht="15.75" thickBot="1" x14ac:dyDescent="0.3">
      <c r="B174" s="97" t="s">
        <v>80</v>
      </c>
      <c r="C174" s="98"/>
      <c r="D174" s="98"/>
      <c r="E174" s="99">
        <f>SUM(E169:E173)</f>
        <v>16.8</v>
      </c>
      <c r="F174" s="96">
        <f t="shared" si="13"/>
        <v>1412.8127999999999</v>
      </c>
    </row>
    <row r="176" spans="2:6" ht="15.75" thickBot="1" x14ac:dyDescent="0.3">
      <c r="B176" s="165" t="s">
        <v>539</v>
      </c>
      <c r="C176" s="165"/>
      <c r="D176" s="165"/>
      <c r="E176" s="165"/>
      <c r="F176" s="165"/>
    </row>
    <row r="177" spans="2:6" x14ac:dyDescent="0.25">
      <c r="B177" s="91" t="s">
        <v>50</v>
      </c>
      <c r="C177" s="92" t="s">
        <v>74</v>
      </c>
      <c r="D177" s="92" t="s">
        <v>52</v>
      </c>
      <c r="E177" s="92" t="s">
        <v>75</v>
      </c>
      <c r="F177" s="93">
        <f>12*(1+C33-C35)</f>
        <v>13.2</v>
      </c>
    </row>
    <row r="178" spans="2:6" x14ac:dyDescent="0.25">
      <c r="B178" s="94" t="s">
        <v>516</v>
      </c>
      <c r="C178" s="95"/>
      <c r="D178" s="95"/>
      <c r="E178" s="96">
        <f>C61</f>
        <v>16.8</v>
      </c>
      <c r="F178" s="96">
        <f>E178*$F$177</f>
        <v>221.76</v>
      </c>
    </row>
    <row r="179" spans="2:6" x14ac:dyDescent="0.25">
      <c r="B179" s="104" t="s">
        <v>534</v>
      </c>
      <c r="C179" s="95" t="s">
        <v>540</v>
      </c>
      <c r="D179" s="95"/>
      <c r="E179" s="96"/>
      <c r="F179" s="96">
        <f>E179*$F$177</f>
        <v>0</v>
      </c>
    </row>
    <row r="180" spans="2:6" x14ac:dyDescent="0.25">
      <c r="B180" s="104" t="s">
        <v>535</v>
      </c>
      <c r="C180" s="95">
        <v>50</v>
      </c>
      <c r="D180" s="95" t="s">
        <v>541</v>
      </c>
      <c r="E180" s="96">
        <f>C63</f>
        <v>0.1</v>
      </c>
      <c r="F180" s="96">
        <f>E180*$F$177</f>
        <v>1.32</v>
      </c>
    </row>
    <row r="181" spans="2:6" x14ac:dyDescent="0.25">
      <c r="B181" s="104" t="s">
        <v>79</v>
      </c>
      <c r="C181" s="95"/>
      <c r="D181" s="95"/>
      <c r="E181" s="96">
        <f>C65</f>
        <v>1.5</v>
      </c>
      <c r="F181" s="96">
        <f>E181*$F$177</f>
        <v>19.799999999999997</v>
      </c>
    </row>
    <row r="182" spans="2:6" ht="15.75" thickBot="1" x14ac:dyDescent="0.3">
      <c r="B182" s="97" t="s">
        <v>80</v>
      </c>
      <c r="C182" s="98"/>
      <c r="D182" s="98"/>
      <c r="E182" s="99">
        <f>SUM(E178:E181)</f>
        <v>18.400000000000002</v>
      </c>
      <c r="F182" s="96">
        <f>E182*$F$177</f>
        <v>242.88000000000002</v>
      </c>
    </row>
    <row r="184" spans="2:6" ht="15.75" thickBot="1" x14ac:dyDescent="0.3">
      <c r="B184" s="165" t="s">
        <v>542</v>
      </c>
      <c r="C184" s="165"/>
      <c r="D184" s="165"/>
      <c r="E184" s="165"/>
      <c r="F184" s="165"/>
    </row>
    <row r="185" spans="2:6" x14ac:dyDescent="0.25">
      <c r="B185" s="91" t="s">
        <v>50</v>
      </c>
      <c r="C185" s="92" t="s">
        <v>74</v>
      </c>
      <c r="D185" s="92" t="s">
        <v>52</v>
      </c>
      <c r="E185" s="92" t="s">
        <v>75</v>
      </c>
      <c r="F185" s="93">
        <f>$C$30*(1+C33-0.1)</f>
        <v>13.2</v>
      </c>
    </row>
    <row r="186" spans="2:6" x14ac:dyDescent="0.25">
      <c r="B186" s="94" t="s">
        <v>516</v>
      </c>
      <c r="C186" s="95"/>
      <c r="D186" s="95"/>
      <c r="E186" s="96">
        <f>$C$61</f>
        <v>16.8</v>
      </c>
      <c r="F186" s="96">
        <f>E186*$F$185</f>
        <v>221.76</v>
      </c>
    </row>
    <row r="187" spans="2:6" x14ac:dyDescent="0.25">
      <c r="B187" s="104" t="s">
        <v>534</v>
      </c>
      <c r="C187" s="95" t="s">
        <v>540</v>
      </c>
      <c r="D187" s="95"/>
      <c r="E187" s="96"/>
      <c r="F187" s="96">
        <f>E187*$F$177</f>
        <v>0</v>
      </c>
    </row>
    <row r="188" spans="2:6" x14ac:dyDescent="0.25">
      <c r="B188" s="104" t="s">
        <v>535</v>
      </c>
      <c r="C188" s="95">
        <v>100</v>
      </c>
      <c r="D188" s="95" t="s">
        <v>541</v>
      </c>
      <c r="E188" s="96">
        <f>C67</f>
        <v>0.2</v>
      </c>
      <c r="F188" s="96">
        <f>E188*$F$177</f>
        <v>2.64</v>
      </c>
    </row>
    <row r="189" spans="2:6" x14ac:dyDescent="0.25">
      <c r="B189" s="104" t="s">
        <v>79</v>
      </c>
      <c r="C189" s="95"/>
      <c r="D189" s="95"/>
      <c r="E189" s="96">
        <f>C69</f>
        <v>1.4000000000000001</v>
      </c>
      <c r="F189" s="96">
        <f>E189*$F$177</f>
        <v>18.48</v>
      </c>
    </row>
    <row r="190" spans="2:6" ht="15.75" thickBot="1" x14ac:dyDescent="0.3">
      <c r="B190" s="97" t="s">
        <v>80</v>
      </c>
      <c r="C190" s="98"/>
      <c r="D190" s="98"/>
      <c r="E190" s="99">
        <f>SUM(E186:E189)</f>
        <v>18.399999999999999</v>
      </c>
      <c r="F190" s="96">
        <f>E190*$F$177</f>
        <v>242.87999999999997</v>
      </c>
    </row>
    <row r="192" spans="2:6" ht="15.75" thickBot="1" x14ac:dyDescent="0.3">
      <c r="B192" s="165" t="s">
        <v>543</v>
      </c>
      <c r="C192" s="165"/>
      <c r="D192" s="165"/>
      <c r="E192" s="165"/>
      <c r="F192" s="165"/>
    </row>
    <row r="193" spans="2:6" x14ac:dyDescent="0.25">
      <c r="B193" s="91" t="s">
        <v>50</v>
      </c>
      <c r="C193" s="92" t="s">
        <v>74</v>
      </c>
      <c r="D193" s="92" t="s">
        <v>52</v>
      </c>
      <c r="E193" s="92" t="s">
        <v>75</v>
      </c>
      <c r="F193" s="93">
        <f>$C$30*(1+$C$33-0.1)</f>
        <v>13.2</v>
      </c>
    </row>
    <row r="194" spans="2:6" x14ac:dyDescent="0.25">
      <c r="B194" s="94" t="s">
        <v>516</v>
      </c>
      <c r="C194" s="95"/>
      <c r="D194" s="95"/>
      <c r="E194" s="96">
        <f>$C$61</f>
        <v>16.8</v>
      </c>
      <c r="F194" s="96">
        <f>E194*$F$185</f>
        <v>221.76</v>
      </c>
    </row>
    <row r="195" spans="2:6" x14ac:dyDescent="0.25">
      <c r="B195" s="104" t="s">
        <v>534</v>
      </c>
      <c r="C195" s="95" t="s">
        <v>540</v>
      </c>
      <c r="D195" s="95"/>
      <c r="E195" s="96"/>
      <c r="F195" s="96">
        <f>E195*$F$177</f>
        <v>0</v>
      </c>
    </row>
    <row r="196" spans="2:6" x14ac:dyDescent="0.25">
      <c r="B196" s="104" t="s">
        <v>535</v>
      </c>
      <c r="C196" s="95">
        <v>200</v>
      </c>
      <c r="D196" s="95" t="s">
        <v>541</v>
      </c>
      <c r="E196" s="96">
        <f>C71</f>
        <v>0.4</v>
      </c>
      <c r="F196" s="96">
        <f>E196*$F$177</f>
        <v>5.28</v>
      </c>
    </row>
    <row r="197" spans="2:6" x14ac:dyDescent="0.25">
      <c r="B197" s="104" t="s">
        <v>79</v>
      </c>
      <c r="C197" s="95"/>
      <c r="D197" s="95"/>
      <c r="E197" s="96">
        <f>C73</f>
        <v>1.2000000000000002</v>
      </c>
      <c r="F197" s="96">
        <f>E197*$F$177</f>
        <v>15.840000000000002</v>
      </c>
    </row>
    <row r="198" spans="2:6" ht="15.75" thickBot="1" x14ac:dyDescent="0.3">
      <c r="B198" s="97" t="s">
        <v>80</v>
      </c>
      <c r="C198" s="98"/>
      <c r="D198" s="98"/>
      <c r="E198" s="99">
        <f>SUM(E194:E197)</f>
        <v>18.399999999999999</v>
      </c>
      <c r="F198" s="96">
        <f>E198*$F$177</f>
        <v>242.87999999999997</v>
      </c>
    </row>
    <row r="200" spans="2:6" ht="15.75" thickBot="1" x14ac:dyDescent="0.3">
      <c r="B200" s="165" t="s">
        <v>544</v>
      </c>
      <c r="C200" s="165"/>
      <c r="D200" s="165"/>
      <c r="E200" s="165"/>
      <c r="F200" s="165"/>
    </row>
    <row r="201" spans="2:6" x14ac:dyDescent="0.25">
      <c r="B201" s="91" t="s">
        <v>50</v>
      </c>
      <c r="C201" s="92" t="s">
        <v>74</v>
      </c>
      <c r="D201" s="92" t="s">
        <v>52</v>
      </c>
      <c r="E201" s="92" t="s">
        <v>75</v>
      </c>
      <c r="F201" s="93">
        <f>$C$30*(1+$C$33-0.1)</f>
        <v>13.2</v>
      </c>
    </row>
    <row r="202" spans="2:6" x14ac:dyDescent="0.25">
      <c r="B202" s="94" t="s">
        <v>516</v>
      </c>
      <c r="C202" s="95"/>
      <c r="D202" s="95"/>
      <c r="E202" s="96">
        <f>$C$61</f>
        <v>16.8</v>
      </c>
      <c r="F202" s="96">
        <f>E202*$F$185</f>
        <v>221.76</v>
      </c>
    </row>
    <row r="203" spans="2:6" x14ac:dyDescent="0.25">
      <c r="B203" s="104" t="s">
        <v>534</v>
      </c>
      <c r="C203" s="95" t="s">
        <v>540</v>
      </c>
      <c r="D203" s="95"/>
      <c r="E203" s="96"/>
      <c r="F203" s="96">
        <f>E203*$F$177</f>
        <v>0</v>
      </c>
    </row>
    <row r="204" spans="2:6" x14ac:dyDescent="0.25">
      <c r="B204" s="104" t="s">
        <v>535</v>
      </c>
      <c r="C204" s="95">
        <v>400</v>
      </c>
      <c r="D204" s="95" t="s">
        <v>541</v>
      </c>
      <c r="E204" s="96">
        <f>C75</f>
        <v>0.8</v>
      </c>
      <c r="F204" s="96">
        <f>E204*$F$177</f>
        <v>10.56</v>
      </c>
    </row>
    <row r="205" spans="2:6" x14ac:dyDescent="0.25">
      <c r="B205" s="104" t="s">
        <v>79</v>
      </c>
      <c r="C205" s="95"/>
      <c r="D205" s="95"/>
      <c r="E205" s="96">
        <f>C81</f>
        <v>0.40000000000000013</v>
      </c>
      <c r="F205" s="96">
        <f>E205*$F$177</f>
        <v>5.2800000000000011</v>
      </c>
    </row>
    <row r="206" spans="2:6" ht="15.75" thickBot="1" x14ac:dyDescent="0.3">
      <c r="B206" s="97" t="s">
        <v>80</v>
      </c>
      <c r="C206" s="98"/>
      <c r="D206" s="98"/>
      <c r="E206" s="99">
        <f>SUM(E202:E205)</f>
        <v>18</v>
      </c>
      <c r="F206" s="96">
        <f>E206*$F$177</f>
        <v>237.6</v>
      </c>
    </row>
    <row r="208" spans="2:6" ht="15.75" thickBot="1" x14ac:dyDescent="0.3">
      <c r="B208" s="165" t="s">
        <v>545</v>
      </c>
      <c r="C208" s="165"/>
      <c r="D208" s="165"/>
      <c r="E208" s="165"/>
      <c r="F208" s="165"/>
    </row>
    <row r="209" spans="2:6" x14ac:dyDescent="0.25">
      <c r="B209" s="91" t="s">
        <v>50</v>
      </c>
      <c r="C209" s="92" t="s">
        <v>74</v>
      </c>
      <c r="D209" s="92" t="s">
        <v>52</v>
      </c>
      <c r="E209" s="92" t="s">
        <v>75</v>
      </c>
      <c r="F209" s="93">
        <f>$C$30*(1+$C$33-0.1)</f>
        <v>13.2</v>
      </c>
    </row>
    <row r="210" spans="2:6" x14ac:dyDescent="0.25">
      <c r="B210" s="94" t="s">
        <v>516</v>
      </c>
      <c r="C210" s="95"/>
      <c r="D210" s="95"/>
      <c r="E210" s="96">
        <f>$C$61</f>
        <v>16.8</v>
      </c>
      <c r="F210" s="96">
        <f>E210*$F$185</f>
        <v>221.76</v>
      </c>
    </row>
    <row r="211" spans="2:6" x14ac:dyDescent="0.25">
      <c r="B211" s="104" t="s">
        <v>534</v>
      </c>
      <c r="C211" s="95" t="s">
        <v>540</v>
      </c>
      <c r="D211" s="95"/>
      <c r="E211" s="96"/>
      <c r="F211" s="96">
        <f>E211*$F$177</f>
        <v>0</v>
      </c>
    </row>
    <row r="212" spans="2:6" x14ac:dyDescent="0.25">
      <c r="B212" s="104" t="s">
        <v>535</v>
      </c>
      <c r="C212" s="95">
        <v>600</v>
      </c>
      <c r="D212" s="95" t="s">
        <v>541</v>
      </c>
      <c r="E212" s="96">
        <f>C79</f>
        <v>1.2</v>
      </c>
      <c r="F212" s="96">
        <f>E212*$F$177</f>
        <v>15.839999999999998</v>
      </c>
    </row>
    <row r="213" spans="2:6" x14ac:dyDescent="0.25">
      <c r="B213" s="104" t="s">
        <v>79</v>
      </c>
      <c r="C213" s="95"/>
      <c r="D213" s="95"/>
      <c r="E213" s="96">
        <f>C81</f>
        <v>0.40000000000000013</v>
      </c>
      <c r="F213" s="96">
        <f>E213*$F$177</f>
        <v>5.2800000000000011</v>
      </c>
    </row>
    <row r="214" spans="2:6" ht="15.75" thickBot="1" x14ac:dyDescent="0.3">
      <c r="B214" s="97" t="s">
        <v>80</v>
      </c>
      <c r="C214" s="98"/>
      <c r="D214" s="98"/>
      <c r="E214" s="99">
        <f>SUM(E210:E213)</f>
        <v>18.399999999999999</v>
      </c>
      <c r="F214" s="96">
        <f>E214*$F$177</f>
        <v>242.87999999999997</v>
      </c>
    </row>
    <row r="216" spans="2:6" ht="15.75" thickBot="1" x14ac:dyDescent="0.3">
      <c r="B216" s="165" t="s">
        <v>546</v>
      </c>
      <c r="C216" s="165"/>
      <c r="D216" s="165"/>
      <c r="E216" s="165"/>
      <c r="F216" s="165"/>
    </row>
    <row r="217" spans="2:6" x14ac:dyDescent="0.25">
      <c r="B217" s="91" t="s">
        <v>50</v>
      </c>
      <c r="C217" s="92" t="s">
        <v>74</v>
      </c>
      <c r="D217" s="92" t="s">
        <v>52</v>
      </c>
      <c r="E217" s="92" t="s">
        <v>75</v>
      </c>
      <c r="F217" s="93">
        <f>$C$30*(1+$C$33-0.1)</f>
        <v>13.2</v>
      </c>
    </row>
    <row r="218" spans="2:6" x14ac:dyDescent="0.25">
      <c r="B218" s="94" t="s">
        <v>516</v>
      </c>
      <c r="C218" s="95"/>
      <c r="D218" s="95"/>
      <c r="E218" s="96">
        <f>$C$61</f>
        <v>16.8</v>
      </c>
      <c r="F218" s="96">
        <f>E218*$F$185</f>
        <v>221.76</v>
      </c>
    </row>
    <row r="219" spans="2:6" x14ac:dyDescent="0.25">
      <c r="B219" s="104" t="s">
        <v>534</v>
      </c>
      <c r="C219" s="95" t="s">
        <v>540</v>
      </c>
      <c r="D219" s="95"/>
      <c r="E219" s="96"/>
      <c r="F219" s="96">
        <f>E219*$F$177</f>
        <v>0</v>
      </c>
    </row>
    <row r="220" spans="2:6" x14ac:dyDescent="0.25">
      <c r="B220" s="104" t="s">
        <v>535</v>
      </c>
      <c r="C220" s="95">
        <v>800</v>
      </c>
      <c r="D220" s="95" t="s">
        <v>541</v>
      </c>
      <c r="E220" s="96">
        <f>C83</f>
        <v>1.6</v>
      </c>
      <c r="F220" s="96">
        <f>E220*$F$177</f>
        <v>21.12</v>
      </c>
    </row>
    <row r="221" spans="2:6" x14ac:dyDescent="0.25">
      <c r="B221" s="104" t="s">
        <v>79</v>
      </c>
      <c r="C221" s="95"/>
      <c r="D221" s="95"/>
      <c r="E221" s="96">
        <f>C85</f>
        <v>0</v>
      </c>
      <c r="F221" s="96">
        <f>E221*$F$177</f>
        <v>0</v>
      </c>
    </row>
    <row r="222" spans="2:6" ht="15.75" thickBot="1" x14ac:dyDescent="0.3">
      <c r="B222" s="97" t="s">
        <v>80</v>
      </c>
      <c r="C222" s="98"/>
      <c r="D222" s="98"/>
      <c r="E222" s="99">
        <f>SUM(E218:E221)</f>
        <v>18.400000000000002</v>
      </c>
      <c r="F222" s="96">
        <f>E222*$F$177</f>
        <v>242.88000000000002</v>
      </c>
    </row>
  </sheetData>
  <mergeCells count="3">
    <mergeCell ref="E122:G122"/>
    <mergeCell ref="F123:H123"/>
    <mergeCell ref="G132:H132"/>
  </mergeCells>
  <pageMargins left="0.7" right="0.7" top="0.75" bottom="0.75" header="0.3" footer="0.3"/>
  <pageSetup scale="20"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BC2B0-45DF-4142-AB41-F0CF461EA795}">
  <sheetPr codeName="Sheet19"/>
  <dimension ref="A1:AG193"/>
  <sheetViews>
    <sheetView topLeftCell="B72" zoomScale="85" zoomScaleNormal="85" workbookViewId="0">
      <selection activeCell="V97" sqref="V97"/>
    </sheetView>
  </sheetViews>
  <sheetFormatPr defaultColWidth="9.140625" defaultRowHeight="15" x14ac:dyDescent="0.25"/>
  <cols>
    <col min="1" max="17" width="9.140625" style="76"/>
    <col min="18" max="18" width="10.85546875" style="76" bestFit="1" customWidth="1"/>
    <col min="19" max="21" width="9.140625" style="76"/>
    <col min="22" max="22" width="11.85546875" style="76" bestFit="1" customWidth="1"/>
    <col min="23" max="16384" width="9.140625" style="76"/>
  </cols>
  <sheetData>
    <row r="1" spans="1:31" x14ac:dyDescent="0.25">
      <c r="A1" s="165" t="s">
        <v>198</v>
      </c>
      <c r="B1" s="165" t="s">
        <v>199</v>
      </c>
      <c r="C1" s="165" t="s">
        <v>200</v>
      </c>
      <c r="D1" s="165" t="s">
        <v>201</v>
      </c>
      <c r="E1" s="165" t="s">
        <v>202</v>
      </c>
      <c r="F1" s="165"/>
      <c r="G1" s="165" t="s">
        <v>198</v>
      </c>
      <c r="H1" s="165" t="s">
        <v>199</v>
      </c>
      <c r="I1" s="165" t="s">
        <v>200</v>
      </c>
      <c r="J1" s="165" t="s">
        <v>201</v>
      </c>
      <c r="K1" s="165" t="s">
        <v>202</v>
      </c>
      <c r="L1" s="165" t="s">
        <v>547</v>
      </c>
      <c r="M1" s="165"/>
      <c r="N1" s="107" t="s">
        <v>548</v>
      </c>
      <c r="O1" s="107" t="s">
        <v>549</v>
      </c>
      <c r="P1" s="107" t="str">
        <f>N1&amp;"_"&amp;O1</f>
        <v>[F]_[R]</v>
      </c>
      <c r="Q1" s="107" t="s">
        <v>203</v>
      </c>
      <c r="R1" s="107" t="s">
        <v>550</v>
      </c>
      <c r="S1" s="107" t="s">
        <v>551</v>
      </c>
      <c r="T1" s="118" t="s">
        <v>737</v>
      </c>
      <c r="U1" s="107" t="s">
        <v>548</v>
      </c>
      <c r="V1" s="107" t="s">
        <v>549</v>
      </c>
      <c r="W1" s="107" t="str">
        <f t="shared" ref="W1:W37" si="0">U1&amp;"_"&amp;V1</f>
        <v>[F]_[R]</v>
      </c>
      <c r="X1" s="107" t="s">
        <v>203</v>
      </c>
      <c r="Y1" s="107" t="s">
        <v>550</v>
      </c>
      <c r="Z1" s="107" t="s">
        <v>551</v>
      </c>
      <c r="AA1" s="165"/>
      <c r="AB1" s="165"/>
      <c r="AC1" s="118" t="s">
        <v>936</v>
      </c>
      <c r="AD1" s="118" t="s">
        <v>937</v>
      </c>
      <c r="AE1" s="118" t="s">
        <v>938</v>
      </c>
    </row>
    <row r="2" spans="1:31" x14ac:dyDescent="0.25">
      <c r="A2" s="165" t="s">
        <v>204</v>
      </c>
      <c r="B2" s="165" t="s">
        <v>205</v>
      </c>
      <c r="C2" s="165" t="s">
        <v>206</v>
      </c>
      <c r="D2" s="165" t="s">
        <v>809</v>
      </c>
      <c r="E2" s="165">
        <v>38.4</v>
      </c>
      <c r="F2" s="165"/>
      <c r="G2" s="165" t="s">
        <v>204</v>
      </c>
      <c r="H2" s="165" t="s">
        <v>205</v>
      </c>
      <c r="I2" s="165" t="s">
        <v>206</v>
      </c>
      <c r="J2" s="165" t="s">
        <v>809</v>
      </c>
      <c r="K2" s="165">
        <v>38.4</v>
      </c>
      <c r="L2" s="165">
        <f>AVERAGE(K2:K3)</f>
        <v>39.799999999999997</v>
      </c>
      <c r="M2" s="165"/>
      <c r="N2" s="107">
        <v>50</v>
      </c>
      <c r="O2" s="107">
        <v>50</v>
      </c>
      <c r="P2" s="107" t="str">
        <f t="shared" ref="P2:P37" si="1">N2&amp;"_"&amp;O2</f>
        <v>50_50</v>
      </c>
      <c r="Q2" s="165">
        <v>39.799999999999997</v>
      </c>
      <c r="R2" s="108">
        <f>AVERAGE(Q2:Q7)</f>
        <v>37.707499999999989</v>
      </c>
      <c r="S2" s="108">
        <f>STDEV(Q2:Q5)</f>
        <v>1.2622862855417003</v>
      </c>
      <c r="T2" s="165"/>
      <c r="U2" s="107">
        <v>50</v>
      </c>
      <c r="V2" s="107">
        <v>50</v>
      </c>
      <c r="W2" s="107" t="str">
        <f t="shared" si="0"/>
        <v>50_50</v>
      </c>
      <c r="X2" s="165">
        <v>39.799999999999997</v>
      </c>
      <c r="Y2" s="108">
        <f>AVERAGE(X2,X4:X7)</f>
        <v>40.602000000000004</v>
      </c>
      <c r="Z2" s="108" t="e">
        <f>STDEV(X2:X5)</f>
        <v>#DIV/0!</v>
      </c>
      <c r="AA2" s="165"/>
      <c r="AB2" s="165"/>
      <c r="AC2" s="107">
        <v>50</v>
      </c>
      <c r="AD2" s="84">
        <f>R2</f>
        <v>37.707499999999989</v>
      </c>
      <c r="AE2" s="84">
        <f>Y2</f>
        <v>40.602000000000004</v>
      </c>
    </row>
    <row r="3" spans="1:31" x14ac:dyDescent="0.25">
      <c r="A3" s="165" t="s">
        <v>204</v>
      </c>
      <c r="B3" s="165" t="s">
        <v>209</v>
      </c>
      <c r="C3" s="165" t="s">
        <v>206</v>
      </c>
      <c r="D3" s="165" t="s">
        <v>210</v>
      </c>
      <c r="E3" s="165">
        <v>29.94</v>
      </c>
      <c r="F3" s="165"/>
      <c r="G3" s="165" t="s">
        <v>211</v>
      </c>
      <c r="H3" s="165" t="s">
        <v>205</v>
      </c>
      <c r="I3" s="165" t="s">
        <v>206</v>
      </c>
      <c r="J3" s="165" t="s">
        <v>809</v>
      </c>
      <c r="K3" s="165">
        <v>41.2</v>
      </c>
      <c r="L3" s="165"/>
      <c r="M3" s="165"/>
      <c r="N3" s="107">
        <v>100</v>
      </c>
      <c r="O3" s="107">
        <v>50</v>
      </c>
      <c r="P3" s="107" t="str">
        <f t="shared" si="1"/>
        <v>100_50</v>
      </c>
      <c r="Q3" s="165">
        <v>36.75</v>
      </c>
      <c r="R3" s="108"/>
      <c r="S3" s="108"/>
      <c r="T3" s="165"/>
      <c r="U3" s="107">
        <v>50</v>
      </c>
      <c r="V3" s="107">
        <v>100</v>
      </c>
      <c r="W3" s="107" t="str">
        <f t="shared" si="0"/>
        <v>50_100</v>
      </c>
      <c r="X3" s="165" t="e">
        <v>#DIV/0!</v>
      </c>
      <c r="Y3" s="108"/>
      <c r="Z3" s="108"/>
      <c r="AA3" s="165"/>
      <c r="AB3" s="165"/>
      <c r="AC3" s="107">
        <v>100</v>
      </c>
      <c r="AD3" s="84">
        <f>R8</f>
        <v>35.249000000000002</v>
      </c>
      <c r="AE3" s="84">
        <f>Y8</f>
        <v>36.566666666666663</v>
      </c>
    </row>
    <row r="4" spans="1:31" x14ac:dyDescent="0.25">
      <c r="A4" s="165" t="s">
        <v>211</v>
      </c>
      <c r="B4" s="165" t="s">
        <v>205</v>
      </c>
      <c r="C4" s="165" t="s">
        <v>206</v>
      </c>
      <c r="D4" s="165" t="s">
        <v>809</v>
      </c>
      <c r="E4" s="165">
        <v>41.2</v>
      </c>
      <c r="F4" s="165"/>
      <c r="G4" s="165" t="s">
        <v>212</v>
      </c>
      <c r="H4" s="165" t="s">
        <v>205</v>
      </c>
      <c r="I4" s="165" t="s">
        <v>206</v>
      </c>
      <c r="J4" s="165" t="s">
        <v>809</v>
      </c>
      <c r="K4" s="165">
        <v>36.75</v>
      </c>
      <c r="L4" s="165">
        <f>AVERAGE(K4:K5)</f>
        <v>36.75</v>
      </c>
      <c r="M4" s="165"/>
      <c r="N4" s="107">
        <v>200</v>
      </c>
      <c r="O4" s="107">
        <v>50</v>
      </c>
      <c r="P4" s="107" t="str">
        <f t="shared" si="1"/>
        <v>200_50</v>
      </c>
      <c r="Q4" s="165">
        <v>38.069999999999993</v>
      </c>
      <c r="R4" s="108"/>
      <c r="S4" s="108"/>
      <c r="T4" s="165"/>
      <c r="U4" s="107">
        <v>50</v>
      </c>
      <c r="V4" s="107">
        <v>200</v>
      </c>
      <c r="W4" s="107" t="str">
        <f t="shared" si="0"/>
        <v>50_200</v>
      </c>
      <c r="X4" s="165">
        <v>42.09</v>
      </c>
      <c r="Y4" s="108"/>
      <c r="Z4" s="108"/>
      <c r="AA4" s="165"/>
      <c r="AB4" s="165"/>
      <c r="AC4" s="107">
        <v>200</v>
      </c>
      <c r="AD4" s="84">
        <f>R14</f>
        <v>34.877499999999998</v>
      </c>
      <c r="AE4" s="84">
        <f>Y14</f>
        <v>33.817500000000003</v>
      </c>
    </row>
    <row r="5" spans="1:31" x14ac:dyDescent="0.25">
      <c r="A5" s="165" t="s">
        <v>211</v>
      </c>
      <c r="B5" s="165" t="s">
        <v>209</v>
      </c>
      <c r="C5" s="165" t="s">
        <v>206</v>
      </c>
      <c r="D5" s="165" t="s">
        <v>210</v>
      </c>
      <c r="E5" s="165">
        <v>30.19</v>
      </c>
      <c r="F5" s="165"/>
      <c r="G5" s="165" t="s">
        <v>213</v>
      </c>
      <c r="H5" s="165" t="s">
        <v>205</v>
      </c>
      <c r="I5" s="165" t="s">
        <v>206</v>
      </c>
      <c r="J5" s="165" t="s">
        <v>809</v>
      </c>
      <c r="K5" s="165" t="s">
        <v>220</v>
      </c>
      <c r="L5" s="165"/>
      <c r="M5" s="165"/>
      <c r="N5" s="107">
        <v>400</v>
      </c>
      <c r="O5" s="107">
        <v>50</v>
      </c>
      <c r="P5" s="107" t="str">
        <f t="shared" si="1"/>
        <v>400_50</v>
      </c>
      <c r="Q5" s="165">
        <v>37.840000000000003</v>
      </c>
      <c r="R5" s="108"/>
      <c r="S5" s="108"/>
      <c r="T5" s="165"/>
      <c r="U5" s="107">
        <v>50</v>
      </c>
      <c r="V5" s="107">
        <v>400</v>
      </c>
      <c r="W5" s="107" t="str">
        <f t="shared" si="0"/>
        <v>50_400</v>
      </c>
      <c r="X5" s="165">
        <v>36.81</v>
      </c>
      <c r="Y5" s="108"/>
      <c r="Z5" s="108"/>
      <c r="AA5" s="165"/>
      <c r="AB5" s="165"/>
      <c r="AC5" s="107">
        <v>400</v>
      </c>
      <c r="AD5" s="84">
        <f>R20</f>
        <v>33.400833333333331</v>
      </c>
      <c r="AE5" s="84">
        <f>Y20</f>
        <v>33.048333333333339</v>
      </c>
    </row>
    <row r="6" spans="1:31" x14ac:dyDescent="0.25">
      <c r="A6" s="165" t="s">
        <v>212</v>
      </c>
      <c r="B6" s="165" t="s">
        <v>205</v>
      </c>
      <c r="C6" s="165" t="s">
        <v>206</v>
      </c>
      <c r="D6" s="165" t="s">
        <v>809</v>
      </c>
      <c r="E6" s="165">
        <v>36.75</v>
      </c>
      <c r="F6" s="165"/>
      <c r="G6" s="165" t="s">
        <v>214</v>
      </c>
      <c r="H6" s="165" t="s">
        <v>205</v>
      </c>
      <c r="I6" s="165" t="s">
        <v>206</v>
      </c>
      <c r="J6" s="165" t="s">
        <v>809</v>
      </c>
      <c r="K6" s="165">
        <v>38.729999999999997</v>
      </c>
      <c r="L6" s="165">
        <f>AVERAGE(K6:K7)</f>
        <v>38.069999999999993</v>
      </c>
      <c r="M6" s="165"/>
      <c r="N6" s="107">
        <v>600</v>
      </c>
      <c r="O6" s="107">
        <v>50</v>
      </c>
      <c r="P6" s="107" t="str">
        <f t="shared" si="1"/>
        <v>600_50</v>
      </c>
      <c r="Q6" s="165">
        <v>37.019999999999996</v>
      </c>
      <c r="R6" s="108"/>
      <c r="S6" s="108"/>
      <c r="T6" s="165"/>
      <c r="U6" s="107">
        <v>50</v>
      </c>
      <c r="V6" s="107">
        <v>600</v>
      </c>
      <c r="W6" s="107" t="str">
        <f t="shared" si="0"/>
        <v>50_600</v>
      </c>
      <c r="X6" s="165">
        <v>42.07</v>
      </c>
      <c r="Y6" s="108"/>
      <c r="Z6" s="108"/>
      <c r="AA6" s="165"/>
      <c r="AB6" s="165"/>
      <c r="AC6" s="107">
        <v>600</v>
      </c>
      <c r="AD6" s="84">
        <f>R26</f>
        <v>33.758333333333333</v>
      </c>
      <c r="AE6" s="84">
        <f>Y26</f>
        <v>32.665833333333332</v>
      </c>
    </row>
    <row r="7" spans="1:31" x14ac:dyDescent="0.25">
      <c r="A7" s="165" t="s">
        <v>212</v>
      </c>
      <c r="B7" s="165" t="s">
        <v>209</v>
      </c>
      <c r="C7" s="165" t="s">
        <v>206</v>
      </c>
      <c r="D7" s="165" t="s">
        <v>210</v>
      </c>
      <c r="E7" s="165">
        <v>30.7</v>
      </c>
      <c r="F7" s="165"/>
      <c r="G7" s="165" t="s">
        <v>215</v>
      </c>
      <c r="H7" s="165" t="s">
        <v>205</v>
      </c>
      <c r="I7" s="165" t="s">
        <v>206</v>
      </c>
      <c r="J7" s="165" t="s">
        <v>809</v>
      </c>
      <c r="K7" s="165">
        <v>37.409999999999997</v>
      </c>
      <c r="L7" s="165"/>
      <c r="M7" s="165"/>
      <c r="N7" s="107">
        <v>800</v>
      </c>
      <c r="O7" s="107">
        <v>50</v>
      </c>
      <c r="P7" s="107" t="str">
        <f t="shared" si="1"/>
        <v>800_50</v>
      </c>
      <c r="Q7" s="165">
        <v>36.765000000000001</v>
      </c>
      <c r="R7" s="108"/>
      <c r="S7" s="108"/>
      <c r="T7" s="165"/>
      <c r="U7" s="107">
        <v>50</v>
      </c>
      <c r="V7" s="107">
        <v>800</v>
      </c>
      <c r="W7" s="107" t="str">
        <f t="shared" si="0"/>
        <v>50_800</v>
      </c>
      <c r="X7" s="165">
        <v>42.24</v>
      </c>
      <c r="Y7" s="108"/>
      <c r="Z7" s="108"/>
      <c r="AA7" s="165"/>
      <c r="AB7" s="165"/>
      <c r="AC7" s="107">
        <v>800</v>
      </c>
      <c r="AD7" s="84">
        <f>R32</f>
        <v>33.320833333333333</v>
      </c>
      <c r="AE7" s="84">
        <f>Y32</f>
        <v>32.505833333333335</v>
      </c>
    </row>
    <row r="8" spans="1:31" x14ac:dyDescent="0.25">
      <c r="A8" s="165" t="s">
        <v>213</v>
      </c>
      <c r="B8" s="165" t="s">
        <v>205</v>
      </c>
      <c r="C8" s="165" t="s">
        <v>206</v>
      </c>
      <c r="D8" s="165" t="s">
        <v>809</v>
      </c>
      <c r="E8" s="165" t="s">
        <v>220</v>
      </c>
      <c r="F8" s="165"/>
      <c r="G8" s="165" t="s">
        <v>216</v>
      </c>
      <c r="H8" s="165" t="s">
        <v>205</v>
      </c>
      <c r="I8" s="165" t="s">
        <v>206</v>
      </c>
      <c r="J8" s="165" t="s">
        <v>809</v>
      </c>
      <c r="K8" s="165">
        <v>38.020000000000003</v>
      </c>
      <c r="L8" s="165">
        <f>AVERAGE(K8:K9)</f>
        <v>37.840000000000003</v>
      </c>
      <c r="M8" s="165"/>
      <c r="N8" s="107">
        <v>50</v>
      </c>
      <c r="O8" s="107">
        <v>100</v>
      </c>
      <c r="P8" s="107" t="str">
        <f t="shared" si="1"/>
        <v>50_100</v>
      </c>
      <c r="Q8" s="165" t="e">
        <v>#DIV/0!</v>
      </c>
      <c r="R8" s="108">
        <f>AVERAGE(Q9:Q13)</f>
        <v>35.249000000000002</v>
      </c>
      <c r="S8" s="108" t="e">
        <f>STDEV(Q8:Q13)</f>
        <v>#DIV/0!</v>
      </c>
      <c r="T8" s="165"/>
      <c r="U8" s="107">
        <v>100</v>
      </c>
      <c r="V8" s="107">
        <v>50</v>
      </c>
      <c r="W8" s="107" t="str">
        <f t="shared" si="0"/>
        <v>100_50</v>
      </c>
      <c r="X8" s="165">
        <v>36.75</v>
      </c>
      <c r="Y8" s="108">
        <f>AVERAGE(X8:X13)</f>
        <v>36.566666666666663</v>
      </c>
      <c r="Z8" s="108">
        <f>STDEV(X8:X13)</f>
        <v>1.3579089316543533</v>
      </c>
      <c r="AA8" s="165"/>
      <c r="AB8" s="165"/>
      <c r="AC8" s="165"/>
      <c r="AD8" s="165"/>
      <c r="AE8" s="165"/>
    </row>
    <row r="9" spans="1:31" x14ac:dyDescent="0.25">
      <c r="A9" s="165" t="s">
        <v>213</v>
      </c>
      <c r="B9" s="165" t="s">
        <v>209</v>
      </c>
      <c r="C9" s="165" t="s">
        <v>206</v>
      </c>
      <c r="D9" s="165" t="s">
        <v>210</v>
      </c>
      <c r="E9" s="165">
        <v>30.81</v>
      </c>
      <c r="F9" s="165"/>
      <c r="G9" s="165" t="s">
        <v>217</v>
      </c>
      <c r="H9" s="165" t="s">
        <v>205</v>
      </c>
      <c r="I9" s="165" t="s">
        <v>206</v>
      </c>
      <c r="J9" s="165" t="s">
        <v>809</v>
      </c>
      <c r="K9" s="165">
        <v>37.659999999999997</v>
      </c>
      <c r="L9" s="165"/>
      <c r="M9" s="165"/>
      <c r="N9" s="107">
        <v>100</v>
      </c>
      <c r="O9" s="107">
        <v>100</v>
      </c>
      <c r="P9" s="107" t="str">
        <f t="shared" si="1"/>
        <v>100_100</v>
      </c>
      <c r="Q9" s="165">
        <v>38.909999999999997</v>
      </c>
      <c r="R9" s="108"/>
      <c r="S9" s="108"/>
      <c r="T9" s="165"/>
      <c r="U9" s="107">
        <v>100</v>
      </c>
      <c r="V9" s="107">
        <v>100</v>
      </c>
      <c r="W9" s="107" t="str">
        <f t="shared" si="0"/>
        <v>100_100</v>
      </c>
      <c r="X9" s="165">
        <v>38.909999999999997</v>
      </c>
      <c r="Y9" s="108"/>
      <c r="Z9" s="108"/>
      <c r="AA9" s="165"/>
      <c r="AB9" s="165"/>
      <c r="AC9" s="165"/>
      <c r="AD9" s="165"/>
      <c r="AE9" s="165"/>
    </row>
    <row r="10" spans="1:31" x14ac:dyDescent="0.25">
      <c r="A10" s="165" t="s">
        <v>214</v>
      </c>
      <c r="B10" s="165" t="s">
        <v>205</v>
      </c>
      <c r="C10" s="165" t="s">
        <v>206</v>
      </c>
      <c r="D10" s="165" t="s">
        <v>809</v>
      </c>
      <c r="E10" s="165">
        <v>38.729999999999997</v>
      </c>
      <c r="F10" s="165"/>
      <c r="G10" s="165" t="s">
        <v>218</v>
      </c>
      <c r="H10" s="165" t="s">
        <v>205</v>
      </c>
      <c r="I10" s="165" t="s">
        <v>206</v>
      </c>
      <c r="J10" s="165" t="s">
        <v>809</v>
      </c>
      <c r="K10" s="165">
        <v>36.82</v>
      </c>
      <c r="L10" s="165">
        <f>AVERAGE(K10:K11)</f>
        <v>37.019999999999996</v>
      </c>
      <c r="M10" s="165"/>
      <c r="N10" s="107">
        <v>200</v>
      </c>
      <c r="O10" s="107">
        <v>100</v>
      </c>
      <c r="P10" s="107" t="str">
        <f t="shared" si="1"/>
        <v>200_100</v>
      </c>
      <c r="Q10" s="165">
        <v>35.36</v>
      </c>
      <c r="R10" s="108"/>
      <c r="S10" s="108"/>
      <c r="T10" s="165"/>
      <c r="U10" s="107">
        <v>100</v>
      </c>
      <c r="V10" s="107">
        <v>200</v>
      </c>
      <c r="W10" s="107" t="str">
        <f t="shared" si="0"/>
        <v>100_200</v>
      </c>
      <c r="X10" s="165">
        <v>37.125</v>
      </c>
      <c r="Y10" s="108"/>
      <c r="Z10" s="108"/>
      <c r="AA10" s="165"/>
      <c r="AB10" s="165"/>
      <c r="AC10" s="165"/>
      <c r="AD10" s="165"/>
      <c r="AE10" s="165"/>
    </row>
    <row r="11" spans="1:31" x14ac:dyDescent="0.25">
      <c r="A11" s="165" t="s">
        <v>214</v>
      </c>
      <c r="B11" s="165" t="s">
        <v>209</v>
      </c>
      <c r="C11" s="165" t="s">
        <v>206</v>
      </c>
      <c r="D11" s="165" t="s">
        <v>210</v>
      </c>
      <c r="E11" s="165">
        <v>31.41</v>
      </c>
      <c r="F11" s="165"/>
      <c r="G11" s="165" t="s">
        <v>219</v>
      </c>
      <c r="H11" s="165" t="s">
        <v>205</v>
      </c>
      <c r="I11" s="165" t="s">
        <v>206</v>
      </c>
      <c r="J11" s="165" t="s">
        <v>809</v>
      </c>
      <c r="K11" s="165">
        <v>37.22</v>
      </c>
      <c r="L11" s="165"/>
      <c r="M11" s="165"/>
      <c r="N11" s="107">
        <v>400</v>
      </c>
      <c r="O11" s="107">
        <v>100</v>
      </c>
      <c r="P11" s="107" t="str">
        <f t="shared" si="1"/>
        <v>400_100</v>
      </c>
      <c r="Q11" s="165">
        <v>34.245000000000005</v>
      </c>
      <c r="R11" s="108"/>
      <c r="S11" s="108"/>
      <c r="T11" s="165"/>
      <c r="U11" s="107">
        <v>100</v>
      </c>
      <c r="V11" s="107">
        <v>400</v>
      </c>
      <c r="W11" s="107" t="str">
        <f t="shared" si="0"/>
        <v>100_400</v>
      </c>
      <c r="X11" s="165">
        <v>35.840000000000003</v>
      </c>
      <c r="Y11" s="108"/>
      <c r="Z11" s="108"/>
      <c r="AA11" s="165"/>
      <c r="AB11" s="165"/>
      <c r="AC11" s="165"/>
      <c r="AD11" s="165"/>
      <c r="AE11" s="165"/>
    </row>
    <row r="12" spans="1:31" x14ac:dyDescent="0.25">
      <c r="A12" s="165" t="s">
        <v>215</v>
      </c>
      <c r="B12" s="165" t="s">
        <v>205</v>
      </c>
      <c r="C12" s="165" t="s">
        <v>206</v>
      </c>
      <c r="D12" s="165" t="s">
        <v>809</v>
      </c>
      <c r="E12" s="165">
        <v>37.409999999999997</v>
      </c>
      <c r="F12" s="165"/>
      <c r="G12" s="165" t="s">
        <v>221</v>
      </c>
      <c r="H12" s="165" t="s">
        <v>205</v>
      </c>
      <c r="I12" s="165" t="s">
        <v>206</v>
      </c>
      <c r="J12" s="165" t="s">
        <v>809</v>
      </c>
      <c r="K12" s="165">
        <v>36.21</v>
      </c>
      <c r="L12" s="165">
        <f>AVERAGE(K12:K13)</f>
        <v>36.765000000000001</v>
      </c>
      <c r="M12" s="165"/>
      <c r="N12" s="107">
        <v>600</v>
      </c>
      <c r="O12" s="107">
        <v>100</v>
      </c>
      <c r="P12" s="107" t="str">
        <f t="shared" si="1"/>
        <v>600_100</v>
      </c>
      <c r="Q12" s="165">
        <v>33.92</v>
      </c>
      <c r="R12" s="108"/>
      <c r="S12" s="108"/>
      <c r="T12" s="165"/>
      <c r="U12" s="107">
        <v>100</v>
      </c>
      <c r="V12" s="107">
        <v>600</v>
      </c>
      <c r="W12" s="107" t="str">
        <f t="shared" si="0"/>
        <v>100_600</v>
      </c>
      <c r="X12" s="165">
        <v>35.58</v>
      </c>
      <c r="Y12" s="108"/>
      <c r="Z12" s="108"/>
      <c r="AA12" s="165"/>
      <c r="AB12" s="165"/>
      <c r="AC12" s="165"/>
      <c r="AD12" s="165"/>
      <c r="AE12" s="165"/>
    </row>
    <row r="13" spans="1:31" x14ac:dyDescent="0.25">
      <c r="A13" s="165" t="s">
        <v>215</v>
      </c>
      <c r="B13" s="165" t="s">
        <v>209</v>
      </c>
      <c r="C13" s="165" t="s">
        <v>206</v>
      </c>
      <c r="D13" s="165" t="s">
        <v>210</v>
      </c>
      <c r="E13" s="165">
        <v>30.9</v>
      </c>
      <c r="F13" s="165"/>
      <c r="G13" s="165" t="s">
        <v>222</v>
      </c>
      <c r="H13" s="165" t="s">
        <v>205</v>
      </c>
      <c r="I13" s="165" t="s">
        <v>206</v>
      </c>
      <c r="J13" s="165" t="s">
        <v>809</v>
      </c>
      <c r="K13" s="165">
        <v>37.32</v>
      </c>
      <c r="L13" s="165"/>
      <c r="M13" s="165"/>
      <c r="N13" s="107">
        <v>800</v>
      </c>
      <c r="O13" s="107">
        <v>100</v>
      </c>
      <c r="P13" s="107" t="str">
        <f t="shared" si="1"/>
        <v>800_100</v>
      </c>
      <c r="Q13" s="165">
        <v>33.81</v>
      </c>
      <c r="R13" s="108"/>
      <c r="S13" s="108"/>
      <c r="T13" s="165"/>
      <c r="U13" s="107">
        <v>100</v>
      </c>
      <c r="V13" s="107">
        <v>800</v>
      </c>
      <c r="W13" s="107" t="str">
        <f t="shared" si="0"/>
        <v>100_800</v>
      </c>
      <c r="X13" s="165">
        <v>35.194999999999993</v>
      </c>
      <c r="Y13" s="108"/>
      <c r="Z13" s="108"/>
      <c r="AA13" s="165"/>
      <c r="AB13" s="165"/>
      <c r="AC13" s="165"/>
      <c r="AD13" s="165"/>
      <c r="AE13" s="165"/>
    </row>
    <row r="14" spans="1:31" x14ac:dyDescent="0.25">
      <c r="A14" s="165" t="s">
        <v>216</v>
      </c>
      <c r="B14" s="165" t="s">
        <v>205</v>
      </c>
      <c r="C14" s="165" t="s">
        <v>206</v>
      </c>
      <c r="D14" s="165" t="s">
        <v>809</v>
      </c>
      <c r="E14" s="165">
        <v>38.020000000000003</v>
      </c>
      <c r="F14" s="165"/>
      <c r="G14" s="165" t="s">
        <v>223</v>
      </c>
      <c r="H14" s="165" t="s">
        <v>205</v>
      </c>
      <c r="I14" s="165" t="s">
        <v>206</v>
      </c>
      <c r="J14" s="165" t="s">
        <v>809</v>
      </c>
      <c r="K14" s="165" t="s">
        <v>220</v>
      </c>
      <c r="L14" s="165" t="e">
        <f>AVERAGE(K14:K15)</f>
        <v>#DIV/0!</v>
      </c>
      <c r="M14" s="165"/>
      <c r="N14" s="107">
        <v>50</v>
      </c>
      <c r="O14" s="107">
        <v>200</v>
      </c>
      <c r="P14" s="107" t="str">
        <f t="shared" si="1"/>
        <v>50_200</v>
      </c>
      <c r="Q14" s="165">
        <v>42.09</v>
      </c>
      <c r="R14" s="108">
        <f>AVERAGE(Q14:Q19)</f>
        <v>34.877499999999998</v>
      </c>
      <c r="S14" s="108">
        <f>STDEV(Q14:Q19)</f>
        <v>4.008340990983748</v>
      </c>
      <c r="T14" s="165"/>
      <c r="U14" s="107">
        <v>200</v>
      </c>
      <c r="V14" s="107">
        <v>50</v>
      </c>
      <c r="W14" s="107" t="str">
        <f t="shared" si="0"/>
        <v>200_50</v>
      </c>
      <c r="X14" s="165">
        <v>38.069999999999993</v>
      </c>
      <c r="Y14" s="108">
        <f>AVERAGE(X14:X19)</f>
        <v>33.817500000000003</v>
      </c>
      <c r="Z14" s="108">
        <f>STDEV(X14:X19)</f>
        <v>2.4889631375333754</v>
      </c>
      <c r="AA14" s="165"/>
      <c r="AB14" s="165"/>
      <c r="AC14" s="165"/>
      <c r="AD14" s="165"/>
      <c r="AE14" s="165"/>
    </row>
    <row r="15" spans="1:31" x14ac:dyDescent="0.25">
      <c r="A15" s="165" t="s">
        <v>216</v>
      </c>
      <c r="B15" s="165" t="s">
        <v>209</v>
      </c>
      <c r="C15" s="165" t="s">
        <v>206</v>
      </c>
      <c r="D15" s="165" t="s">
        <v>210</v>
      </c>
      <c r="E15" s="165">
        <v>31.37</v>
      </c>
      <c r="F15" s="165"/>
      <c r="G15" s="165" t="s">
        <v>234</v>
      </c>
      <c r="H15" s="165" t="s">
        <v>205</v>
      </c>
      <c r="I15" s="165" t="s">
        <v>206</v>
      </c>
      <c r="J15" s="165" t="s">
        <v>809</v>
      </c>
      <c r="K15" s="165" t="s">
        <v>220</v>
      </c>
      <c r="L15" s="165"/>
      <c r="M15" s="165"/>
      <c r="N15" s="107">
        <v>100</v>
      </c>
      <c r="O15" s="107">
        <v>200</v>
      </c>
      <c r="P15" s="107" t="str">
        <f t="shared" si="1"/>
        <v>100_200</v>
      </c>
      <c r="Q15" s="165">
        <v>37.125</v>
      </c>
      <c r="R15" s="108"/>
      <c r="S15" s="108"/>
      <c r="T15" s="165"/>
      <c r="U15" s="107">
        <v>200</v>
      </c>
      <c r="V15" s="107">
        <v>100</v>
      </c>
      <c r="W15" s="107" t="str">
        <f t="shared" si="0"/>
        <v>200_100</v>
      </c>
      <c r="X15" s="165">
        <v>35.36</v>
      </c>
      <c r="Y15" s="108"/>
      <c r="Z15" s="108"/>
      <c r="AA15" s="165"/>
      <c r="AB15" s="165"/>
      <c r="AC15" s="165"/>
      <c r="AD15" s="165"/>
      <c r="AE15" s="165"/>
    </row>
    <row r="16" spans="1:31" x14ac:dyDescent="0.25">
      <c r="A16" s="165" t="s">
        <v>217</v>
      </c>
      <c r="B16" s="165" t="s">
        <v>205</v>
      </c>
      <c r="C16" s="165" t="s">
        <v>206</v>
      </c>
      <c r="D16" s="165" t="s">
        <v>809</v>
      </c>
      <c r="E16" s="165">
        <v>37.659999999999997</v>
      </c>
      <c r="F16" s="165"/>
      <c r="G16" s="165" t="s">
        <v>235</v>
      </c>
      <c r="H16" s="165" t="s">
        <v>205</v>
      </c>
      <c r="I16" s="165" t="s">
        <v>206</v>
      </c>
      <c r="J16" s="165" t="s">
        <v>809</v>
      </c>
      <c r="K16" s="165">
        <v>38.46</v>
      </c>
      <c r="L16" s="165">
        <f>AVERAGE(K16:K17)</f>
        <v>38.909999999999997</v>
      </c>
      <c r="M16" s="165"/>
      <c r="N16" s="107">
        <v>200</v>
      </c>
      <c r="O16" s="107">
        <v>200</v>
      </c>
      <c r="P16" s="107" t="str">
        <f t="shared" si="1"/>
        <v>200_200</v>
      </c>
      <c r="Q16" s="165">
        <v>33.32</v>
      </c>
      <c r="R16" s="108"/>
      <c r="S16" s="108"/>
      <c r="T16" s="165"/>
      <c r="U16" s="107">
        <v>200</v>
      </c>
      <c r="V16" s="107">
        <v>200</v>
      </c>
      <c r="W16" s="107" t="str">
        <f t="shared" si="0"/>
        <v>200_200</v>
      </c>
      <c r="X16" s="165">
        <v>33.32</v>
      </c>
      <c r="Y16" s="108"/>
      <c r="Z16" s="108"/>
      <c r="AA16" s="165"/>
      <c r="AB16" s="165"/>
      <c r="AC16" s="165"/>
      <c r="AD16" s="165"/>
      <c r="AE16" s="165"/>
    </row>
    <row r="17" spans="1:33" x14ac:dyDescent="0.25">
      <c r="A17" s="165" t="s">
        <v>217</v>
      </c>
      <c r="B17" s="165" t="s">
        <v>209</v>
      </c>
      <c r="C17" s="165" t="s">
        <v>206</v>
      </c>
      <c r="D17" s="165" t="s">
        <v>210</v>
      </c>
      <c r="E17" s="165">
        <v>31.05</v>
      </c>
      <c r="F17" s="165"/>
      <c r="G17" s="165" t="s">
        <v>236</v>
      </c>
      <c r="H17" s="165" t="s">
        <v>205</v>
      </c>
      <c r="I17" s="165" t="s">
        <v>206</v>
      </c>
      <c r="J17" s="165" t="s">
        <v>809</v>
      </c>
      <c r="K17" s="165">
        <v>39.36</v>
      </c>
      <c r="L17" s="165"/>
      <c r="M17" s="165"/>
      <c r="N17" s="107">
        <v>400</v>
      </c>
      <c r="O17" s="107">
        <v>200</v>
      </c>
      <c r="P17" s="107" t="str">
        <f t="shared" si="1"/>
        <v>400_200</v>
      </c>
      <c r="Q17" s="165">
        <v>32.230000000000004</v>
      </c>
      <c r="R17" s="108"/>
      <c r="S17" s="108"/>
      <c r="T17" s="165"/>
      <c r="U17" s="107">
        <v>200</v>
      </c>
      <c r="V17" s="107">
        <v>400</v>
      </c>
      <c r="W17" s="107" t="str">
        <f t="shared" si="0"/>
        <v>200_400</v>
      </c>
      <c r="X17" s="165">
        <v>32.695</v>
      </c>
      <c r="Y17" s="108"/>
      <c r="Z17" s="108"/>
      <c r="AA17" s="165"/>
      <c r="AB17" s="165"/>
      <c r="AC17" s="165"/>
      <c r="AD17" s="165"/>
      <c r="AE17" s="165"/>
      <c r="AF17" s="165"/>
      <c r="AG17" s="165"/>
    </row>
    <row r="18" spans="1:33" x14ac:dyDescent="0.25">
      <c r="A18" s="165" t="s">
        <v>218</v>
      </c>
      <c r="B18" s="165" t="s">
        <v>205</v>
      </c>
      <c r="C18" s="165" t="s">
        <v>206</v>
      </c>
      <c r="D18" s="165" t="s">
        <v>809</v>
      </c>
      <c r="E18" s="165">
        <v>36.82</v>
      </c>
      <c r="F18" s="165"/>
      <c r="G18" s="165" t="s">
        <v>237</v>
      </c>
      <c r="H18" s="165" t="s">
        <v>205</v>
      </c>
      <c r="I18" s="165" t="s">
        <v>206</v>
      </c>
      <c r="J18" s="165" t="s">
        <v>809</v>
      </c>
      <c r="K18" s="165">
        <v>35.26</v>
      </c>
      <c r="L18" s="165">
        <f>AVERAGE(K18:K19)</f>
        <v>35.36</v>
      </c>
      <c r="M18" s="165"/>
      <c r="N18" s="107">
        <v>600</v>
      </c>
      <c r="O18" s="107">
        <v>200</v>
      </c>
      <c r="P18" s="107" t="str">
        <f t="shared" si="1"/>
        <v>600_200</v>
      </c>
      <c r="Q18" s="165">
        <v>32.35</v>
      </c>
      <c r="R18" s="108"/>
      <c r="S18" s="108"/>
      <c r="T18" s="165"/>
      <c r="U18" s="107">
        <v>200</v>
      </c>
      <c r="V18" s="107">
        <v>600</v>
      </c>
      <c r="W18" s="107" t="str">
        <f t="shared" si="0"/>
        <v>200_600</v>
      </c>
      <c r="X18" s="165">
        <v>32.11</v>
      </c>
      <c r="Y18" s="108"/>
      <c r="Z18" s="108"/>
      <c r="AA18" s="165"/>
      <c r="AB18" s="165"/>
      <c r="AC18" s="165"/>
      <c r="AD18" s="165"/>
      <c r="AE18" s="165"/>
      <c r="AF18" s="165"/>
      <c r="AG18" s="165"/>
    </row>
    <row r="19" spans="1:33" x14ac:dyDescent="0.25">
      <c r="A19" s="165" t="s">
        <v>218</v>
      </c>
      <c r="B19" s="165" t="s">
        <v>209</v>
      </c>
      <c r="C19" s="165" t="s">
        <v>206</v>
      </c>
      <c r="D19" s="165" t="s">
        <v>210</v>
      </c>
      <c r="E19" s="165">
        <v>31.45</v>
      </c>
      <c r="F19" s="165"/>
      <c r="G19" s="165" t="s">
        <v>238</v>
      </c>
      <c r="H19" s="165" t="s">
        <v>205</v>
      </c>
      <c r="I19" s="165" t="s">
        <v>206</v>
      </c>
      <c r="J19" s="165" t="s">
        <v>809</v>
      </c>
      <c r="K19" s="165">
        <v>35.46</v>
      </c>
      <c r="L19" s="165"/>
      <c r="M19" s="165"/>
      <c r="N19" s="107">
        <v>800</v>
      </c>
      <c r="O19" s="107">
        <v>200</v>
      </c>
      <c r="P19" s="107" t="str">
        <f t="shared" si="1"/>
        <v>800_200</v>
      </c>
      <c r="Q19" s="165">
        <v>32.15</v>
      </c>
      <c r="R19" s="108"/>
      <c r="S19" s="108"/>
      <c r="T19" s="165"/>
      <c r="U19" s="107">
        <v>200</v>
      </c>
      <c r="V19" s="107">
        <v>800</v>
      </c>
      <c r="W19" s="107" t="str">
        <f t="shared" si="0"/>
        <v>200_800</v>
      </c>
      <c r="X19" s="165">
        <v>31.35</v>
      </c>
      <c r="Y19" s="108"/>
      <c r="Z19" s="108"/>
      <c r="AA19" s="165"/>
      <c r="AB19" s="165"/>
      <c r="AC19" s="165"/>
      <c r="AD19" s="165"/>
      <c r="AE19" s="165"/>
      <c r="AF19" s="165"/>
      <c r="AG19" s="165"/>
    </row>
    <row r="20" spans="1:33" x14ac:dyDescent="0.25">
      <c r="A20" s="165" t="s">
        <v>219</v>
      </c>
      <c r="B20" s="165" t="s">
        <v>205</v>
      </c>
      <c r="C20" s="165" t="s">
        <v>206</v>
      </c>
      <c r="D20" s="165" t="s">
        <v>809</v>
      </c>
      <c r="E20" s="165">
        <v>37.22</v>
      </c>
      <c r="F20" s="165"/>
      <c r="G20" s="165" t="s">
        <v>239</v>
      </c>
      <c r="H20" s="165" t="s">
        <v>205</v>
      </c>
      <c r="I20" s="165" t="s">
        <v>206</v>
      </c>
      <c r="J20" s="165" t="s">
        <v>809</v>
      </c>
      <c r="K20" s="165">
        <v>34.520000000000003</v>
      </c>
      <c r="L20" s="165">
        <f>AVERAGE(K20:K21)</f>
        <v>34.245000000000005</v>
      </c>
      <c r="M20" s="165"/>
      <c r="N20" s="107">
        <v>50</v>
      </c>
      <c r="O20" s="107">
        <v>400</v>
      </c>
      <c r="P20" s="107" t="str">
        <f t="shared" si="1"/>
        <v>50_400</v>
      </c>
      <c r="Q20" s="165">
        <v>36.81</v>
      </c>
      <c r="R20" s="108">
        <f>AVERAGE(Q20:Q25)</f>
        <v>33.400833333333331</v>
      </c>
      <c r="S20" s="108">
        <f>STDEV(Q20:Q25)</f>
        <v>2.3207960200471458</v>
      </c>
      <c r="T20" s="165"/>
      <c r="U20" s="107">
        <v>400</v>
      </c>
      <c r="V20" s="107">
        <v>50</v>
      </c>
      <c r="W20" s="107" t="str">
        <f t="shared" si="0"/>
        <v>400_50</v>
      </c>
      <c r="X20" s="165">
        <v>37.840000000000003</v>
      </c>
      <c r="Y20" s="108">
        <f>AVERAGE(X20:X25)</f>
        <v>33.048333333333339</v>
      </c>
      <c r="Z20" s="108">
        <f>STDEV(X20:X25)</f>
        <v>2.6311512055879027</v>
      </c>
      <c r="AA20" s="165"/>
      <c r="AB20" s="165"/>
      <c r="AC20" s="165"/>
      <c r="AD20" s="165"/>
      <c r="AE20" s="165"/>
      <c r="AF20" s="165"/>
      <c r="AG20" s="165"/>
    </row>
    <row r="21" spans="1:33" x14ac:dyDescent="0.25">
      <c r="A21" s="165" t="s">
        <v>219</v>
      </c>
      <c r="B21" s="165" t="s">
        <v>209</v>
      </c>
      <c r="C21" s="165" t="s">
        <v>206</v>
      </c>
      <c r="D21" s="165" t="s">
        <v>210</v>
      </c>
      <c r="E21" s="165">
        <v>31.4</v>
      </c>
      <c r="F21" s="165"/>
      <c r="G21" s="165" t="s">
        <v>242</v>
      </c>
      <c r="H21" s="165" t="s">
        <v>205</v>
      </c>
      <c r="I21" s="165" t="s">
        <v>206</v>
      </c>
      <c r="J21" s="165" t="s">
        <v>809</v>
      </c>
      <c r="K21" s="165">
        <v>33.97</v>
      </c>
      <c r="L21" s="165"/>
      <c r="M21" s="165"/>
      <c r="N21" s="107">
        <v>100</v>
      </c>
      <c r="O21" s="107">
        <v>400</v>
      </c>
      <c r="P21" s="107" t="str">
        <f t="shared" si="1"/>
        <v>100_400</v>
      </c>
      <c r="Q21" s="165">
        <v>35.840000000000003</v>
      </c>
      <c r="R21" s="108"/>
      <c r="S21" s="108"/>
      <c r="T21" s="165"/>
      <c r="U21" s="107">
        <v>400</v>
      </c>
      <c r="V21" s="107">
        <v>100</v>
      </c>
      <c r="W21" s="107" t="str">
        <f t="shared" si="0"/>
        <v>400_100</v>
      </c>
      <c r="X21" s="165">
        <v>34.245000000000005</v>
      </c>
      <c r="Y21" s="108"/>
      <c r="Z21" s="108"/>
      <c r="AA21" s="165"/>
      <c r="AB21" s="165"/>
      <c r="AC21" s="165"/>
      <c r="AD21" s="165"/>
      <c r="AE21" s="165"/>
      <c r="AF21" s="165"/>
      <c r="AG21" s="165"/>
    </row>
    <row r="22" spans="1:33" x14ac:dyDescent="0.25">
      <c r="A22" s="165" t="s">
        <v>221</v>
      </c>
      <c r="B22" s="165" t="s">
        <v>205</v>
      </c>
      <c r="C22" s="165" t="s">
        <v>206</v>
      </c>
      <c r="D22" s="165" t="s">
        <v>809</v>
      </c>
      <c r="E22" s="165">
        <v>36.21</v>
      </c>
      <c r="F22" s="165"/>
      <c r="G22" s="165" t="s">
        <v>243</v>
      </c>
      <c r="H22" s="165" t="s">
        <v>205</v>
      </c>
      <c r="I22" s="165" t="s">
        <v>206</v>
      </c>
      <c r="J22" s="165" t="s">
        <v>809</v>
      </c>
      <c r="K22" s="165">
        <v>33.94</v>
      </c>
      <c r="L22" s="165">
        <f>AVERAGE(K22:K23)</f>
        <v>33.92</v>
      </c>
      <c r="M22" s="165"/>
      <c r="N22" s="107">
        <v>200</v>
      </c>
      <c r="O22" s="107">
        <v>400</v>
      </c>
      <c r="P22" s="107" t="str">
        <f t="shared" si="1"/>
        <v>200_400</v>
      </c>
      <c r="Q22" s="165">
        <v>32.695</v>
      </c>
      <c r="R22" s="108"/>
      <c r="S22" s="108"/>
      <c r="T22" s="165"/>
      <c r="U22" s="107">
        <v>400</v>
      </c>
      <c r="V22" s="107">
        <v>200</v>
      </c>
      <c r="W22" s="107" t="str">
        <f t="shared" si="0"/>
        <v>400_200</v>
      </c>
      <c r="X22" s="165">
        <v>32.230000000000004</v>
      </c>
      <c r="Y22" s="108"/>
      <c r="Z22" s="108"/>
      <c r="AA22" s="165"/>
      <c r="AB22" s="165"/>
      <c r="AC22" s="165"/>
      <c r="AD22" s="165"/>
      <c r="AE22" s="165"/>
      <c r="AF22" s="165"/>
      <c r="AG22" s="165" t="s">
        <v>939</v>
      </c>
    </row>
    <row r="23" spans="1:33" x14ac:dyDescent="0.25">
      <c r="A23" s="165" t="s">
        <v>221</v>
      </c>
      <c r="B23" s="165" t="s">
        <v>209</v>
      </c>
      <c r="C23" s="165" t="s">
        <v>206</v>
      </c>
      <c r="D23" s="165" t="s">
        <v>210</v>
      </c>
      <c r="E23" s="165">
        <v>30.76</v>
      </c>
      <c r="F23" s="165"/>
      <c r="G23" s="165" t="s">
        <v>244</v>
      </c>
      <c r="H23" s="165" t="s">
        <v>205</v>
      </c>
      <c r="I23" s="165" t="s">
        <v>206</v>
      </c>
      <c r="J23" s="165" t="s">
        <v>809</v>
      </c>
      <c r="K23" s="165">
        <v>33.9</v>
      </c>
      <c r="L23" s="165"/>
      <c r="M23" s="165"/>
      <c r="N23" s="107">
        <v>400</v>
      </c>
      <c r="O23" s="107">
        <v>400</v>
      </c>
      <c r="P23" s="107" t="str">
        <f t="shared" si="1"/>
        <v>400_400</v>
      </c>
      <c r="Q23" s="165">
        <v>31.795000000000002</v>
      </c>
      <c r="R23" s="108"/>
      <c r="S23" s="108"/>
      <c r="T23" s="165"/>
      <c r="U23" s="107">
        <v>400</v>
      </c>
      <c r="V23" s="107">
        <v>400</v>
      </c>
      <c r="W23" s="107" t="str">
        <f t="shared" si="0"/>
        <v>400_400</v>
      </c>
      <c r="X23" s="165">
        <v>31.795000000000002</v>
      </c>
      <c r="Y23" s="108"/>
      <c r="Z23" s="108"/>
      <c r="AA23" s="165"/>
      <c r="AB23" s="165"/>
      <c r="AC23" s="165"/>
      <c r="AD23" s="165"/>
      <c r="AE23" s="165"/>
      <c r="AF23" s="165"/>
      <c r="AG23" s="165"/>
    </row>
    <row r="24" spans="1:33" x14ac:dyDescent="0.25">
      <c r="A24" s="165" t="s">
        <v>222</v>
      </c>
      <c r="B24" s="165" t="s">
        <v>205</v>
      </c>
      <c r="C24" s="165" t="s">
        <v>206</v>
      </c>
      <c r="D24" s="165" t="s">
        <v>809</v>
      </c>
      <c r="E24" s="165">
        <v>37.32</v>
      </c>
      <c r="F24" s="165"/>
      <c r="G24" s="165" t="s">
        <v>245</v>
      </c>
      <c r="H24" s="165" t="s">
        <v>205</v>
      </c>
      <c r="I24" s="165" t="s">
        <v>206</v>
      </c>
      <c r="J24" s="165" t="s">
        <v>809</v>
      </c>
      <c r="K24" s="165">
        <v>33.92</v>
      </c>
      <c r="L24" s="165">
        <f>AVERAGE(K24:K25)</f>
        <v>33.81</v>
      </c>
      <c r="M24" s="165"/>
      <c r="N24" s="107">
        <v>600</v>
      </c>
      <c r="O24" s="107">
        <v>400</v>
      </c>
      <c r="P24" s="107" t="str">
        <f t="shared" si="1"/>
        <v>600_400</v>
      </c>
      <c r="Q24" s="165">
        <v>31.75</v>
      </c>
      <c r="R24" s="108"/>
      <c r="S24" s="108"/>
      <c r="T24" s="165"/>
      <c r="U24" s="107">
        <v>400</v>
      </c>
      <c r="V24" s="107">
        <v>600</v>
      </c>
      <c r="W24" s="107" t="str">
        <f t="shared" si="0"/>
        <v>400_600</v>
      </c>
      <c r="X24" s="165">
        <v>31.484999999999999</v>
      </c>
      <c r="Y24" s="108"/>
      <c r="Z24" s="108"/>
      <c r="AA24" s="165"/>
      <c r="AB24" s="165"/>
      <c r="AC24" s="165"/>
      <c r="AD24" s="165"/>
      <c r="AE24" s="165"/>
      <c r="AF24" s="165"/>
      <c r="AG24" s="165"/>
    </row>
    <row r="25" spans="1:33" x14ac:dyDescent="0.25">
      <c r="A25" s="165" t="s">
        <v>222</v>
      </c>
      <c r="B25" s="165" t="s">
        <v>209</v>
      </c>
      <c r="C25" s="165" t="s">
        <v>206</v>
      </c>
      <c r="D25" s="165" t="s">
        <v>210</v>
      </c>
      <c r="E25" s="165">
        <v>31.8</v>
      </c>
      <c r="F25" s="165"/>
      <c r="G25" s="165" t="s">
        <v>247</v>
      </c>
      <c r="H25" s="165" t="s">
        <v>205</v>
      </c>
      <c r="I25" s="165" t="s">
        <v>206</v>
      </c>
      <c r="J25" s="165" t="s">
        <v>809</v>
      </c>
      <c r="K25" s="165">
        <v>33.700000000000003</v>
      </c>
      <c r="L25" s="165"/>
      <c r="M25" s="165"/>
      <c r="N25" s="107">
        <v>800</v>
      </c>
      <c r="O25" s="107">
        <v>400</v>
      </c>
      <c r="P25" s="107" t="str">
        <f t="shared" si="1"/>
        <v>800_400</v>
      </c>
      <c r="Q25" s="165">
        <v>31.515000000000001</v>
      </c>
      <c r="R25" s="108"/>
      <c r="S25" s="108"/>
      <c r="T25" s="165"/>
      <c r="U25" s="107">
        <v>400</v>
      </c>
      <c r="V25" s="107">
        <v>800</v>
      </c>
      <c r="W25" s="107" t="str">
        <f t="shared" si="0"/>
        <v>400_800</v>
      </c>
      <c r="X25" s="165">
        <v>30.695</v>
      </c>
      <c r="Y25" s="108"/>
      <c r="Z25" s="108"/>
      <c r="AA25" s="165"/>
      <c r="AB25" s="165"/>
      <c r="AC25" s="165"/>
      <c r="AD25" s="165"/>
      <c r="AE25" s="165"/>
      <c r="AF25" s="165"/>
      <c r="AG25" s="165"/>
    </row>
    <row r="26" spans="1:33" x14ac:dyDescent="0.25">
      <c r="A26" s="165" t="s">
        <v>223</v>
      </c>
      <c r="B26" s="165" t="s">
        <v>205</v>
      </c>
      <c r="C26" s="165" t="s">
        <v>206</v>
      </c>
      <c r="D26" s="165" t="s">
        <v>809</v>
      </c>
      <c r="E26" s="165" t="s">
        <v>220</v>
      </c>
      <c r="F26" s="165"/>
      <c r="G26" s="165" t="s">
        <v>248</v>
      </c>
      <c r="H26" s="165" t="s">
        <v>205</v>
      </c>
      <c r="I26" s="165" t="s">
        <v>206</v>
      </c>
      <c r="J26" s="165" t="s">
        <v>809</v>
      </c>
      <c r="K26" s="165">
        <v>42.09</v>
      </c>
      <c r="L26" s="165">
        <f>AVERAGE(K26:K27)</f>
        <v>42.09</v>
      </c>
      <c r="M26" s="165"/>
      <c r="N26" s="107">
        <v>50</v>
      </c>
      <c r="O26" s="107">
        <v>600</v>
      </c>
      <c r="P26" s="107" t="str">
        <f t="shared" si="1"/>
        <v>50_600</v>
      </c>
      <c r="Q26" s="165">
        <v>42.07</v>
      </c>
      <c r="R26" s="108">
        <f>AVERAGE(Q26:Q31)</f>
        <v>33.758333333333333</v>
      </c>
      <c r="S26" s="108">
        <f>STDEV(Q26:Q31)</f>
        <v>4.4629638881203899</v>
      </c>
      <c r="T26" s="165"/>
      <c r="U26" s="107">
        <v>600</v>
      </c>
      <c r="V26" s="107">
        <v>50</v>
      </c>
      <c r="W26" s="107" t="str">
        <f t="shared" si="0"/>
        <v>600_50</v>
      </c>
      <c r="X26" s="165">
        <v>37.019999999999996</v>
      </c>
      <c r="Y26" s="108">
        <f>AVERAGE(X26:X31)</f>
        <v>32.665833333333332</v>
      </c>
      <c r="Z26" s="108">
        <f>STDEV(X26:X31)</f>
        <v>2.4968107991328981</v>
      </c>
      <c r="AA26" s="165"/>
      <c r="AB26" s="165"/>
      <c r="AC26" s="165"/>
      <c r="AD26" s="165"/>
      <c r="AE26" s="165"/>
      <c r="AF26" s="165"/>
      <c r="AG26" s="165"/>
    </row>
    <row r="27" spans="1:33" x14ac:dyDescent="0.25">
      <c r="A27" s="165" t="s">
        <v>223</v>
      </c>
      <c r="B27" s="165" t="s">
        <v>209</v>
      </c>
      <c r="C27" s="165" t="s">
        <v>206</v>
      </c>
      <c r="D27" s="165" t="s">
        <v>210</v>
      </c>
      <c r="E27" s="165">
        <v>31.31</v>
      </c>
      <c r="F27" s="165"/>
      <c r="G27" s="165" t="s">
        <v>249</v>
      </c>
      <c r="H27" s="165" t="s">
        <v>205</v>
      </c>
      <c r="I27" s="165" t="s">
        <v>206</v>
      </c>
      <c r="J27" s="165" t="s">
        <v>809</v>
      </c>
      <c r="K27" s="165" t="s">
        <v>220</v>
      </c>
      <c r="L27" s="165"/>
      <c r="M27" s="165"/>
      <c r="N27" s="107">
        <v>100</v>
      </c>
      <c r="O27" s="107">
        <v>600</v>
      </c>
      <c r="P27" s="107" t="str">
        <f t="shared" si="1"/>
        <v>100_600</v>
      </c>
      <c r="Q27" s="165">
        <v>35.58</v>
      </c>
      <c r="R27" s="108"/>
      <c r="S27" s="108"/>
      <c r="T27" s="165"/>
      <c r="U27" s="107">
        <v>600</v>
      </c>
      <c r="V27" s="107">
        <v>100</v>
      </c>
      <c r="W27" s="107" t="str">
        <f t="shared" si="0"/>
        <v>600_100</v>
      </c>
      <c r="X27" s="165">
        <v>33.92</v>
      </c>
      <c r="Y27" s="108"/>
      <c r="Z27" s="108"/>
      <c r="AA27" s="165"/>
      <c r="AB27" s="165"/>
      <c r="AC27" s="165"/>
      <c r="AD27" s="165"/>
      <c r="AE27" s="165"/>
      <c r="AF27" s="165"/>
      <c r="AG27" s="165"/>
    </row>
    <row r="28" spans="1:33" x14ac:dyDescent="0.25">
      <c r="A28" s="165" t="s">
        <v>234</v>
      </c>
      <c r="B28" s="165" t="s">
        <v>205</v>
      </c>
      <c r="C28" s="165" t="s">
        <v>206</v>
      </c>
      <c r="D28" s="165" t="s">
        <v>809</v>
      </c>
      <c r="E28" s="165" t="s">
        <v>220</v>
      </c>
      <c r="F28" s="165"/>
      <c r="G28" s="165" t="s">
        <v>250</v>
      </c>
      <c r="H28" s="165" t="s">
        <v>205</v>
      </c>
      <c r="I28" s="165" t="s">
        <v>206</v>
      </c>
      <c r="J28" s="165" t="s">
        <v>809</v>
      </c>
      <c r="K28" s="165">
        <v>36.24</v>
      </c>
      <c r="L28" s="165">
        <f>AVERAGE(K28:K29)</f>
        <v>37.125</v>
      </c>
      <c r="M28" s="165"/>
      <c r="N28" s="107">
        <v>200</v>
      </c>
      <c r="O28" s="107">
        <v>600</v>
      </c>
      <c r="P28" s="107" t="str">
        <f t="shared" si="1"/>
        <v>200_600</v>
      </c>
      <c r="Q28" s="165">
        <v>32.11</v>
      </c>
      <c r="R28" s="108"/>
      <c r="S28" s="108"/>
      <c r="T28" s="165"/>
      <c r="U28" s="107">
        <v>600</v>
      </c>
      <c r="V28" s="107">
        <v>200</v>
      </c>
      <c r="W28" s="107" t="str">
        <f t="shared" si="0"/>
        <v>600_200</v>
      </c>
      <c r="X28" s="165">
        <v>32.35</v>
      </c>
      <c r="Y28" s="108"/>
      <c r="Z28" s="108"/>
      <c r="AA28" s="165"/>
      <c r="AB28" s="165"/>
      <c r="AC28" s="165"/>
      <c r="AD28" s="165"/>
      <c r="AE28" s="165"/>
      <c r="AF28" s="165"/>
      <c r="AG28" s="165"/>
    </row>
    <row r="29" spans="1:33" x14ac:dyDescent="0.25">
      <c r="A29" s="165" t="s">
        <v>234</v>
      </c>
      <c r="B29" s="165" t="s">
        <v>209</v>
      </c>
      <c r="C29" s="165" t="s">
        <v>206</v>
      </c>
      <c r="D29" s="165" t="s">
        <v>210</v>
      </c>
      <c r="E29" s="165">
        <v>31.28</v>
      </c>
      <c r="F29" s="165"/>
      <c r="G29" s="165" t="s">
        <v>251</v>
      </c>
      <c r="H29" s="165" t="s">
        <v>205</v>
      </c>
      <c r="I29" s="165" t="s">
        <v>206</v>
      </c>
      <c r="J29" s="165" t="s">
        <v>809</v>
      </c>
      <c r="K29" s="165">
        <v>38.01</v>
      </c>
      <c r="L29" s="165"/>
      <c r="M29" s="165"/>
      <c r="N29" s="107">
        <v>400</v>
      </c>
      <c r="O29" s="107">
        <v>600</v>
      </c>
      <c r="P29" s="107" t="str">
        <f t="shared" si="1"/>
        <v>400_600</v>
      </c>
      <c r="Q29" s="165">
        <v>31.484999999999999</v>
      </c>
      <c r="R29" s="108"/>
      <c r="S29" s="108"/>
      <c r="T29" s="165"/>
      <c r="U29" s="107">
        <v>600</v>
      </c>
      <c r="V29" s="107">
        <v>400</v>
      </c>
      <c r="W29" s="107" t="str">
        <f t="shared" si="0"/>
        <v>600_400</v>
      </c>
      <c r="X29" s="165">
        <v>31.75</v>
      </c>
      <c r="Y29" s="108"/>
      <c r="Z29" s="108"/>
      <c r="AA29" s="165"/>
      <c r="AB29" s="165"/>
      <c r="AC29" s="165"/>
      <c r="AD29" s="165"/>
      <c r="AE29" s="165"/>
      <c r="AF29" s="165"/>
      <c r="AG29" s="165"/>
    </row>
    <row r="30" spans="1:33" x14ac:dyDescent="0.25">
      <c r="A30" s="165" t="s">
        <v>235</v>
      </c>
      <c r="B30" s="165" t="s">
        <v>205</v>
      </c>
      <c r="C30" s="165" t="s">
        <v>206</v>
      </c>
      <c r="D30" s="165" t="s">
        <v>809</v>
      </c>
      <c r="E30" s="165">
        <v>38.46</v>
      </c>
      <c r="F30" s="165"/>
      <c r="G30" s="165" t="s">
        <v>252</v>
      </c>
      <c r="H30" s="165" t="s">
        <v>205</v>
      </c>
      <c r="I30" s="165" t="s">
        <v>206</v>
      </c>
      <c r="J30" s="165" t="s">
        <v>809</v>
      </c>
      <c r="K30" s="165">
        <v>33.35</v>
      </c>
      <c r="L30" s="165">
        <f>AVERAGE(K30:K31)</f>
        <v>33.32</v>
      </c>
      <c r="M30" s="165"/>
      <c r="N30" s="107">
        <v>600</v>
      </c>
      <c r="O30" s="107">
        <v>600</v>
      </c>
      <c r="P30" s="107" t="str">
        <f t="shared" si="1"/>
        <v>600_600</v>
      </c>
      <c r="Q30" s="165">
        <v>30.725000000000001</v>
      </c>
      <c r="R30" s="108"/>
      <c r="S30" s="108"/>
      <c r="T30" s="165"/>
      <c r="U30" s="107">
        <v>600</v>
      </c>
      <c r="V30" s="107">
        <v>600</v>
      </c>
      <c r="W30" s="107" t="str">
        <f t="shared" si="0"/>
        <v>600_600</v>
      </c>
      <c r="X30" s="165">
        <v>30.725000000000001</v>
      </c>
      <c r="Y30" s="108"/>
      <c r="Z30" s="108"/>
      <c r="AA30" s="165"/>
      <c r="AB30" s="165"/>
      <c r="AC30" s="165"/>
      <c r="AD30" s="165"/>
      <c r="AE30" s="165"/>
      <c r="AF30" s="165"/>
      <c r="AG30" s="165"/>
    </row>
    <row r="31" spans="1:33" x14ac:dyDescent="0.25">
      <c r="A31" s="165" t="s">
        <v>235</v>
      </c>
      <c r="B31" s="165" t="s">
        <v>209</v>
      </c>
      <c r="C31" s="165" t="s">
        <v>206</v>
      </c>
      <c r="D31" s="165" t="s">
        <v>210</v>
      </c>
      <c r="E31" s="165">
        <v>31.09</v>
      </c>
      <c r="F31" s="165"/>
      <c r="G31" s="165" t="s">
        <v>253</v>
      </c>
      <c r="H31" s="165" t="s">
        <v>205</v>
      </c>
      <c r="I31" s="165" t="s">
        <v>206</v>
      </c>
      <c r="J31" s="165" t="s">
        <v>809</v>
      </c>
      <c r="K31" s="165">
        <v>33.29</v>
      </c>
      <c r="L31" s="165"/>
      <c r="M31" s="165"/>
      <c r="N31" s="107">
        <v>800</v>
      </c>
      <c r="O31" s="107">
        <v>600</v>
      </c>
      <c r="P31" s="107" t="str">
        <f t="shared" si="1"/>
        <v>800_600</v>
      </c>
      <c r="Q31" s="165">
        <v>30.58</v>
      </c>
      <c r="R31" s="108"/>
      <c r="S31" s="108"/>
      <c r="T31" s="165"/>
      <c r="U31" s="107">
        <v>600</v>
      </c>
      <c r="V31" s="107">
        <v>800</v>
      </c>
      <c r="W31" s="107" t="str">
        <f t="shared" si="0"/>
        <v>600_800</v>
      </c>
      <c r="X31" s="165">
        <v>30.229999999999997</v>
      </c>
      <c r="Y31" s="108"/>
      <c r="Z31" s="108"/>
      <c r="AA31" s="165"/>
      <c r="AB31" s="165"/>
      <c r="AC31" s="165"/>
      <c r="AD31" s="165"/>
      <c r="AE31" s="165"/>
      <c r="AF31" s="165"/>
      <c r="AG31" s="165"/>
    </row>
    <row r="32" spans="1:33" x14ac:dyDescent="0.25">
      <c r="A32" s="165" t="s">
        <v>236</v>
      </c>
      <c r="B32" s="165" t="s">
        <v>205</v>
      </c>
      <c r="C32" s="165" t="s">
        <v>206</v>
      </c>
      <c r="D32" s="165" t="s">
        <v>809</v>
      </c>
      <c r="E32" s="165">
        <v>39.36</v>
      </c>
      <c r="F32" s="165"/>
      <c r="G32" s="165" t="s">
        <v>254</v>
      </c>
      <c r="H32" s="165" t="s">
        <v>205</v>
      </c>
      <c r="I32" s="165" t="s">
        <v>206</v>
      </c>
      <c r="J32" s="165" t="s">
        <v>809</v>
      </c>
      <c r="K32" s="165">
        <v>32.32</v>
      </c>
      <c r="L32" s="165">
        <f>AVERAGE(K32:K33)</f>
        <v>32.230000000000004</v>
      </c>
      <c r="M32" s="165"/>
      <c r="N32" s="107">
        <v>50</v>
      </c>
      <c r="O32" s="107">
        <v>800</v>
      </c>
      <c r="P32" s="107" t="str">
        <f t="shared" si="1"/>
        <v>50_800</v>
      </c>
      <c r="Q32" s="165">
        <v>42.24</v>
      </c>
      <c r="R32" s="108">
        <f>AVERAGE(Q32:Q37)</f>
        <v>33.320833333333333</v>
      </c>
      <c r="S32" s="108">
        <f>STDEV(Q32:Q37)</f>
        <v>4.7548432326068193</v>
      </c>
      <c r="T32" s="165"/>
      <c r="U32" s="107">
        <v>800</v>
      </c>
      <c r="V32" s="107">
        <v>50</v>
      </c>
      <c r="W32" s="107" t="str">
        <f t="shared" si="0"/>
        <v>800_50</v>
      </c>
      <c r="X32" s="165">
        <v>36.765000000000001</v>
      </c>
      <c r="Y32" s="108">
        <f>AVERAGE(X32:X37)</f>
        <v>32.505833333333335</v>
      </c>
      <c r="Z32" s="108">
        <f>STDEV(X32:X37)</f>
        <v>2.4456684498653267</v>
      </c>
      <c r="AA32" s="165"/>
      <c r="AB32" s="165"/>
      <c r="AC32" s="165"/>
      <c r="AD32" s="165"/>
      <c r="AE32" s="165"/>
      <c r="AF32" s="165"/>
      <c r="AG32" s="165"/>
    </row>
    <row r="33" spans="1:26" x14ac:dyDescent="0.25">
      <c r="A33" s="165" t="s">
        <v>236</v>
      </c>
      <c r="B33" s="165" t="s">
        <v>209</v>
      </c>
      <c r="C33" s="165" t="s">
        <v>206</v>
      </c>
      <c r="D33" s="165" t="s">
        <v>210</v>
      </c>
      <c r="E33" s="165">
        <v>30.92</v>
      </c>
      <c r="F33" s="165"/>
      <c r="G33" s="165" t="s">
        <v>255</v>
      </c>
      <c r="H33" s="165" t="s">
        <v>205</v>
      </c>
      <c r="I33" s="165" t="s">
        <v>206</v>
      </c>
      <c r="J33" s="165" t="s">
        <v>809</v>
      </c>
      <c r="K33" s="165">
        <v>32.14</v>
      </c>
      <c r="L33" s="165"/>
      <c r="M33" s="165"/>
      <c r="N33" s="107">
        <v>100</v>
      </c>
      <c r="O33" s="107">
        <v>800</v>
      </c>
      <c r="P33" s="107" t="str">
        <f t="shared" si="1"/>
        <v>100_800</v>
      </c>
      <c r="Q33" s="165">
        <v>35.194999999999993</v>
      </c>
      <c r="R33" s="108"/>
      <c r="S33" s="108"/>
      <c r="T33" s="165"/>
      <c r="U33" s="107">
        <v>800</v>
      </c>
      <c r="V33" s="107">
        <v>100</v>
      </c>
      <c r="W33" s="107" t="str">
        <f t="shared" si="0"/>
        <v>800_100</v>
      </c>
      <c r="X33" s="165">
        <v>33.81</v>
      </c>
      <c r="Y33" s="108"/>
      <c r="Z33" s="108"/>
    </row>
    <row r="34" spans="1:26" x14ac:dyDescent="0.25">
      <c r="A34" s="165" t="s">
        <v>237</v>
      </c>
      <c r="B34" s="165" t="s">
        <v>205</v>
      </c>
      <c r="C34" s="165" t="s">
        <v>206</v>
      </c>
      <c r="D34" s="165" t="s">
        <v>809</v>
      </c>
      <c r="E34" s="165">
        <v>35.26</v>
      </c>
      <c r="F34" s="165"/>
      <c r="G34" s="165" t="s">
        <v>256</v>
      </c>
      <c r="H34" s="165" t="s">
        <v>205</v>
      </c>
      <c r="I34" s="165" t="s">
        <v>206</v>
      </c>
      <c r="J34" s="165" t="s">
        <v>809</v>
      </c>
      <c r="K34" s="165">
        <v>32.36</v>
      </c>
      <c r="L34" s="165">
        <f>AVERAGE(K34:K35)</f>
        <v>32.35</v>
      </c>
      <c r="M34" s="165"/>
      <c r="N34" s="107">
        <v>200</v>
      </c>
      <c r="O34" s="107">
        <v>800</v>
      </c>
      <c r="P34" s="107" t="str">
        <f t="shared" si="1"/>
        <v>200_800</v>
      </c>
      <c r="Q34" s="165">
        <v>31.35</v>
      </c>
      <c r="R34" s="108"/>
      <c r="S34" s="108"/>
      <c r="T34" s="165"/>
      <c r="U34" s="107">
        <v>800</v>
      </c>
      <c r="V34" s="107">
        <v>200</v>
      </c>
      <c r="W34" s="107" t="str">
        <f t="shared" si="0"/>
        <v>800_200</v>
      </c>
      <c r="X34" s="165">
        <v>32.15</v>
      </c>
      <c r="Y34" s="108"/>
      <c r="Z34" s="108"/>
    </row>
    <row r="35" spans="1:26" x14ac:dyDescent="0.25">
      <c r="A35" s="165" t="s">
        <v>237</v>
      </c>
      <c r="B35" s="165" t="s">
        <v>209</v>
      </c>
      <c r="C35" s="165" t="s">
        <v>206</v>
      </c>
      <c r="D35" s="165" t="s">
        <v>210</v>
      </c>
      <c r="E35" s="165">
        <v>31.36</v>
      </c>
      <c r="F35" s="165"/>
      <c r="G35" s="165" t="s">
        <v>257</v>
      </c>
      <c r="H35" s="165" t="s">
        <v>205</v>
      </c>
      <c r="I35" s="165" t="s">
        <v>206</v>
      </c>
      <c r="J35" s="165" t="s">
        <v>809</v>
      </c>
      <c r="K35" s="165">
        <v>32.340000000000003</v>
      </c>
      <c r="L35" s="165"/>
      <c r="M35" s="165"/>
      <c r="N35" s="107">
        <v>400</v>
      </c>
      <c r="O35" s="107">
        <v>800</v>
      </c>
      <c r="P35" s="107" t="str">
        <f t="shared" si="1"/>
        <v>400_800</v>
      </c>
      <c r="Q35" s="165">
        <v>30.695</v>
      </c>
      <c r="R35" s="108"/>
      <c r="S35" s="108"/>
      <c r="T35" s="165"/>
      <c r="U35" s="107">
        <v>800</v>
      </c>
      <c r="V35" s="107">
        <v>400</v>
      </c>
      <c r="W35" s="107" t="str">
        <f t="shared" si="0"/>
        <v>800_400</v>
      </c>
      <c r="X35" s="165">
        <v>31.515000000000001</v>
      </c>
      <c r="Y35" s="108"/>
      <c r="Z35" s="108"/>
    </row>
    <row r="36" spans="1:26" x14ac:dyDescent="0.25">
      <c r="A36" s="165" t="s">
        <v>238</v>
      </c>
      <c r="B36" s="165" t="s">
        <v>205</v>
      </c>
      <c r="C36" s="165" t="s">
        <v>206</v>
      </c>
      <c r="D36" s="165" t="s">
        <v>809</v>
      </c>
      <c r="E36" s="165">
        <v>35.46</v>
      </c>
      <c r="F36" s="165"/>
      <c r="G36" s="165" t="s">
        <v>258</v>
      </c>
      <c r="H36" s="165" t="s">
        <v>205</v>
      </c>
      <c r="I36" s="165" t="s">
        <v>206</v>
      </c>
      <c r="J36" s="165" t="s">
        <v>809</v>
      </c>
      <c r="K36" s="165">
        <v>31.94</v>
      </c>
      <c r="L36" s="165">
        <f>AVERAGE(K36:K37)</f>
        <v>32.15</v>
      </c>
      <c r="M36" s="165"/>
      <c r="N36" s="107">
        <v>600</v>
      </c>
      <c r="O36" s="107">
        <v>800</v>
      </c>
      <c r="P36" s="107" t="str">
        <f t="shared" si="1"/>
        <v>600_800</v>
      </c>
      <c r="Q36" s="165">
        <v>30.229999999999997</v>
      </c>
      <c r="R36" s="108"/>
      <c r="S36" s="108"/>
      <c r="T36" s="165"/>
      <c r="U36" s="107">
        <v>800</v>
      </c>
      <c r="V36" s="107">
        <v>600</v>
      </c>
      <c r="W36" s="107" t="str">
        <f t="shared" si="0"/>
        <v>800_600</v>
      </c>
      <c r="X36" s="165">
        <v>30.58</v>
      </c>
      <c r="Y36" s="108"/>
      <c r="Z36" s="108"/>
    </row>
    <row r="37" spans="1:26" x14ac:dyDescent="0.25">
      <c r="A37" s="165" t="s">
        <v>238</v>
      </c>
      <c r="B37" s="165" t="s">
        <v>209</v>
      </c>
      <c r="C37" s="165" t="s">
        <v>206</v>
      </c>
      <c r="D37" s="165" t="s">
        <v>210</v>
      </c>
      <c r="E37" s="165">
        <v>31.11</v>
      </c>
      <c r="F37" s="165"/>
      <c r="G37" s="165" t="s">
        <v>259</v>
      </c>
      <c r="H37" s="165" t="s">
        <v>205</v>
      </c>
      <c r="I37" s="165" t="s">
        <v>206</v>
      </c>
      <c r="J37" s="165" t="s">
        <v>809</v>
      </c>
      <c r="K37" s="165">
        <v>32.36</v>
      </c>
      <c r="L37" s="165"/>
      <c r="M37" s="165"/>
      <c r="N37" s="107">
        <v>800</v>
      </c>
      <c r="O37" s="107">
        <v>800</v>
      </c>
      <c r="P37" s="107" t="str">
        <f t="shared" si="1"/>
        <v>800_800</v>
      </c>
      <c r="Q37" s="165">
        <v>30.215</v>
      </c>
      <c r="R37" s="108"/>
      <c r="S37" s="108"/>
      <c r="T37" s="165"/>
      <c r="U37" s="107">
        <v>800</v>
      </c>
      <c r="V37" s="107">
        <v>800</v>
      </c>
      <c r="W37" s="107" t="str">
        <f t="shared" si="0"/>
        <v>800_800</v>
      </c>
      <c r="X37" s="165">
        <v>30.215</v>
      </c>
      <c r="Y37" s="108"/>
      <c r="Z37" s="108"/>
    </row>
    <row r="38" spans="1:26" x14ac:dyDescent="0.25">
      <c r="A38" s="165" t="s">
        <v>239</v>
      </c>
      <c r="B38" s="165" t="s">
        <v>205</v>
      </c>
      <c r="C38" s="165" t="s">
        <v>206</v>
      </c>
      <c r="D38" s="165" t="s">
        <v>809</v>
      </c>
      <c r="E38" s="165">
        <v>34.520000000000003</v>
      </c>
      <c r="F38" s="165"/>
      <c r="G38" s="165" t="s">
        <v>260</v>
      </c>
      <c r="H38" s="165" t="s">
        <v>205</v>
      </c>
      <c r="I38" s="165" t="s">
        <v>206</v>
      </c>
      <c r="J38" s="165" t="s">
        <v>809</v>
      </c>
      <c r="K38" s="165">
        <v>36.81</v>
      </c>
      <c r="L38" s="165">
        <f>AVERAGE(K38:K39)</f>
        <v>36.81</v>
      </c>
      <c r="M38" s="165"/>
      <c r="N38" s="165"/>
      <c r="O38" s="165"/>
      <c r="P38" s="165"/>
      <c r="Q38" s="165"/>
      <c r="R38" s="165"/>
      <c r="S38" s="165"/>
      <c r="T38" s="165"/>
      <c r="U38" s="165"/>
      <c r="V38" s="165"/>
      <c r="W38" s="165"/>
      <c r="X38" s="165"/>
      <c r="Y38" s="165"/>
      <c r="Z38" s="165"/>
    </row>
    <row r="39" spans="1:26" x14ac:dyDescent="0.25">
      <c r="A39" s="165" t="s">
        <v>239</v>
      </c>
      <c r="B39" s="165" t="s">
        <v>209</v>
      </c>
      <c r="C39" s="165" t="s">
        <v>206</v>
      </c>
      <c r="D39" s="165" t="s">
        <v>210</v>
      </c>
      <c r="E39" s="165">
        <v>31.36</v>
      </c>
      <c r="F39" s="165"/>
      <c r="G39" s="165" t="s">
        <v>261</v>
      </c>
      <c r="H39" s="165" t="s">
        <v>205</v>
      </c>
      <c r="I39" s="165" t="s">
        <v>206</v>
      </c>
      <c r="J39" s="165" t="s">
        <v>809</v>
      </c>
      <c r="K39" s="165" t="s">
        <v>220</v>
      </c>
      <c r="L39" s="165"/>
      <c r="M39" s="165"/>
      <c r="N39" s="165"/>
      <c r="O39" s="165"/>
      <c r="P39" s="165"/>
      <c r="Q39" s="165"/>
      <c r="R39" s="165"/>
      <c r="S39" s="165"/>
      <c r="T39" s="165"/>
      <c r="U39" s="165"/>
      <c r="V39" s="165"/>
      <c r="W39" s="165"/>
      <c r="X39" s="165"/>
      <c r="Y39" s="165"/>
      <c r="Z39" s="165"/>
    </row>
    <row r="40" spans="1:26" x14ac:dyDescent="0.25">
      <c r="A40" s="165" t="s">
        <v>242</v>
      </c>
      <c r="B40" s="165" t="s">
        <v>205</v>
      </c>
      <c r="C40" s="165" t="s">
        <v>206</v>
      </c>
      <c r="D40" s="165" t="s">
        <v>809</v>
      </c>
      <c r="E40" s="165">
        <v>33.97</v>
      </c>
      <c r="F40" s="165"/>
      <c r="G40" s="165" t="s">
        <v>262</v>
      </c>
      <c r="H40" s="165" t="s">
        <v>205</v>
      </c>
      <c r="I40" s="165" t="s">
        <v>206</v>
      </c>
      <c r="J40" s="165" t="s">
        <v>809</v>
      </c>
      <c r="K40" s="165">
        <v>35.58</v>
      </c>
      <c r="L40" s="165">
        <f>AVERAGE(K40:K41)</f>
        <v>35.840000000000003</v>
      </c>
      <c r="M40" s="165"/>
      <c r="N40" s="165"/>
      <c r="O40" s="165"/>
      <c r="P40" s="165"/>
      <c r="Q40" s="165"/>
      <c r="R40" s="165"/>
      <c r="S40" s="165"/>
      <c r="T40" s="165"/>
      <c r="U40" s="165"/>
      <c r="V40" s="165"/>
      <c r="W40" s="165"/>
      <c r="X40" s="165"/>
      <c r="Y40" s="165"/>
      <c r="Z40" s="165"/>
    </row>
    <row r="41" spans="1:26" x14ac:dyDescent="0.25">
      <c r="A41" s="165" t="s">
        <v>242</v>
      </c>
      <c r="B41" s="165" t="s">
        <v>209</v>
      </c>
      <c r="C41" s="165" t="s">
        <v>206</v>
      </c>
      <c r="D41" s="165" t="s">
        <v>210</v>
      </c>
      <c r="E41" s="165">
        <v>31.02</v>
      </c>
      <c r="F41" s="165"/>
      <c r="G41" s="165" t="s">
        <v>263</v>
      </c>
      <c r="H41" s="165" t="s">
        <v>205</v>
      </c>
      <c r="I41" s="165" t="s">
        <v>206</v>
      </c>
      <c r="J41" s="165" t="s">
        <v>809</v>
      </c>
      <c r="K41" s="165">
        <v>36.1</v>
      </c>
      <c r="L41" s="165"/>
      <c r="M41" s="165"/>
      <c r="N41" s="165"/>
      <c r="O41" s="165"/>
      <c r="P41" s="165"/>
      <c r="Q41" s="165"/>
      <c r="R41" s="165"/>
      <c r="S41" s="165"/>
      <c r="T41" s="165"/>
      <c r="U41" s="165"/>
      <c r="V41" s="165"/>
      <c r="W41" s="165"/>
      <c r="X41" s="165"/>
      <c r="Y41" s="165"/>
      <c r="Z41" s="165"/>
    </row>
    <row r="42" spans="1:26" x14ac:dyDescent="0.25">
      <c r="A42" s="165" t="s">
        <v>243</v>
      </c>
      <c r="B42" s="165" t="s">
        <v>205</v>
      </c>
      <c r="C42" s="165" t="s">
        <v>206</v>
      </c>
      <c r="D42" s="165" t="s">
        <v>809</v>
      </c>
      <c r="E42" s="165">
        <v>33.94</v>
      </c>
      <c r="F42" s="165"/>
      <c r="G42" s="165" t="s">
        <v>264</v>
      </c>
      <c r="H42" s="165" t="s">
        <v>205</v>
      </c>
      <c r="I42" s="165" t="s">
        <v>206</v>
      </c>
      <c r="J42" s="165" t="s">
        <v>809</v>
      </c>
      <c r="K42" s="165">
        <v>32.76</v>
      </c>
      <c r="L42" s="165">
        <f>AVERAGE(K42:K43)</f>
        <v>32.695</v>
      </c>
      <c r="M42" s="165"/>
      <c r="N42" s="165"/>
      <c r="O42" s="165"/>
      <c r="P42" s="165"/>
      <c r="Q42" s="165"/>
      <c r="R42" s="165"/>
      <c r="S42" s="165"/>
      <c r="T42" s="165"/>
      <c r="U42" s="165"/>
      <c r="V42" s="165"/>
      <c r="W42" s="165"/>
      <c r="X42" s="165"/>
      <c r="Y42" s="165"/>
      <c r="Z42" s="165"/>
    </row>
    <row r="43" spans="1:26" x14ac:dyDescent="0.25">
      <c r="A43" s="165" t="s">
        <v>243</v>
      </c>
      <c r="B43" s="165" t="s">
        <v>209</v>
      </c>
      <c r="C43" s="165" t="s">
        <v>206</v>
      </c>
      <c r="D43" s="165" t="s">
        <v>210</v>
      </c>
      <c r="E43" s="165">
        <v>31.07</v>
      </c>
      <c r="F43" s="165"/>
      <c r="G43" s="165" t="s">
        <v>265</v>
      </c>
      <c r="H43" s="165" t="s">
        <v>205</v>
      </c>
      <c r="I43" s="165" t="s">
        <v>206</v>
      </c>
      <c r="J43" s="165" t="s">
        <v>809</v>
      </c>
      <c r="K43" s="165">
        <v>32.630000000000003</v>
      </c>
      <c r="L43" s="165"/>
      <c r="M43" s="165"/>
      <c r="N43" s="165"/>
      <c r="O43" s="165"/>
      <c r="P43" s="165"/>
      <c r="Q43" s="165"/>
      <c r="R43" s="165"/>
      <c r="S43" s="165"/>
      <c r="T43" s="165"/>
      <c r="U43" s="165"/>
      <c r="V43" s="165"/>
      <c r="W43" s="165"/>
      <c r="X43" s="165"/>
      <c r="Y43" s="165"/>
      <c r="Z43" s="165"/>
    </row>
    <row r="44" spans="1:26" x14ac:dyDescent="0.25">
      <c r="A44" s="165" t="s">
        <v>244</v>
      </c>
      <c r="B44" s="165" t="s">
        <v>205</v>
      </c>
      <c r="C44" s="165" t="s">
        <v>206</v>
      </c>
      <c r="D44" s="165" t="s">
        <v>809</v>
      </c>
      <c r="E44" s="165">
        <v>33.9</v>
      </c>
      <c r="F44" s="165"/>
      <c r="G44" s="165" t="s">
        <v>266</v>
      </c>
      <c r="H44" s="165" t="s">
        <v>205</v>
      </c>
      <c r="I44" s="165" t="s">
        <v>206</v>
      </c>
      <c r="J44" s="165" t="s">
        <v>809</v>
      </c>
      <c r="K44" s="165">
        <v>31.72</v>
      </c>
      <c r="L44" s="165">
        <f>AVERAGE(K44:K45)</f>
        <v>31.795000000000002</v>
      </c>
      <c r="M44" s="165"/>
      <c r="N44" s="165"/>
      <c r="O44" s="165"/>
      <c r="P44" s="165"/>
      <c r="Q44" s="165"/>
      <c r="R44" s="165"/>
      <c r="S44" s="165"/>
      <c r="T44" s="165"/>
      <c r="U44" s="165"/>
      <c r="V44" s="165"/>
      <c r="W44" s="165"/>
      <c r="X44" s="165"/>
      <c r="Y44" s="165"/>
      <c r="Z44" s="165"/>
    </row>
    <row r="45" spans="1:26" x14ac:dyDescent="0.25">
      <c r="A45" s="165" t="s">
        <v>244</v>
      </c>
      <c r="B45" s="165" t="s">
        <v>209</v>
      </c>
      <c r="C45" s="165" t="s">
        <v>206</v>
      </c>
      <c r="D45" s="165" t="s">
        <v>210</v>
      </c>
      <c r="E45" s="165">
        <v>31.18</v>
      </c>
      <c r="F45" s="165"/>
      <c r="G45" s="165" t="s">
        <v>267</v>
      </c>
      <c r="H45" s="165" t="s">
        <v>205</v>
      </c>
      <c r="I45" s="165" t="s">
        <v>206</v>
      </c>
      <c r="J45" s="165" t="s">
        <v>809</v>
      </c>
      <c r="K45" s="165">
        <v>31.87</v>
      </c>
      <c r="L45" s="165"/>
      <c r="M45" s="165"/>
      <c r="N45" s="165"/>
      <c r="O45" s="165"/>
      <c r="P45" s="165"/>
      <c r="Q45" s="165"/>
      <c r="R45" s="165"/>
      <c r="S45" s="165"/>
      <c r="T45" s="165"/>
      <c r="U45" s="165"/>
      <c r="V45" s="165"/>
      <c r="W45" s="165"/>
      <c r="X45" s="165"/>
      <c r="Y45" s="165"/>
      <c r="Z45" s="165"/>
    </row>
    <row r="46" spans="1:26" x14ac:dyDescent="0.25">
      <c r="A46" s="165" t="s">
        <v>245</v>
      </c>
      <c r="B46" s="165" t="s">
        <v>205</v>
      </c>
      <c r="C46" s="165" t="s">
        <v>206</v>
      </c>
      <c r="D46" s="165" t="s">
        <v>809</v>
      </c>
      <c r="E46" s="165">
        <v>33.92</v>
      </c>
      <c r="F46" s="165"/>
      <c r="G46" s="165" t="s">
        <v>268</v>
      </c>
      <c r="H46" s="165" t="s">
        <v>205</v>
      </c>
      <c r="I46" s="165" t="s">
        <v>206</v>
      </c>
      <c r="J46" s="165" t="s">
        <v>809</v>
      </c>
      <c r="K46" s="165">
        <v>31.76</v>
      </c>
      <c r="L46" s="165">
        <f>AVERAGE(K46:K47)</f>
        <v>31.75</v>
      </c>
      <c r="M46" s="165"/>
      <c r="N46" s="165"/>
      <c r="O46" s="165"/>
      <c r="P46" s="165"/>
      <c r="Q46" s="165"/>
      <c r="R46" s="165"/>
      <c r="S46" s="165"/>
      <c r="T46" s="165"/>
      <c r="U46" s="165"/>
      <c r="V46" s="165"/>
      <c r="W46" s="165"/>
      <c r="X46" s="165"/>
      <c r="Y46" s="165"/>
      <c r="Z46" s="165"/>
    </row>
    <row r="47" spans="1:26" x14ac:dyDescent="0.25">
      <c r="A47" s="165" t="s">
        <v>245</v>
      </c>
      <c r="B47" s="165" t="s">
        <v>209</v>
      </c>
      <c r="C47" s="165" t="s">
        <v>206</v>
      </c>
      <c r="D47" s="165" t="s">
        <v>210</v>
      </c>
      <c r="E47" s="165">
        <v>31.11</v>
      </c>
      <c r="F47" s="165"/>
      <c r="G47" s="165" t="s">
        <v>270</v>
      </c>
      <c r="H47" s="165" t="s">
        <v>205</v>
      </c>
      <c r="I47" s="165" t="s">
        <v>206</v>
      </c>
      <c r="J47" s="165" t="s">
        <v>809</v>
      </c>
      <c r="K47" s="165">
        <v>31.74</v>
      </c>
      <c r="L47" s="165"/>
      <c r="M47" s="165"/>
      <c r="N47" s="165"/>
      <c r="O47" s="165"/>
      <c r="P47" s="165"/>
      <c r="Q47" s="165"/>
      <c r="R47" s="165"/>
      <c r="S47" s="165"/>
      <c r="T47" s="165"/>
      <c r="U47" s="165"/>
      <c r="V47" s="165"/>
      <c r="W47" s="165"/>
      <c r="X47" s="165"/>
      <c r="Y47" s="165"/>
      <c r="Z47" s="165"/>
    </row>
    <row r="48" spans="1:26" x14ac:dyDescent="0.25">
      <c r="A48" s="165" t="s">
        <v>247</v>
      </c>
      <c r="B48" s="165" t="s">
        <v>205</v>
      </c>
      <c r="C48" s="165" t="s">
        <v>206</v>
      </c>
      <c r="D48" s="165" t="s">
        <v>809</v>
      </c>
      <c r="E48" s="165">
        <v>33.700000000000003</v>
      </c>
      <c r="F48" s="165"/>
      <c r="G48" s="165" t="s">
        <v>272</v>
      </c>
      <c r="H48" s="165" t="s">
        <v>205</v>
      </c>
      <c r="I48" s="165" t="s">
        <v>206</v>
      </c>
      <c r="J48" s="165" t="s">
        <v>809</v>
      </c>
      <c r="K48" s="165">
        <v>31.43</v>
      </c>
      <c r="L48" s="165">
        <f>AVERAGE(K48:K49)</f>
        <v>31.515000000000001</v>
      </c>
      <c r="M48" s="165"/>
      <c r="N48" s="165"/>
      <c r="O48" s="165"/>
      <c r="P48" s="165"/>
      <c r="Q48" s="165"/>
      <c r="R48" s="165"/>
      <c r="S48" s="165"/>
      <c r="T48" s="165"/>
      <c r="U48" s="165"/>
      <c r="V48" s="165"/>
      <c r="W48" s="165"/>
      <c r="X48" s="165"/>
      <c r="Y48" s="165"/>
      <c r="Z48" s="165"/>
    </row>
    <row r="49" spans="1:23" x14ac:dyDescent="0.25">
      <c r="A49" s="165" t="s">
        <v>247</v>
      </c>
      <c r="B49" s="165" t="s">
        <v>209</v>
      </c>
      <c r="C49" s="165" t="s">
        <v>206</v>
      </c>
      <c r="D49" s="165" t="s">
        <v>210</v>
      </c>
      <c r="E49" s="165">
        <v>31.36</v>
      </c>
      <c r="F49" s="165"/>
      <c r="G49" s="165" t="s">
        <v>273</v>
      </c>
      <c r="H49" s="165" t="s">
        <v>205</v>
      </c>
      <c r="I49" s="165" t="s">
        <v>206</v>
      </c>
      <c r="J49" s="165" t="s">
        <v>809</v>
      </c>
      <c r="K49" s="165">
        <v>31.6</v>
      </c>
      <c r="L49" s="165"/>
      <c r="M49" s="165"/>
      <c r="N49" s="165"/>
      <c r="O49" s="165"/>
      <c r="P49" s="165"/>
      <c r="Q49" s="165"/>
      <c r="R49" s="165"/>
      <c r="S49" s="165"/>
      <c r="T49" s="165"/>
      <c r="U49" s="165"/>
      <c r="V49" s="165"/>
      <c r="W49" s="165"/>
    </row>
    <row r="50" spans="1:23" x14ac:dyDescent="0.25">
      <c r="A50" s="165" t="s">
        <v>248</v>
      </c>
      <c r="B50" s="165" t="s">
        <v>205</v>
      </c>
      <c r="C50" s="165" t="s">
        <v>206</v>
      </c>
      <c r="D50" s="165" t="s">
        <v>809</v>
      </c>
      <c r="E50" s="165">
        <v>42.09</v>
      </c>
      <c r="F50" s="165"/>
      <c r="G50" s="165" t="s">
        <v>274</v>
      </c>
      <c r="H50" s="165" t="s">
        <v>205</v>
      </c>
      <c r="I50" s="165" t="s">
        <v>206</v>
      </c>
      <c r="J50" s="165" t="s">
        <v>809</v>
      </c>
      <c r="K50" s="165">
        <v>42.07</v>
      </c>
      <c r="L50" s="165">
        <f>AVERAGE(K50:K51)</f>
        <v>42.07</v>
      </c>
      <c r="M50" s="165"/>
      <c r="N50" s="165"/>
      <c r="O50" s="165"/>
      <c r="P50" s="165"/>
      <c r="Q50" s="165"/>
      <c r="R50" s="165"/>
      <c r="S50" s="165"/>
      <c r="T50" s="165"/>
      <c r="U50" s="165"/>
      <c r="V50" s="165"/>
      <c r="W50" s="165"/>
    </row>
    <row r="51" spans="1:23" x14ac:dyDescent="0.25">
      <c r="A51" s="165" t="s">
        <v>248</v>
      </c>
      <c r="B51" s="165" t="s">
        <v>209</v>
      </c>
      <c r="C51" s="165" t="s">
        <v>206</v>
      </c>
      <c r="D51" s="165" t="s">
        <v>210</v>
      </c>
      <c r="E51" s="165">
        <v>30.89</v>
      </c>
      <c r="F51" s="165"/>
      <c r="G51" s="165" t="s">
        <v>275</v>
      </c>
      <c r="H51" s="165" t="s">
        <v>205</v>
      </c>
      <c r="I51" s="165" t="s">
        <v>206</v>
      </c>
      <c r="J51" s="165" t="s">
        <v>809</v>
      </c>
      <c r="K51" s="165" t="s">
        <v>220</v>
      </c>
      <c r="L51" s="165"/>
      <c r="M51" s="165"/>
      <c r="N51" s="165"/>
      <c r="O51" s="165"/>
      <c r="P51" s="165"/>
      <c r="Q51" s="165"/>
      <c r="R51" s="165"/>
      <c r="S51" s="165"/>
      <c r="T51" s="165"/>
      <c r="U51" s="165"/>
      <c r="V51" s="165"/>
      <c r="W51" s="165"/>
    </row>
    <row r="52" spans="1:23" x14ac:dyDescent="0.25">
      <c r="A52" s="165" t="s">
        <v>249</v>
      </c>
      <c r="B52" s="165" t="s">
        <v>205</v>
      </c>
      <c r="C52" s="165" t="s">
        <v>206</v>
      </c>
      <c r="D52" s="165" t="s">
        <v>809</v>
      </c>
      <c r="E52" s="165" t="s">
        <v>220</v>
      </c>
      <c r="F52" s="165"/>
      <c r="G52" s="165" t="s">
        <v>276</v>
      </c>
      <c r="H52" s="165" t="s">
        <v>205</v>
      </c>
      <c r="I52" s="165" t="s">
        <v>206</v>
      </c>
      <c r="J52" s="165" t="s">
        <v>809</v>
      </c>
      <c r="K52" s="165">
        <v>35.19</v>
      </c>
      <c r="L52" s="165">
        <f>AVERAGE(K52:K53)</f>
        <v>35.58</v>
      </c>
      <c r="M52" s="165"/>
      <c r="N52" s="165"/>
      <c r="O52" s="165"/>
      <c r="P52" s="165"/>
      <c r="Q52" s="165"/>
      <c r="R52" s="165"/>
      <c r="S52" s="165"/>
      <c r="T52" s="165"/>
      <c r="U52" s="165"/>
      <c r="V52" s="165"/>
      <c r="W52" s="165"/>
    </row>
    <row r="53" spans="1:23" x14ac:dyDescent="0.25">
      <c r="A53" s="165" t="s">
        <v>249</v>
      </c>
      <c r="B53" s="165" t="s">
        <v>209</v>
      </c>
      <c r="C53" s="165" t="s">
        <v>206</v>
      </c>
      <c r="D53" s="165" t="s">
        <v>210</v>
      </c>
      <c r="E53" s="165">
        <v>30.67</v>
      </c>
      <c r="F53" s="165"/>
      <c r="G53" s="165" t="s">
        <v>277</v>
      </c>
      <c r="H53" s="165" t="s">
        <v>205</v>
      </c>
      <c r="I53" s="165" t="s">
        <v>206</v>
      </c>
      <c r="J53" s="165" t="s">
        <v>809</v>
      </c>
      <c r="K53" s="165">
        <v>35.97</v>
      </c>
      <c r="L53" s="165"/>
      <c r="M53" s="165"/>
      <c r="N53" s="165"/>
      <c r="O53" s="165"/>
      <c r="P53" s="165"/>
      <c r="Q53" s="165"/>
      <c r="R53" s="165"/>
      <c r="S53" s="165"/>
      <c r="T53" s="165"/>
      <c r="U53" s="165"/>
      <c r="V53" s="165"/>
      <c r="W53" s="165"/>
    </row>
    <row r="54" spans="1:23" x14ac:dyDescent="0.25">
      <c r="A54" s="165" t="s">
        <v>250</v>
      </c>
      <c r="B54" s="165" t="s">
        <v>205</v>
      </c>
      <c r="C54" s="165" t="s">
        <v>206</v>
      </c>
      <c r="D54" s="165" t="s">
        <v>809</v>
      </c>
      <c r="E54" s="165">
        <v>36.24</v>
      </c>
      <c r="F54" s="165"/>
      <c r="G54" s="165" t="s">
        <v>278</v>
      </c>
      <c r="H54" s="165" t="s">
        <v>205</v>
      </c>
      <c r="I54" s="165" t="s">
        <v>206</v>
      </c>
      <c r="J54" s="165" t="s">
        <v>809</v>
      </c>
      <c r="K54" s="165">
        <v>31.88</v>
      </c>
      <c r="L54" s="165">
        <f>AVERAGE(K54:K55)</f>
        <v>32.11</v>
      </c>
      <c r="M54" s="165"/>
      <c r="N54" s="165"/>
      <c r="O54" s="165"/>
      <c r="P54" s="165"/>
      <c r="Q54" s="165"/>
      <c r="R54" s="165"/>
      <c r="S54" s="165"/>
      <c r="T54" s="165"/>
      <c r="U54" s="165"/>
      <c r="V54" s="165"/>
      <c r="W54" s="165"/>
    </row>
    <row r="55" spans="1:23" x14ac:dyDescent="0.25">
      <c r="A55" s="165" t="s">
        <v>250</v>
      </c>
      <c r="B55" s="165" t="s">
        <v>209</v>
      </c>
      <c r="C55" s="165" t="s">
        <v>206</v>
      </c>
      <c r="D55" s="165" t="s">
        <v>210</v>
      </c>
      <c r="E55" s="165">
        <v>31.31</v>
      </c>
      <c r="F55" s="165"/>
      <c r="G55" s="165" t="s">
        <v>279</v>
      </c>
      <c r="H55" s="165" t="s">
        <v>205</v>
      </c>
      <c r="I55" s="165" t="s">
        <v>206</v>
      </c>
      <c r="J55" s="165" t="s">
        <v>809</v>
      </c>
      <c r="K55" s="165">
        <v>32.340000000000003</v>
      </c>
      <c r="L55" s="165"/>
      <c r="M55" s="165"/>
      <c r="N55" s="165"/>
      <c r="O55" s="165"/>
      <c r="P55" s="165"/>
      <c r="Q55" s="165"/>
      <c r="R55" s="165"/>
      <c r="S55" s="165"/>
      <c r="T55" s="165"/>
      <c r="U55" s="165"/>
      <c r="V55" s="165"/>
      <c r="W55" s="165"/>
    </row>
    <row r="56" spans="1:23" x14ac:dyDescent="0.25">
      <c r="A56" s="165" t="s">
        <v>251</v>
      </c>
      <c r="B56" s="165" t="s">
        <v>205</v>
      </c>
      <c r="C56" s="165" t="s">
        <v>206</v>
      </c>
      <c r="D56" s="165" t="s">
        <v>809</v>
      </c>
      <c r="E56" s="165">
        <v>38.01</v>
      </c>
      <c r="F56" s="165"/>
      <c r="G56" s="165" t="s">
        <v>280</v>
      </c>
      <c r="H56" s="165" t="s">
        <v>205</v>
      </c>
      <c r="I56" s="165" t="s">
        <v>206</v>
      </c>
      <c r="J56" s="165" t="s">
        <v>809</v>
      </c>
      <c r="K56" s="165">
        <v>31.66</v>
      </c>
      <c r="L56" s="165">
        <f>AVERAGE(K56:K57)</f>
        <v>31.484999999999999</v>
      </c>
      <c r="M56" s="165"/>
      <c r="N56" s="165"/>
      <c r="O56" s="165"/>
      <c r="P56" s="165"/>
      <c r="Q56" s="165"/>
      <c r="R56" s="165"/>
      <c r="S56" s="165"/>
      <c r="T56" s="165"/>
      <c r="U56" s="165"/>
      <c r="V56" s="165"/>
      <c r="W56" s="165"/>
    </row>
    <row r="57" spans="1:23" x14ac:dyDescent="0.25">
      <c r="A57" s="165" t="s">
        <v>251</v>
      </c>
      <c r="B57" s="165" t="s">
        <v>209</v>
      </c>
      <c r="C57" s="165" t="s">
        <v>206</v>
      </c>
      <c r="D57" s="165" t="s">
        <v>210</v>
      </c>
      <c r="E57" s="165">
        <v>30.92</v>
      </c>
      <c r="F57" s="165"/>
      <c r="G57" s="165" t="s">
        <v>281</v>
      </c>
      <c r="H57" s="165" t="s">
        <v>205</v>
      </c>
      <c r="I57" s="165" t="s">
        <v>206</v>
      </c>
      <c r="J57" s="165" t="s">
        <v>809</v>
      </c>
      <c r="K57" s="165">
        <v>31.31</v>
      </c>
      <c r="L57" s="165"/>
      <c r="M57" s="165"/>
      <c r="N57" s="165"/>
      <c r="O57" s="165"/>
      <c r="P57" s="165"/>
      <c r="Q57" s="165"/>
      <c r="R57" s="165"/>
      <c r="S57" s="165"/>
      <c r="T57" s="165"/>
      <c r="U57" s="165"/>
      <c r="V57" s="165"/>
      <c r="W57" s="165"/>
    </row>
    <row r="58" spans="1:23" x14ac:dyDescent="0.25">
      <c r="A58" s="165" t="s">
        <v>252</v>
      </c>
      <c r="B58" s="165" t="s">
        <v>205</v>
      </c>
      <c r="C58" s="165" t="s">
        <v>206</v>
      </c>
      <c r="D58" s="165" t="s">
        <v>809</v>
      </c>
      <c r="E58" s="165">
        <v>33.35</v>
      </c>
      <c r="F58" s="165"/>
      <c r="G58" s="165" t="s">
        <v>282</v>
      </c>
      <c r="H58" s="165" t="s">
        <v>205</v>
      </c>
      <c r="I58" s="165" t="s">
        <v>206</v>
      </c>
      <c r="J58" s="165" t="s">
        <v>809</v>
      </c>
      <c r="K58" s="165">
        <v>30.65</v>
      </c>
      <c r="L58" s="165">
        <f>AVERAGE(K58:K59)</f>
        <v>30.725000000000001</v>
      </c>
      <c r="M58" s="165"/>
      <c r="N58" s="165"/>
      <c r="O58" s="165"/>
      <c r="P58" s="165"/>
      <c r="Q58" s="165"/>
      <c r="R58" s="165"/>
      <c r="S58" s="165"/>
      <c r="T58" s="165"/>
      <c r="U58" s="165"/>
      <c r="V58" s="165"/>
      <c r="W58" s="165"/>
    </row>
    <row r="59" spans="1:23" x14ac:dyDescent="0.25">
      <c r="A59" s="165" t="s">
        <v>252</v>
      </c>
      <c r="B59" s="165" t="s">
        <v>209</v>
      </c>
      <c r="C59" s="165" t="s">
        <v>206</v>
      </c>
      <c r="D59" s="165" t="s">
        <v>210</v>
      </c>
      <c r="E59" s="165">
        <v>31.34</v>
      </c>
      <c r="F59" s="165"/>
      <c r="G59" s="165" t="s">
        <v>283</v>
      </c>
      <c r="H59" s="165" t="s">
        <v>205</v>
      </c>
      <c r="I59" s="165" t="s">
        <v>206</v>
      </c>
      <c r="J59" s="165" t="s">
        <v>809</v>
      </c>
      <c r="K59" s="165">
        <v>30.8</v>
      </c>
      <c r="L59" s="165"/>
      <c r="M59" s="165"/>
      <c r="N59" s="165"/>
      <c r="O59" s="165"/>
      <c r="P59" s="300" t="s">
        <v>553</v>
      </c>
      <c r="Q59" s="300"/>
      <c r="R59" s="300"/>
      <c r="S59" s="300"/>
      <c r="T59" s="300"/>
      <c r="U59" s="300"/>
      <c r="V59" s="300"/>
      <c r="W59" s="300"/>
    </row>
    <row r="60" spans="1:23" ht="45" x14ac:dyDescent="0.25">
      <c r="A60" s="165" t="s">
        <v>253</v>
      </c>
      <c r="B60" s="165" t="s">
        <v>205</v>
      </c>
      <c r="C60" s="165" t="s">
        <v>206</v>
      </c>
      <c r="D60" s="165" t="s">
        <v>809</v>
      </c>
      <c r="E60" s="165">
        <v>33.29</v>
      </c>
      <c r="F60" s="165"/>
      <c r="G60" s="165" t="s">
        <v>284</v>
      </c>
      <c r="H60" s="165" t="s">
        <v>205</v>
      </c>
      <c r="I60" s="165" t="s">
        <v>206</v>
      </c>
      <c r="J60" s="165" t="s">
        <v>809</v>
      </c>
      <c r="K60" s="165">
        <v>30.42</v>
      </c>
      <c r="L60" s="165">
        <f>AVERAGE(K60:K61)</f>
        <v>30.58</v>
      </c>
      <c r="M60" s="165"/>
      <c r="N60" s="166" t="s">
        <v>554</v>
      </c>
      <c r="O60" s="90" t="s">
        <v>20</v>
      </c>
      <c r="P60" s="90" t="s">
        <v>21</v>
      </c>
      <c r="Q60" s="90" t="s">
        <v>22</v>
      </c>
      <c r="R60" s="90" t="s">
        <v>23</v>
      </c>
      <c r="S60" s="90" t="s">
        <v>25</v>
      </c>
      <c r="T60" s="90" t="s">
        <v>224</v>
      </c>
      <c r="U60" s="90" t="s">
        <v>555</v>
      </c>
      <c r="V60" s="90" t="s">
        <v>556</v>
      </c>
      <c r="W60" s="90"/>
    </row>
    <row r="61" spans="1:23" x14ac:dyDescent="0.25">
      <c r="A61" s="165" t="s">
        <v>253</v>
      </c>
      <c r="B61" s="165" t="s">
        <v>209</v>
      </c>
      <c r="C61" s="165" t="s">
        <v>206</v>
      </c>
      <c r="D61" s="165" t="s">
        <v>210</v>
      </c>
      <c r="E61" s="165">
        <v>31.51</v>
      </c>
      <c r="F61" s="165"/>
      <c r="G61" s="165" t="s">
        <v>285</v>
      </c>
      <c r="H61" s="165" t="s">
        <v>205</v>
      </c>
      <c r="I61" s="165" t="s">
        <v>206</v>
      </c>
      <c r="J61" s="165" t="s">
        <v>809</v>
      </c>
      <c r="K61" s="165">
        <v>30.74</v>
      </c>
      <c r="L61" s="165"/>
      <c r="M61" s="165"/>
      <c r="N61" s="165"/>
      <c r="O61" s="89" t="s">
        <v>29</v>
      </c>
      <c r="P61" s="84">
        <v>100</v>
      </c>
      <c r="Q61" s="165">
        <f>P61*1000000</f>
        <v>100000000</v>
      </c>
      <c r="R61" s="89"/>
      <c r="S61" s="89"/>
      <c r="T61" s="165"/>
      <c r="U61" s="165"/>
      <c r="V61" s="165"/>
      <c r="W61" s="89"/>
    </row>
    <row r="62" spans="1:23" x14ac:dyDescent="0.25">
      <c r="A62" s="165" t="s">
        <v>254</v>
      </c>
      <c r="B62" s="165" t="s">
        <v>205</v>
      </c>
      <c r="C62" s="165" t="s">
        <v>206</v>
      </c>
      <c r="D62" s="165" t="s">
        <v>809</v>
      </c>
      <c r="E62" s="165">
        <v>32.32</v>
      </c>
      <c r="F62" s="165"/>
      <c r="G62" s="165" t="s">
        <v>286</v>
      </c>
      <c r="H62" s="165" t="s">
        <v>205</v>
      </c>
      <c r="I62" s="165" t="s">
        <v>206</v>
      </c>
      <c r="J62" s="165" t="s">
        <v>809</v>
      </c>
      <c r="K62" s="165">
        <v>42.24</v>
      </c>
      <c r="L62" s="165">
        <f>AVERAGE(K62:K63)</f>
        <v>42.24</v>
      </c>
      <c r="M62" s="165"/>
      <c r="N62" s="165" t="s">
        <v>558</v>
      </c>
      <c r="O62" s="165"/>
      <c r="P62" s="165">
        <f>P61/100/100</f>
        <v>0.01</v>
      </c>
      <c r="Q62" s="165">
        <v>10000</v>
      </c>
      <c r="R62" s="165">
        <v>6022000000000.002</v>
      </c>
      <c r="S62" s="165">
        <v>12044000000.000004</v>
      </c>
      <c r="T62" s="165">
        <f t="shared" ref="T62:T68" si="2">LOG(S62)</f>
        <v>10.080770746840722</v>
      </c>
      <c r="U62" s="165">
        <v>11.383333333333333</v>
      </c>
      <c r="V62" s="165">
        <v>9.451631252505216E-2</v>
      </c>
      <c r="W62" s="89"/>
    </row>
    <row r="63" spans="1:23" x14ac:dyDescent="0.25">
      <c r="A63" s="165" t="s">
        <v>254</v>
      </c>
      <c r="B63" s="165" t="s">
        <v>209</v>
      </c>
      <c r="C63" s="165" t="s">
        <v>206</v>
      </c>
      <c r="D63" s="165" t="s">
        <v>210</v>
      </c>
      <c r="E63" s="165">
        <v>31.25</v>
      </c>
      <c r="F63" s="165"/>
      <c r="G63" s="165" t="s">
        <v>287</v>
      </c>
      <c r="H63" s="165" t="s">
        <v>205</v>
      </c>
      <c r="I63" s="165" t="s">
        <v>206</v>
      </c>
      <c r="J63" s="165" t="s">
        <v>809</v>
      </c>
      <c r="K63" s="165" t="s">
        <v>220</v>
      </c>
      <c r="L63" s="165"/>
      <c r="M63" s="165"/>
      <c r="N63" s="165" t="s">
        <v>559</v>
      </c>
      <c r="O63" s="165"/>
      <c r="P63" s="165">
        <f>P62/10</f>
        <v>1E-3</v>
      </c>
      <c r="Q63" s="165">
        <v>1000</v>
      </c>
      <c r="R63" s="165">
        <v>602200000000.00024</v>
      </c>
      <c r="S63" s="165">
        <v>1204400000.0000005</v>
      </c>
      <c r="T63" s="165">
        <f t="shared" si="2"/>
        <v>9.0807707468407219</v>
      </c>
      <c r="U63" s="165">
        <v>15.413333333333334</v>
      </c>
      <c r="V63" s="165">
        <v>6.6583281184794105E-2</v>
      </c>
      <c r="W63" s="89"/>
    </row>
    <row r="64" spans="1:23" x14ac:dyDescent="0.25">
      <c r="A64" s="165" t="s">
        <v>255</v>
      </c>
      <c r="B64" s="165" t="s">
        <v>205</v>
      </c>
      <c r="C64" s="165" t="s">
        <v>206</v>
      </c>
      <c r="D64" s="165" t="s">
        <v>809</v>
      </c>
      <c r="E64" s="165">
        <v>32.14</v>
      </c>
      <c r="F64" s="165"/>
      <c r="G64" s="165" t="s">
        <v>288</v>
      </c>
      <c r="H64" s="165" t="s">
        <v>205</v>
      </c>
      <c r="I64" s="165" t="s">
        <v>206</v>
      </c>
      <c r="J64" s="165" t="s">
        <v>809</v>
      </c>
      <c r="K64" s="165">
        <v>34.479999999999997</v>
      </c>
      <c r="L64" s="165">
        <f>AVERAGE(K64:K65)</f>
        <v>35.194999999999993</v>
      </c>
      <c r="M64" s="165"/>
      <c r="N64" s="165" t="s">
        <v>561</v>
      </c>
      <c r="O64" s="165"/>
      <c r="P64" s="165">
        <f t="shared" ref="P64:P68" si="3">P63/10</f>
        <v>1E-4</v>
      </c>
      <c r="Q64" s="165">
        <v>100</v>
      </c>
      <c r="R64" s="165">
        <v>60220000000.000023</v>
      </c>
      <c r="S64" s="165">
        <v>120440000.00000004</v>
      </c>
      <c r="T64" s="165">
        <f t="shared" si="2"/>
        <v>8.0807707468407219</v>
      </c>
      <c r="U64" s="165">
        <v>19.503333333333334</v>
      </c>
      <c r="V64" s="165">
        <v>0.100166528008777</v>
      </c>
      <c r="W64" s="89"/>
    </row>
    <row r="65" spans="1:25" x14ac:dyDescent="0.25">
      <c r="A65" s="165" t="s">
        <v>255</v>
      </c>
      <c r="B65" s="165" t="s">
        <v>209</v>
      </c>
      <c r="C65" s="165" t="s">
        <v>206</v>
      </c>
      <c r="D65" s="165" t="s">
        <v>210</v>
      </c>
      <c r="E65" s="165">
        <v>30.85</v>
      </c>
      <c r="F65" s="165"/>
      <c r="G65" s="165" t="s">
        <v>289</v>
      </c>
      <c r="H65" s="165" t="s">
        <v>205</v>
      </c>
      <c r="I65" s="165" t="s">
        <v>206</v>
      </c>
      <c r="J65" s="165" t="s">
        <v>809</v>
      </c>
      <c r="K65" s="165">
        <v>35.909999999999997</v>
      </c>
      <c r="L65" s="165"/>
      <c r="M65" s="165"/>
      <c r="N65" s="165" t="s">
        <v>563</v>
      </c>
      <c r="O65" s="165"/>
      <c r="P65" s="165">
        <f t="shared" si="3"/>
        <v>1.0000000000000001E-5</v>
      </c>
      <c r="Q65" s="165">
        <v>10</v>
      </c>
      <c r="R65" s="165">
        <v>6022000000.0000019</v>
      </c>
      <c r="S65" s="165">
        <v>12044000.000000004</v>
      </c>
      <c r="T65" s="165">
        <f t="shared" si="2"/>
        <v>7.0807707468407219</v>
      </c>
      <c r="U65" s="165">
        <v>22.659999999999997</v>
      </c>
      <c r="V65" s="165">
        <v>0.14933184523067927</v>
      </c>
      <c r="W65" s="89"/>
      <c r="X65" s="165"/>
      <c r="Y65" s="165"/>
    </row>
    <row r="66" spans="1:25" x14ac:dyDescent="0.25">
      <c r="A66" s="165" t="s">
        <v>256</v>
      </c>
      <c r="B66" s="165" t="s">
        <v>205</v>
      </c>
      <c r="C66" s="165" t="s">
        <v>206</v>
      </c>
      <c r="D66" s="165" t="s">
        <v>809</v>
      </c>
      <c r="E66" s="165">
        <v>32.36</v>
      </c>
      <c r="F66" s="165"/>
      <c r="G66" s="165" t="s">
        <v>290</v>
      </c>
      <c r="H66" s="165" t="s">
        <v>205</v>
      </c>
      <c r="I66" s="165" t="s">
        <v>206</v>
      </c>
      <c r="J66" s="165" t="s">
        <v>809</v>
      </c>
      <c r="K66" s="165">
        <v>30.96</v>
      </c>
      <c r="L66" s="165">
        <f>AVERAGE(K66:K67)</f>
        <v>31.35</v>
      </c>
      <c r="M66" s="165"/>
      <c r="N66" s="165" t="s">
        <v>565</v>
      </c>
      <c r="O66" s="165"/>
      <c r="P66" s="165">
        <f t="shared" si="3"/>
        <v>1.0000000000000002E-6</v>
      </c>
      <c r="Q66" s="165">
        <v>1.0000000000000002</v>
      </c>
      <c r="R66" s="165">
        <v>602200000.00000024</v>
      </c>
      <c r="S66" s="165">
        <v>1204400.0000000005</v>
      </c>
      <c r="T66" s="165">
        <f t="shared" si="2"/>
        <v>6.0807707468407219</v>
      </c>
      <c r="U66" s="165">
        <v>24.17</v>
      </c>
      <c r="V66" s="165">
        <v>0.19519221295943165</v>
      </c>
      <c r="W66" s="89"/>
      <c r="X66" s="165"/>
      <c r="Y66" s="165"/>
    </row>
    <row r="67" spans="1:25" x14ac:dyDescent="0.25">
      <c r="A67" s="165" t="s">
        <v>256</v>
      </c>
      <c r="B67" s="165" t="s">
        <v>209</v>
      </c>
      <c r="C67" s="165" t="s">
        <v>206</v>
      </c>
      <c r="D67" s="165" t="s">
        <v>210</v>
      </c>
      <c r="E67" s="165">
        <v>31.39</v>
      </c>
      <c r="F67" s="165"/>
      <c r="G67" s="165" t="s">
        <v>291</v>
      </c>
      <c r="H67" s="165" t="s">
        <v>205</v>
      </c>
      <c r="I67" s="165" t="s">
        <v>206</v>
      </c>
      <c r="J67" s="165" t="s">
        <v>809</v>
      </c>
      <c r="K67" s="165">
        <v>31.74</v>
      </c>
      <c r="L67" s="165"/>
      <c r="M67" s="165"/>
      <c r="N67" s="165" t="s">
        <v>566</v>
      </c>
      <c r="O67" s="165"/>
      <c r="P67" s="165">
        <f t="shared" si="3"/>
        <v>1.0000000000000002E-7</v>
      </c>
      <c r="Q67" s="165">
        <v>0.10000000000000002</v>
      </c>
      <c r="R67" s="165">
        <v>60220000.000000022</v>
      </c>
      <c r="S67" s="165">
        <v>120440.00000000004</v>
      </c>
      <c r="T67" s="165">
        <f t="shared" si="2"/>
        <v>5.0807707468407219</v>
      </c>
      <c r="U67" s="165">
        <v>27.703333333333333</v>
      </c>
      <c r="V67" s="165">
        <v>0.33171272711991778</v>
      </c>
      <c r="W67" s="89"/>
      <c r="X67" s="165"/>
      <c r="Y67" s="165"/>
    </row>
    <row r="68" spans="1:25" x14ac:dyDescent="0.25">
      <c r="A68" s="165" t="s">
        <v>257</v>
      </c>
      <c r="B68" s="165" t="s">
        <v>205</v>
      </c>
      <c r="C68" s="165" t="s">
        <v>206</v>
      </c>
      <c r="D68" s="165" t="s">
        <v>809</v>
      </c>
      <c r="E68" s="165">
        <v>32.340000000000003</v>
      </c>
      <c r="F68" s="165"/>
      <c r="G68" s="165" t="s">
        <v>292</v>
      </c>
      <c r="H68" s="165" t="s">
        <v>205</v>
      </c>
      <c r="I68" s="165" t="s">
        <v>206</v>
      </c>
      <c r="J68" s="165" t="s">
        <v>809</v>
      </c>
      <c r="K68" s="165">
        <v>30.95</v>
      </c>
      <c r="L68" s="165">
        <f>AVERAGE(K68:K69)</f>
        <v>30.695</v>
      </c>
      <c r="M68" s="165"/>
      <c r="N68" s="165" t="s">
        <v>940</v>
      </c>
      <c r="O68" s="165"/>
      <c r="P68" s="165">
        <f t="shared" si="3"/>
        <v>1.0000000000000002E-8</v>
      </c>
      <c r="Q68" s="165">
        <v>1.0000000000000002E-2</v>
      </c>
      <c r="R68" s="165">
        <v>6022000.0000000019</v>
      </c>
      <c r="S68" s="165">
        <v>12044.000000000004</v>
      </c>
      <c r="T68" s="165">
        <f t="shared" si="2"/>
        <v>4.0807707468407219</v>
      </c>
      <c r="U68" s="165">
        <v>31.39</v>
      </c>
      <c r="V68" s="165">
        <v>1.1017713011328596</v>
      </c>
      <c r="W68" s="89"/>
      <c r="X68" s="165"/>
      <c r="Y68" s="165"/>
    </row>
    <row r="69" spans="1:25" x14ac:dyDescent="0.25">
      <c r="A69" s="165" t="s">
        <v>257</v>
      </c>
      <c r="B69" s="165" t="s">
        <v>209</v>
      </c>
      <c r="C69" s="165" t="s">
        <v>206</v>
      </c>
      <c r="D69" s="165" t="s">
        <v>210</v>
      </c>
      <c r="E69" s="165">
        <v>30.9</v>
      </c>
      <c r="F69" s="165"/>
      <c r="G69" s="165" t="s">
        <v>293</v>
      </c>
      <c r="H69" s="165" t="s">
        <v>205</v>
      </c>
      <c r="I69" s="165" t="s">
        <v>206</v>
      </c>
      <c r="J69" s="165" t="s">
        <v>809</v>
      </c>
      <c r="K69" s="165">
        <v>30.44</v>
      </c>
      <c r="L69" s="165"/>
      <c r="M69" s="165"/>
      <c r="N69" s="165"/>
      <c r="O69" s="165"/>
      <c r="P69" s="165"/>
      <c r="Q69" s="165"/>
      <c r="R69" s="165"/>
      <c r="S69" s="165"/>
      <c r="T69" s="165"/>
      <c r="U69" s="165"/>
      <c r="V69" s="165"/>
      <c r="W69" s="165"/>
      <c r="X69" s="165"/>
      <c r="Y69" s="165"/>
    </row>
    <row r="70" spans="1:25" x14ac:dyDescent="0.25">
      <c r="A70" s="165" t="s">
        <v>258</v>
      </c>
      <c r="B70" s="165" t="s">
        <v>205</v>
      </c>
      <c r="C70" s="165" t="s">
        <v>206</v>
      </c>
      <c r="D70" s="165" t="s">
        <v>809</v>
      </c>
      <c r="E70" s="165">
        <v>31.94</v>
      </c>
      <c r="F70" s="165"/>
      <c r="G70" s="165" t="s">
        <v>294</v>
      </c>
      <c r="H70" s="165" t="s">
        <v>205</v>
      </c>
      <c r="I70" s="165" t="s">
        <v>206</v>
      </c>
      <c r="J70" s="165" t="s">
        <v>809</v>
      </c>
      <c r="K70" s="165">
        <v>30.24</v>
      </c>
      <c r="L70" s="165">
        <f>AVERAGE(K70:K71)</f>
        <v>30.229999999999997</v>
      </c>
      <c r="M70" s="165"/>
      <c r="N70" s="165"/>
      <c r="O70" s="165"/>
      <c r="P70" s="165"/>
      <c r="Q70" s="165"/>
      <c r="R70" s="165"/>
      <c r="S70" s="165"/>
      <c r="T70" s="165"/>
      <c r="U70" s="165"/>
      <c r="V70" s="165"/>
      <c r="W70" s="165"/>
      <c r="X70" s="165" t="s">
        <v>568</v>
      </c>
      <c r="Y70" s="165" t="s">
        <v>240</v>
      </c>
    </row>
    <row r="71" spans="1:25" x14ac:dyDescent="0.25">
      <c r="A71" s="165" t="s">
        <v>258</v>
      </c>
      <c r="B71" s="165" t="s">
        <v>209</v>
      </c>
      <c r="C71" s="165" t="s">
        <v>206</v>
      </c>
      <c r="D71" s="165" t="s">
        <v>210</v>
      </c>
      <c r="E71" s="165">
        <v>30.44</v>
      </c>
      <c r="F71" s="165"/>
      <c r="G71" s="165" t="s">
        <v>295</v>
      </c>
      <c r="H71" s="165" t="s">
        <v>205</v>
      </c>
      <c r="I71" s="165" t="s">
        <v>206</v>
      </c>
      <c r="J71" s="165" t="s">
        <v>809</v>
      </c>
      <c r="K71" s="165">
        <v>30.22</v>
      </c>
      <c r="L71" s="165"/>
      <c r="M71" s="165"/>
      <c r="N71" s="165"/>
      <c r="O71" s="165"/>
      <c r="P71" s="165"/>
      <c r="Q71" s="165"/>
      <c r="R71" s="165"/>
      <c r="S71" s="165"/>
      <c r="T71" s="165"/>
      <c r="U71" s="165"/>
      <c r="V71" s="165"/>
      <c r="W71" s="165"/>
      <c r="X71" s="165">
        <f t="array" ref="X71:Y71">LINEST(U62:U68,T62:T68)</f>
        <v>-3.1880952380952392</v>
      </c>
      <c r="Y71" s="165">
        <v>44.32036197623745</v>
      </c>
    </row>
    <row r="72" spans="1:25" x14ac:dyDescent="0.25">
      <c r="A72" s="165" t="s">
        <v>259</v>
      </c>
      <c r="B72" s="165" t="s">
        <v>205</v>
      </c>
      <c r="C72" s="165" t="s">
        <v>206</v>
      </c>
      <c r="D72" s="165" t="s">
        <v>809</v>
      </c>
      <c r="E72" s="165">
        <v>32.36</v>
      </c>
      <c r="F72" s="165"/>
      <c r="G72" s="165" t="s">
        <v>296</v>
      </c>
      <c r="H72" s="165" t="s">
        <v>205</v>
      </c>
      <c r="I72" s="165" t="s">
        <v>206</v>
      </c>
      <c r="J72" s="165" t="s">
        <v>809</v>
      </c>
      <c r="K72" s="165">
        <v>30.06</v>
      </c>
      <c r="L72" s="165">
        <f>AVERAGE(K72:K73)</f>
        <v>30.215</v>
      </c>
      <c r="M72" s="165"/>
      <c r="N72" s="165"/>
      <c r="O72" s="165"/>
      <c r="P72" s="165"/>
      <c r="Q72" s="165"/>
      <c r="R72" s="165"/>
      <c r="S72" s="165"/>
      <c r="T72" s="165"/>
      <c r="U72" s="165"/>
      <c r="V72" s="165"/>
      <c r="W72" s="165"/>
      <c r="X72" s="165"/>
      <c r="Y72" s="165"/>
    </row>
    <row r="73" spans="1:25" x14ac:dyDescent="0.25">
      <c r="A73" s="165" t="s">
        <v>259</v>
      </c>
      <c r="B73" s="165" t="s">
        <v>209</v>
      </c>
      <c r="C73" s="165" t="s">
        <v>206</v>
      </c>
      <c r="D73" s="165" t="s">
        <v>210</v>
      </c>
      <c r="E73" s="165">
        <v>31.38</v>
      </c>
      <c r="F73" s="165"/>
      <c r="G73" s="165" t="s">
        <v>297</v>
      </c>
      <c r="H73" s="165" t="s">
        <v>205</v>
      </c>
      <c r="I73" s="165" t="s">
        <v>206</v>
      </c>
      <c r="J73" s="165" t="s">
        <v>809</v>
      </c>
      <c r="K73" s="165">
        <v>30.37</v>
      </c>
      <c r="L73" s="165"/>
      <c r="M73" s="165"/>
      <c r="N73" s="165"/>
      <c r="O73" s="165"/>
      <c r="P73" s="165"/>
      <c r="Q73" s="165"/>
      <c r="R73" s="165"/>
      <c r="S73" s="165"/>
      <c r="T73" s="165"/>
      <c r="U73" s="165"/>
      <c r="V73" s="165"/>
      <c r="W73" s="165"/>
      <c r="X73" s="119" t="s">
        <v>241</v>
      </c>
      <c r="Y73" s="120">
        <f>10^(-1/X71)-1</f>
        <v>1.0590501084342865</v>
      </c>
    </row>
    <row r="74" spans="1:25" x14ac:dyDescent="0.25">
      <c r="A74" s="165" t="s">
        <v>260</v>
      </c>
      <c r="B74" s="165" t="s">
        <v>205</v>
      </c>
      <c r="C74" s="165" t="s">
        <v>206</v>
      </c>
      <c r="D74" s="165" t="s">
        <v>809</v>
      </c>
      <c r="E74" s="165">
        <v>36.81</v>
      </c>
      <c r="F74" s="165"/>
      <c r="G74" s="165" t="s">
        <v>298</v>
      </c>
      <c r="H74" s="165" t="s">
        <v>205</v>
      </c>
      <c r="I74" s="165" t="s">
        <v>206</v>
      </c>
      <c r="J74" s="165" t="s">
        <v>809</v>
      </c>
      <c r="K74" s="165">
        <v>11.35</v>
      </c>
      <c r="L74" s="165">
        <f>AVERAGE(K74:K76)</f>
        <v>11.383333333333333</v>
      </c>
      <c r="M74" s="165">
        <f>STDEV(K74:K76)</f>
        <v>9.451631252505216E-2</v>
      </c>
      <c r="N74" s="165"/>
      <c r="O74" s="165"/>
      <c r="P74" s="165"/>
      <c r="Q74" s="165"/>
      <c r="R74" s="165"/>
      <c r="S74" s="165"/>
      <c r="T74" s="165"/>
      <c r="U74" s="165"/>
      <c r="V74" s="165"/>
      <c r="W74" s="165"/>
      <c r="X74" s="165"/>
      <c r="Y74" s="165"/>
    </row>
    <row r="75" spans="1:25" x14ac:dyDescent="0.25">
      <c r="A75" s="165" t="s">
        <v>260</v>
      </c>
      <c r="B75" s="165" t="s">
        <v>209</v>
      </c>
      <c r="C75" s="165" t="s">
        <v>206</v>
      </c>
      <c r="D75" s="165" t="s">
        <v>210</v>
      </c>
      <c r="E75" s="165">
        <v>31.61</v>
      </c>
      <c r="F75" s="165"/>
      <c r="G75" s="165" t="s">
        <v>299</v>
      </c>
      <c r="H75" s="165" t="s">
        <v>205</v>
      </c>
      <c r="I75" s="165" t="s">
        <v>206</v>
      </c>
      <c r="J75" s="165" t="s">
        <v>809</v>
      </c>
      <c r="K75" s="165">
        <v>11.49</v>
      </c>
      <c r="L75" s="165"/>
      <c r="M75" s="165"/>
      <c r="N75" s="165"/>
      <c r="O75" s="165"/>
      <c r="P75" s="165"/>
      <c r="Q75" s="165"/>
      <c r="R75" s="165"/>
      <c r="S75" s="165"/>
      <c r="T75" s="165"/>
      <c r="U75" s="165"/>
      <c r="V75" s="165"/>
      <c r="W75" s="165"/>
      <c r="X75" s="165"/>
      <c r="Y75" s="165"/>
    </row>
    <row r="76" spans="1:25" x14ac:dyDescent="0.25">
      <c r="A76" s="165" t="s">
        <v>261</v>
      </c>
      <c r="B76" s="165" t="s">
        <v>205</v>
      </c>
      <c r="C76" s="165" t="s">
        <v>206</v>
      </c>
      <c r="D76" s="165" t="s">
        <v>809</v>
      </c>
      <c r="E76" s="165" t="s">
        <v>220</v>
      </c>
      <c r="F76" s="165"/>
      <c r="G76" s="165" t="s">
        <v>300</v>
      </c>
      <c r="H76" s="165" t="s">
        <v>205</v>
      </c>
      <c r="I76" s="165" t="s">
        <v>206</v>
      </c>
      <c r="J76" s="165" t="s">
        <v>809</v>
      </c>
      <c r="K76" s="165">
        <v>11.31</v>
      </c>
      <c r="L76" s="165"/>
      <c r="M76" s="165"/>
      <c r="N76" s="165"/>
      <c r="O76" s="165"/>
      <c r="P76" s="165"/>
      <c r="Q76" s="165"/>
      <c r="R76" s="165"/>
      <c r="S76" s="165"/>
      <c r="T76" s="165"/>
      <c r="U76" s="165"/>
      <c r="V76" s="165"/>
      <c r="W76" s="165"/>
      <c r="X76" s="165"/>
      <c r="Y76" s="165"/>
    </row>
    <row r="77" spans="1:25" x14ac:dyDescent="0.25">
      <c r="A77" s="165" t="s">
        <v>261</v>
      </c>
      <c r="B77" s="165" t="s">
        <v>209</v>
      </c>
      <c r="C77" s="165" t="s">
        <v>206</v>
      </c>
      <c r="D77" s="165" t="s">
        <v>210</v>
      </c>
      <c r="E77" s="165">
        <v>30.99</v>
      </c>
      <c r="F77" s="165"/>
      <c r="G77" s="165" t="s">
        <v>301</v>
      </c>
      <c r="H77" s="165" t="s">
        <v>205</v>
      </c>
      <c r="I77" s="165" t="s">
        <v>206</v>
      </c>
      <c r="J77" s="165" t="s">
        <v>809</v>
      </c>
      <c r="K77" s="165">
        <v>15.37</v>
      </c>
      <c r="L77" s="165">
        <f>AVERAGE(K77:K79)</f>
        <v>15.413333333333334</v>
      </c>
      <c r="M77" s="165">
        <f>STDEV(K77:K79)</f>
        <v>6.6583281184794105E-2</v>
      </c>
      <c r="N77" s="165"/>
      <c r="O77" s="165"/>
      <c r="P77" s="165"/>
      <c r="Q77" s="165"/>
      <c r="R77" s="165"/>
      <c r="S77" s="165"/>
      <c r="T77" s="165"/>
      <c r="U77" s="165"/>
      <c r="V77" s="165"/>
      <c r="W77" s="165"/>
      <c r="X77" s="165"/>
      <c r="Y77" s="165"/>
    </row>
    <row r="78" spans="1:25" x14ac:dyDescent="0.25">
      <c r="A78" s="165" t="s">
        <v>262</v>
      </c>
      <c r="B78" s="165" t="s">
        <v>205</v>
      </c>
      <c r="C78" s="165" t="s">
        <v>206</v>
      </c>
      <c r="D78" s="165" t="s">
        <v>809</v>
      </c>
      <c r="E78" s="165">
        <v>35.58</v>
      </c>
      <c r="F78" s="165"/>
      <c r="G78" s="165" t="s">
        <v>302</v>
      </c>
      <c r="H78" s="165" t="s">
        <v>205</v>
      </c>
      <c r="I78" s="165" t="s">
        <v>206</v>
      </c>
      <c r="J78" s="165" t="s">
        <v>809</v>
      </c>
      <c r="K78" s="165">
        <v>15.49</v>
      </c>
      <c r="L78" s="165"/>
      <c r="M78" s="165"/>
      <c r="N78" s="165"/>
      <c r="O78" s="165"/>
      <c r="P78" s="165"/>
      <c r="Q78" s="165"/>
      <c r="R78" s="165"/>
      <c r="S78" s="165"/>
      <c r="T78" s="165"/>
      <c r="U78" s="165"/>
      <c r="V78" s="165"/>
      <c r="W78" s="165"/>
      <c r="X78" s="165"/>
      <c r="Y78" s="165"/>
    </row>
    <row r="79" spans="1:25" x14ac:dyDescent="0.25">
      <c r="A79" s="165" t="s">
        <v>262</v>
      </c>
      <c r="B79" s="165" t="s">
        <v>209</v>
      </c>
      <c r="C79" s="165" t="s">
        <v>206</v>
      </c>
      <c r="D79" s="165" t="s">
        <v>210</v>
      </c>
      <c r="E79" s="165">
        <v>31.19</v>
      </c>
      <c r="F79" s="165"/>
      <c r="G79" s="165" t="s">
        <v>303</v>
      </c>
      <c r="H79" s="165" t="s">
        <v>205</v>
      </c>
      <c r="I79" s="165" t="s">
        <v>206</v>
      </c>
      <c r="J79" s="165" t="s">
        <v>809</v>
      </c>
      <c r="K79" s="165">
        <v>15.38</v>
      </c>
      <c r="L79" s="165"/>
      <c r="M79" s="165"/>
      <c r="N79" s="165"/>
      <c r="O79" s="165"/>
      <c r="P79" s="165"/>
      <c r="Q79" s="165"/>
      <c r="R79" s="165"/>
      <c r="S79" s="165"/>
      <c r="T79" s="165"/>
      <c r="U79" s="165"/>
      <c r="V79" s="165"/>
      <c r="W79" s="165"/>
      <c r="X79" s="165"/>
      <c r="Y79" s="165"/>
    </row>
    <row r="80" spans="1:25" x14ac:dyDescent="0.25">
      <c r="A80" s="165" t="s">
        <v>263</v>
      </c>
      <c r="B80" s="165" t="s">
        <v>205</v>
      </c>
      <c r="C80" s="165" t="s">
        <v>206</v>
      </c>
      <c r="D80" s="165" t="s">
        <v>809</v>
      </c>
      <c r="E80" s="165">
        <v>36.1</v>
      </c>
      <c r="F80" s="165"/>
      <c r="G80" s="165" t="s">
        <v>304</v>
      </c>
      <c r="H80" s="165" t="s">
        <v>205</v>
      </c>
      <c r="I80" s="165" t="s">
        <v>206</v>
      </c>
      <c r="J80" s="165" t="s">
        <v>809</v>
      </c>
      <c r="K80" s="165">
        <v>19.579999999999998</v>
      </c>
      <c r="L80" s="165">
        <f>AVERAGE(K80:K82)</f>
        <v>19.503333333333334</v>
      </c>
      <c r="M80" s="165">
        <f>STDEV(K80:K82)</f>
        <v>0.100166528008777</v>
      </c>
      <c r="N80" s="165"/>
      <c r="O80" s="165"/>
      <c r="P80" s="165"/>
      <c r="Q80" s="165"/>
      <c r="R80" s="165"/>
      <c r="S80" s="165"/>
      <c r="T80" s="165"/>
      <c r="U80" s="165"/>
      <c r="V80" s="165"/>
      <c r="W80" s="165"/>
      <c r="X80" s="165"/>
      <c r="Y80" s="165"/>
    </row>
    <row r="81" spans="1:21" x14ac:dyDescent="0.25">
      <c r="A81" s="165" t="s">
        <v>263</v>
      </c>
      <c r="B81" s="165" t="s">
        <v>209</v>
      </c>
      <c r="C81" s="165" t="s">
        <v>206</v>
      </c>
      <c r="D81" s="165" t="s">
        <v>210</v>
      </c>
      <c r="E81" s="165">
        <v>31.42</v>
      </c>
      <c r="F81" s="165"/>
      <c r="G81" s="165" t="s">
        <v>305</v>
      </c>
      <c r="H81" s="165" t="s">
        <v>205</v>
      </c>
      <c r="I81" s="165" t="s">
        <v>206</v>
      </c>
      <c r="J81" s="165" t="s">
        <v>809</v>
      </c>
      <c r="K81" s="165">
        <v>19.54</v>
      </c>
      <c r="L81" s="165"/>
      <c r="M81" s="165"/>
      <c r="N81" s="165"/>
      <c r="O81" s="165"/>
      <c r="P81" s="165"/>
      <c r="Q81" s="165"/>
      <c r="R81" s="165"/>
      <c r="S81" s="165"/>
      <c r="T81" s="165"/>
      <c r="U81" s="165"/>
    </row>
    <row r="82" spans="1:21" x14ac:dyDescent="0.25">
      <c r="A82" s="165" t="s">
        <v>264</v>
      </c>
      <c r="B82" s="165" t="s">
        <v>205</v>
      </c>
      <c r="C82" s="165" t="s">
        <v>206</v>
      </c>
      <c r="D82" s="165" t="s">
        <v>809</v>
      </c>
      <c r="E82" s="165">
        <v>32.76</v>
      </c>
      <c r="F82" s="165"/>
      <c r="G82" s="165" t="s">
        <v>306</v>
      </c>
      <c r="H82" s="165" t="s">
        <v>205</v>
      </c>
      <c r="I82" s="165" t="s">
        <v>206</v>
      </c>
      <c r="J82" s="165" t="s">
        <v>809</v>
      </c>
      <c r="K82" s="165">
        <v>19.39</v>
      </c>
      <c r="L82" s="165"/>
      <c r="M82" s="165"/>
      <c r="N82" s="165"/>
      <c r="O82" s="165"/>
      <c r="P82" s="165"/>
      <c r="Q82" s="165"/>
      <c r="R82" s="165"/>
      <c r="S82" s="165"/>
      <c r="T82" s="165"/>
      <c r="U82" s="165"/>
    </row>
    <row r="83" spans="1:21" x14ac:dyDescent="0.25">
      <c r="A83" s="165" t="s">
        <v>264</v>
      </c>
      <c r="B83" s="165" t="s">
        <v>209</v>
      </c>
      <c r="C83" s="165" t="s">
        <v>206</v>
      </c>
      <c r="D83" s="165" t="s">
        <v>210</v>
      </c>
      <c r="E83" s="165">
        <v>31.14</v>
      </c>
      <c r="F83" s="165"/>
      <c r="G83" s="165" t="s">
        <v>307</v>
      </c>
      <c r="H83" s="165" t="s">
        <v>205</v>
      </c>
      <c r="I83" s="165" t="s">
        <v>206</v>
      </c>
      <c r="J83" s="165" t="s">
        <v>809</v>
      </c>
      <c r="K83" s="165">
        <v>22.55</v>
      </c>
      <c r="L83" s="165">
        <f>AVERAGE(K83:K85)</f>
        <v>22.659999999999997</v>
      </c>
      <c r="M83" s="165">
        <f>STDEV(K83:K85)</f>
        <v>0.14933184523067927</v>
      </c>
      <c r="N83" s="165"/>
      <c r="O83" s="165"/>
      <c r="P83" s="165"/>
      <c r="Q83" s="165"/>
      <c r="R83" s="165"/>
      <c r="S83" s="165"/>
      <c r="T83" s="165"/>
      <c r="U83" s="165"/>
    </row>
    <row r="84" spans="1:21" x14ac:dyDescent="0.25">
      <c r="A84" s="165" t="s">
        <v>265</v>
      </c>
      <c r="B84" s="165" t="s">
        <v>205</v>
      </c>
      <c r="C84" s="165" t="s">
        <v>206</v>
      </c>
      <c r="D84" s="165" t="s">
        <v>809</v>
      </c>
      <c r="E84" s="165">
        <v>32.630000000000003</v>
      </c>
      <c r="F84" s="165"/>
      <c r="G84" s="165" t="s">
        <v>308</v>
      </c>
      <c r="H84" s="165" t="s">
        <v>205</v>
      </c>
      <c r="I84" s="165" t="s">
        <v>206</v>
      </c>
      <c r="J84" s="165" t="s">
        <v>809</v>
      </c>
      <c r="K84" s="165">
        <v>22.83</v>
      </c>
      <c r="L84" s="165"/>
      <c r="M84" s="165"/>
      <c r="N84" s="165"/>
      <c r="O84" s="165"/>
      <c r="P84" s="165"/>
      <c r="Q84" s="165"/>
      <c r="R84" s="165"/>
      <c r="S84" s="165"/>
      <c r="T84" s="165"/>
      <c r="U84" s="165"/>
    </row>
    <row r="85" spans="1:21" x14ac:dyDescent="0.25">
      <c r="A85" s="165" t="s">
        <v>265</v>
      </c>
      <c r="B85" s="165" t="s">
        <v>209</v>
      </c>
      <c r="C85" s="165" t="s">
        <v>206</v>
      </c>
      <c r="D85" s="165" t="s">
        <v>210</v>
      </c>
      <c r="E85" s="165">
        <v>30.96</v>
      </c>
      <c r="F85" s="165"/>
      <c r="G85" s="165" t="s">
        <v>309</v>
      </c>
      <c r="H85" s="165" t="s">
        <v>205</v>
      </c>
      <c r="I85" s="165" t="s">
        <v>206</v>
      </c>
      <c r="J85" s="165" t="s">
        <v>809</v>
      </c>
      <c r="K85" s="165">
        <v>22.6</v>
      </c>
      <c r="L85" s="165"/>
      <c r="M85" s="165"/>
      <c r="N85" s="165"/>
      <c r="O85" s="165"/>
      <c r="P85" s="165"/>
      <c r="Q85" s="165"/>
      <c r="R85" s="165"/>
      <c r="S85" s="165"/>
      <c r="T85" s="165"/>
      <c r="U85" s="165"/>
    </row>
    <row r="86" spans="1:21" x14ac:dyDescent="0.25">
      <c r="A86" s="165" t="s">
        <v>266</v>
      </c>
      <c r="B86" s="165" t="s">
        <v>205</v>
      </c>
      <c r="C86" s="165" t="s">
        <v>206</v>
      </c>
      <c r="D86" s="165" t="s">
        <v>809</v>
      </c>
      <c r="E86" s="165">
        <v>31.72</v>
      </c>
      <c r="F86" s="165"/>
      <c r="G86" s="165" t="s">
        <v>310</v>
      </c>
      <c r="H86" s="165" t="s">
        <v>205</v>
      </c>
      <c r="I86" s="165" t="s">
        <v>206</v>
      </c>
      <c r="J86" s="165" t="s">
        <v>809</v>
      </c>
      <c r="K86" s="165">
        <v>23.98</v>
      </c>
      <c r="L86" s="165">
        <f>AVERAGE(K86:K88)</f>
        <v>24.17</v>
      </c>
      <c r="M86" s="165">
        <f>STDEV(K86:K88)</f>
        <v>0.19519221295943165</v>
      </c>
      <c r="N86" s="165"/>
      <c r="O86" s="165"/>
      <c r="P86" s="165"/>
      <c r="Q86" s="165"/>
      <c r="R86" s="165"/>
      <c r="S86" s="165"/>
      <c r="T86" s="165"/>
      <c r="U86" s="165"/>
    </row>
    <row r="87" spans="1:21" x14ac:dyDescent="0.25">
      <c r="A87" s="165" t="s">
        <v>266</v>
      </c>
      <c r="B87" s="165" t="s">
        <v>209</v>
      </c>
      <c r="C87" s="165" t="s">
        <v>206</v>
      </c>
      <c r="D87" s="165" t="s">
        <v>210</v>
      </c>
      <c r="E87" s="165">
        <v>31.23</v>
      </c>
      <c r="F87" s="165"/>
      <c r="G87" s="165" t="s">
        <v>311</v>
      </c>
      <c r="H87" s="165" t="s">
        <v>205</v>
      </c>
      <c r="I87" s="165" t="s">
        <v>206</v>
      </c>
      <c r="J87" s="165" t="s">
        <v>809</v>
      </c>
      <c r="K87" s="165">
        <v>24.37</v>
      </c>
      <c r="L87" s="165"/>
      <c r="M87" s="165"/>
      <c r="N87" s="165"/>
      <c r="O87" s="165"/>
      <c r="P87" s="165"/>
      <c r="Q87" s="165"/>
      <c r="R87" s="165"/>
      <c r="S87" s="165"/>
      <c r="T87" s="165"/>
      <c r="U87" s="165"/>
    </row>
    <row r="88" spans="1:21" ht="45" x14ac:dyDescent="0.25">
      <c r="A88" s="165" t="s">
        <v>267</v>
      </c>
      <c r="B88" s="165" t="s">
        <v>205</v>
      </c>
      <c r="C88" s="165" t="s">
        <v>206</v>
      </c>
      <c r="D88" s="165" t="s">
        <v>809</v>
      </c>
      <c r="E88" s="165">
        <v>31.87</v>
      </c>
      <c r="F88" s="165"/>
      <c r="G88" s="165" t="s">
        <v>312</v>
      </c>
      <c r="H88" s="165" t="s">
        <v>205</v>
      </c>
      <c r="I88" s="165" t="s">
        <v>206</v>
      </c>
      <c r="J88" s="165" t="s">
        <v>809</v>
      </c>
      <c r="K88" s="165">
        <v>24.16</v>
      </c>
      <c r="L88" s="165"/>
      <c r="M88" s="165"/>
      <c r="N88" s="165"/>
      <c r="O88" s="165"/>
      <c r="P88" s="90" t="s">
        <v>20</v>
      </c>
      <c r="Q88" s="90" t="s">
        <v>21</v>
      </c>
      <c r="R88" s="90" t="s">
        <v>22</v>
      </c>
      <c r="S88" s="90" t="s">
        <v>23</v>
      </c>
      <c r="T88" s="90" t="s">
        <v>24</v>
      </c>
      <c r="U88" s="90" t="s">
        <v>888</v>
      </c>
    </row>
    <row r="89" spans="1:21" x14ac:dyDescent="0.25">
      <c r="A89" s="165" t="s">
        <v>267</v>
      </c>
      <c r="B89" s="165" t="s">
        <v>209</v>
      </c>
      <c r="C89" s="165" t="s">
        <v>206</v>
      </c>
      <c r="D89" s="165" t="s">
        <v>210</v>
      </c>
      <c r="E89" s="165">
        <v>31.22</v>
      </c>
      <c r="F89" s="165"/>
      <c r="G89" s="165" t="s">
        <v>313</v>
      </c>
      <c r="H89" s="165" t="s">
        <v>205</v>
      </c>
      <c r="I89" s="165" t="s">
        <v>206</v>
      </c>
      <c r="J89" s="165" t="s">
        <v>809</v>
      </c>
      <c r="K89" s="165">
        <v>27.99</v>
      </c>
      <c r="L89" s="165">
        <f>AVERAGE(K89:K91)</f>
        <v>27.703333333333333</v>
      </c>
      <c r="M89" s="165">
        <f>STDEV(K89:K91)</f>
        <v>0.33171272711991778</v>
      </c>
      <c r="N89" s="165"/>
      <c r="O89" s="165"/>
      <c r="P89" s="89" t="s">
        <v>29</v>
      </c>
      <c r="Q89" s="84">
        <v>100</v>
      </c>
      <c r="R89" s="165">
        <f>Q89*1000000</f>
        <v>100000000</v>
      </c>
      <c r="S89" s="89"/>
      <c r="T89" s="89"/>
      <c r="U89" s="89"/>
    </row>
    <row r="90" spans="1:21" x14ac:dyDescent="0.25">
      <c r="A90" s="165" t="s">
        <v>268</v>
      </c>
      <c r="B90" s="165" t="s">
        <v>205</v>
      </c>
      <c r="C90" s="165" t="s">
        <v>206</v>
      </c>
      <c r="D90" s="165" t="s">
        <v>809</v>
      </c>
      <c r="E90" s="165">
        <v>31.76</v>
      </c>
      <c r="F90" s="165"/>
      <c r="G90" s="165" t="s">
        <v>314</v>
      </c>
      <c r="H90" s="165" t="s">
        <v>205</v>
      </c>
      <c r="I90" s="165" t="s">
        <v>206</v>
      </c>
      <c r="J90" s="165" t="s">
        <v>809</v>
      </c>
      <c r="K90" s="165">
        <v>27.78</v>
      </c>
      <c r="L90" s="165"/>
      <c r="M90" s="165"/>
      <c r="N90" s="165"/>
      <c r="O90" s="165"/>
      <c r="P90" s="165" t="s">
        <v>744</v>
      </c>
      <c r="Q90" s="165">
        <f>Q89/100</f>
        <v>1</v>
      </c>
      <c r="R90" s="165">
        <f t="shared" ref="R90:R98" si="4">Q90*1000000</f>
        <v>1000000</v>
      </c>
      <c r="S90" s="89">
        <f>Q89*0.00001/1000000*6.022E+23</f>
        <v>602200000000000.13</v>
      </c>
      <c r="T90" s="89">
        <f>S90/1000*2</f>
        <v>1204400000000.0002</v>
      </c>
      <c r="U90" s="89"/>
    </row>
    <row r="91" spans="1:21" x14ac:dyDescent="0.25">
      <c r="A91" s="165" t="s">
        <v>268</v>
      </c>
      <c r="B91" s="165" t="s">
        <v>209</v>
      </c>
      <c r="C91" s="165" t="s">
        <v>206</v>
      </c>
      <c r="D91" s="165" t="s">
        <v>210</v>
      </c>
      <c r="E91" s="165">
        <v>30.77</v>
      </c>
      <c r="F91" s="165"/>
      <c r="G91" s="165" t="s">
        <v>315</v>
      </c>
      <c r="H91" s="165" t="s">
        <v>205</v>
      </c>
      <c r="I91" s="165" t="s">
        <v>206</v>
      </c>
      <c r="J91" s="165" t="s">
        <v>809</v>
      </c>
      <c r="K91" s="165">
        <v>27.34</v>
      </c>
      <c r="L91" s="165"/>
      <c r="M91" s="165"/>
      <c r="N91" s="165"/>
      <c r="O91" s="165"/>
      <c r="P91" s="165" t="s">
        <v>30</v>
      </c>
      <c r="Q91" s="165">
        <f t="shared" ref="Q91:Q98" si="5">Q90/10</f>
        <v>0.1</v>
      </c>
      <c r="R91" s="165">
        <f t="shared" si="4"/>
        <v>100000</v>
      </c>
      <c r="S91" s="165">
        <f t="shared" ref="S91:S98" si="6">S90/10</f>
        <v>60220000000000.016</v>
      </c>
      <c r="T91" s="165">
        <f t="shared" ref="T91:T98" si="7">S91/1000*2</f>
        <v>120440000000.00003</v>
      </c>
      <c r="U91" s="165">
        <f>LOG(T91)</f>
        <v>11.080770746840722</v>
      </c>
    </row>
    <row r="92" spans="1:21" x14ac:dyDescent="0.25">
      <c r="A92" s="165" t="s">
        <v>270</v>
      </c>
      <c r="B92" s="165" t="s">
        <v>205</v>
      </c>
      <c r="C92" s="165" t="s">
        <v>206</v>
      </c>
      <c r="D92" s="165" t="s">
        <v>809</v>
      </c>
      <c r="E92" s="165">
        <v>31.74</v>
      </c>
      <c r="F92" s="165"/>
      <c r="G92" s="165" t="s">
        <v>316</v>
      </c>
      <c r="H92" s="165" t="s">
        <v>205</v>
      </c>
      <c r="I92" s="165" t="s">
        <v>206</v>
      </c>
      <c r="J92" s="165" t="s">
        <v>809</v>
      </c>
      <c r="K92" s="165">
        <v>30.69</v>
      </c>
      <c r="L92" s="165">
        <f>AVERAGE(K92:K94)</f>
        <v>31.39</v>
      </c>
      <c r="M92" s="165">
        <f>STDEV(K92:K94)</f>
        <v>1.1017713011328596</v>
      </c>
      <c r="N92" s="165"/>
      <c r="O92" s="165"/>
      <c r="P92" s="165" t="s">
        <v>31</v>
      </c>
      <c r="Q92" s="165">
        <f t="shared" si="5"/>
        <v>0.01</v>
      </c>
      <c r="R92" s="165">
        <f t="shared" si="4"/>
        <v>10000</v>
      </c>
      <c r="S92" s="165">
        <f t="shared" si="6"/>
        <v>6022000000000.002</v>
      </c>
      <c r="T92" s="165">
        <f t="shared" si="7"/>
        <v>12044000000.000004</v>
      </c>
      <c r="U92" s="165">
        <f t="shared" ref="U92:U98" si="8">LOG(T92)</f>
        <v>10.080770746840722</v>
      </c>
    </row>
    <row r="93" spans="1:21" x14ac:dyDescent="0.25">
      <c r="A93" s="165" t="s">
        <v>270</v>
      </c>
      <c r="B93" s="165" t="s">
        <v>209</v>
      </c>
      <c r="C93" s="165" t="s">
        <v>206</v>
      </c>
      <c r="D93" s="165" t="s">
        <v>210</v>
      </c>
      <c r="E93" s="165">
        <v>30.73</v>
      </c>
      <c r="F93" s="165"/>
      <c r="G93" s="165" t="s">
        <v>317</v>
      </c>
      <c r="H93" s="165" t="s">
        <v>205</v>
      </c>
      <c r="I93" s="165" t="s">
        <v>206</v>
      </c>
      <c r="J93" s="165" t="s">
        <v>809</v>
      </c>
      <c r="K93" s="165">
        <v>30.82</v>
      </c>
      <c r="L93" s="165"/>
      <c r="M93" s="165"/>
      <c r="N93" s="165"/>
      <c r="O93" s="165"/>
      <c r="P93" s="165" t="s">
        <v>32</v>
      </c>
      <c r="Q93" s="165">
        <f t="shared" si="5"/>
        <v>1E-3</v>
      </c>
      <c r="R93" s="165">
        <f t="shared" si="4"/>
        <v>1000</v>
      </c>
      <c r="S93" s="165">
        <f t="shared" si="6"/>
        <v>602200000000.00024</v>
      </c>
      <c r="T93" s="165">
        <f t="shared" si="7"/>
        <v>1204400000.0000005</v>
      </c>
      <c r="U93" s="165">
        <f t="shared" si="8"/>
        <v>9.0807707468407219</v>
      </c>
    </row>
    <row r="94" spans="1:21" x14ac:dyDescent="0.25">
      <c r="A94" s="165" t="s">
        <v>272</v>
      </c>
      <c r="B94" s="165" t="s">
        <v>205</v>
      </c>
      <c r="C94" s="165" t="s">
        <v>206</v>
      </c>
      <c r="D94" s="165" t="s">
        <v>809</v>
      </c>
      <c r="E94" s="165">
        <v>31.43</v>
      </c>
      <c r="F94" s="165"/>
      <c r="G94" s="165" t="s">
        <v>318</v>
      </c>
      <c r="H94" s="165" t="s">
        <v>205</v>
      </c>
      <c r="I94" s="165" t="s">
        <v>206</v>
      </c>
      <c r="J94" s="165" t="s">
        <v>809</v>
      </c>
      <c r="K94" s="165">
        <v>32.659999999999997</v>
      </c>
      <c r="L94" s="165"/>
      <c r="M94" s="165"/>
      <c r="N94" s="165"/>
      <c r="O94" s="165"/>
      <c r="P94" s="165" t="s">
        <v>33</v>
      </c>
      <c r="Q94" s="165">
        <f t="shared" si="5"/>
        <v>1E-4</v>
      </c>
      <c r="R94" s="165">
        <f t="shared" si="4"/>
        <v>100</v>
      </c>
      <c r="S94" s="165">
        <f t="shared" si="6"/>
        <v>60220000000.000023</v>
      </c>
      <c r="T94" s="165">
        <f t="shared" si="7"/>
        <v>120440000.00000004</v>
      </c>
      <c r="U94" s="165">
        <f t="shared" si="8"/>
        <v>8.0807707468407219</v>
      </c>
    </row>
    <row r="95" spans="1:21" x14ac:dyDescent="0.25">
      <c r="A95" s="165" t="s">
        <v>272</v>
      </c>
      <c r="B95" s="165" t="s">
        <v>209</v>
      </c>
      <c r="C95" s="165" t="s">
        <v>206</v>
      </c>
      <c r="D95" s="165" t="s">
        <v>210</v>
      </c>
      <c r="E95" s="165">
        <v>31.05</v>
      </c>
      <c r="F95" s="165"/>
      <c r="G95" s="165" t="s">
        <v>319</v>
      </c>
      <c r="H95" s="165" t="s">
        <v>205</v>
      </c>
      <c r="I95" s="165" t="s">
        <v>206</v>
      </c>
      <c r="J95" s="165" t="s">
        <v>809</v>
      </c>
      <c r="K95" s="165" t="s">
        <v>220</v>
      </c>
      <c r="L95" s="165" t="e">
        <f>AVERAGE(K95:K97)</f>
        <v>#DIV/0!</v>
      </c>
      <c r="M95" s="165" t="e">
        <f>STDEV(K95:K97)</f>
        <v>#DIV/0!</v>
      </c>
      <c r="N95" s="165"/>
      <c r="O95" s="165"/>
      <c r="P95" s="165" t="s">
        <v>34</v>
      </c>
      <c r="Q95" s="165">
        <f t="shared" si="5"/>
        <v>1.0000000000000001E-5</v>
      </c>
      <c r="R95" s="165">
        <f t="shared" si="4"/>
        <v>10</v>
      </c>
      <c r="S95" s="165">
        <f t="shared" si="6"/>
        <v>6022000000.0000019</v>
      </c>
      <c r="T95" s="165">
        <f t="shared" si="7"/>
        <v>12044000.000000004</v>
      </c>
      <c r="U95" s="165">
        <f t="shared" si="8"/>
        <v>7.0807707468407219</v>
      </c>
    </row>
    <row r="96" spans="1:21" x14ac:dyDescent="0.25">
      <c r="A96" s="165" t="s">
        <v>273</v>
      </c>
      <c r="B96" s="165" t="s">
        <v>205</v>
      </c>
      <c r="C96" s="165" t="s">
        <v>206</v>
      </c>
      <c r="D96" s="165" t="s">
        <v>809</v>
      </c>
      <c r="E96" s="165">
        <v>31.6</v>
      </c>
      <c r="F96" s="165"/>
      <c r="G96" s="165" t="s">
        <v>321</v>
      </c>
      <c r="H96" s="165" t="s">
        <v>205</v>
      </c>
      <c r="I96" s="165" t="s">
        <v>206</v>
      </c>
      <c r="J96" s="165" t="s">
        <v>809</v>
      </c>
      <c r="K96" s="165" t="s">
        <v>220</v>
      </c>
      <c r="L96" s="165"/>
      <c r="M96" s="165"/>
      <c r="N96" s="165"/>
      <c r="O96" s="165"/>
      <c r="P96" s="165" t="s">
        <v>35</v>
      </c>
      <c r="Q96" s="165">
        <f t="shared" si="5"/>
        <v>1.0000000000000002E-6</v>
      </c>
      <c r="R96" s="165">
        <f t="shared" si="4"/>
        <v>1.0000000000000002</v>
      </c>
      <c r="S96" s="165">
        <f t="shared" si="6"/>
        <v>602200000.00000024</v>
      </c>
      <c r="T96" s="165">
        <f t="shared" si="7"/>
        <v>1204400.0000000005</v>
      </c>
      <c r="U96" s="165">
        <f t="shared" si="8"/>
        <v>6.0807707468407219</v>
      </c>
    </row>
    <row r="97" spans="1:21" x14ac:dyDescent="0.25">
      <c r="A97" s="165" t="s">
        <v>273</v>
      </c>
      <c r="B97" s="165" t="s">
        <v>209</v>
      </c>
      <c r="C97" s="165" t="s">
        <v>206</v>
      </c>
      <c r="D97" s="165" t="s">
        <v>210</v>
      </c>
      <c r="E97" s="165">
        <v>31.11</v>
      </c>
      <c r="F97" s="165"/>
      <c r="G97" s="165" t="s">
        <v>322</v>
      </c>
      <c r="H97" s="165" t="s">
        <v>205</v>
      </c>
      <c r="I97" s="165" t="s">
        <v>206</v>
      </c>
      <c r="J97" s="165" t="s">
        <v>809</v>
      </c>
      <c r="K97" s="165" t="s">
        <v>220</v>
      </c>
      <c r="L97" s="165"/>
      <c r="M97" s="165"/>
      <c r="N97" s="165"/>
      <c r="O97" s="165"/>
      <c r="P97" s="165" t="s">
        <v>36</v>
      </c>
      <c r="Q97" s="165">
        <f t="shared" si="5"/>
        <v>1.0000000000000002E-7</v>
      </c>
      <c r="R97" s="165">
        <f t="shared" si="4"/>
        <v>0.10000000000000002</v>
      </c>
      <c r="S97" s="165">
        <f t="shared" si="6"/>
        <v>60220000.000000022</v>
      </c>
      <c r="T97" s="165">
        <f t="shared" si="7"/>
        <v>120440.00000000004</v>
      </c>
      <c r="U97" s="165">
        <f t="shared" si="8"/>
        <v>5.0807707468407219</v>
      </c>
    </row>
    <row r="98" spans="1:21" x14ac:dyDescent="0.25">
      <c r="A98" s="165" t="s">
        <v>274</v>
      </c>
      <c r="B98" s="165" t="s">
        <v>205</v>
      </c>
      <c r="C98" s="165" t="s">
        <v>206</v>
      </c>
      <c r="D98" s="165" t="s">
        <v>809</v>
      </c>
      <c r="E98" s="165">
        <v>42.07</v>
      </c>
      <c r="F98" s="165"/>
      <c r="G98" s="165" t="s">
        <v>204</v>
      </c>
      <c r="H98" s="165" t="s">
        <v>209</v>
      </c>
      <c r="I98" s="165" t="s">
        <v>206</v>
      </c>
      <c r="J98" s="165" t="s">
        <v>210</v>
      </c>
      <c r="K98" s="165">
        <v>29.94</v>
      </c>
      <c r="L98" s="165">
        <f>AVERAGE(K98:K99)</f>
        <v>30.065000000000001</v>
      </c>
      <c r="M98" s="165"/>
      <c r="N98" s="165"/>
      <c r="O98" s="165"/>
      <c r="P98" s="165" t="s">
        <v>37</v>
      </c>
      <c r="Q98" s="165">
        <f t="shared" si="5"/>
        <v>1.0000000000000002E-8</v>
      </c>
      <c r="R98" s="165">
        <f t="shared" si="4"/>
        <v>1.0000000000000002E-2</v>
      </c>
      <c r="S98" s="165">
        <f t="shared" si="6"/>
        <v>6022000.0000000019</v>
      </c>
      <c r="T98" s="165">
        <f t="shared" si="7"/>
        <v>12044.000000000004</v>
      </c>
      <c r="U98" s="165">
        <f t="shared" si="8"/>
        <v>4.0807707468407219</v>
      </c>
    </row>
    <row r="99" spans="1:21" x14ac:dyDescent="0.25">
      <c r="A99" s="165" t="s">
        <v>274</v>
      </c>
      <c r="B99" s="165" t="s">
        <v>209</v>
      </c>
      <c r="C99" s="165" t="s">
        <v>206</v>
      </c>
      <c r="D99" s="165" t="s">
        <v>210</v>
      </c>
      <c r="E99" s="165">
        <v>31.15</v>
      </c>
      <c r="F99" s="165"/>
      <c r="G99" s="165" t="s">
        <v>211</v>
      </c>
      <c r="H99" s="165" t="s">
        <v>209</v>
      </c>
      <c r="I99" s="165" t="s">
        <v>206</v>
      </c>
      <c r="J99" s="165" t="s">
        <v>210</v>
      </c>
      <c r="K99" s="165">
        <v>30.19</v>
      </c>
      <c r="L99" s="165"/>
      <c r="M99" s="165"/>
      <c r="N99" s="165"/>
      <c r="O99" s="165"/>
      <c r="P99" s="165"/>
      <c r="Q99" s="165"/>
      <c r="R99" s="165"/>
      <c r="S99" s="165"/>
      <c r="T99" s="165"/>
      <c r="U99" s="165"/>
    </row>
    <row r="100" spans="1:21" x14ac:dyDescent="0.25">
      <c r="A100" s="165" t="s">
        <v>275</v>
      </c>
      <c r="B100" s="165" t="s">
        <v>205</v>
      </c>
      <c r="C100" s="165" t="s">
        <v>206</v>
      </c>
      <c r="D100" s="165" t="s">
        <v>809</v>
      </c>
      <c r="E100" s="165" t="s">
        <v>220</v>
      </c>
      <c r="F100" s="165"/>
      <c r="G100" s="165" t="s">
        <v>212</v>
      </c>
      <c r="H100" s="165" t="s">
        <v>209</v>
      </c>
      <c r="I100" s="165" t="s">
        <v>206</v>
      </c>
      <c r="J100" s="165" t="s">
        <v>210</v>
      </c>
      <c r="K100" s="165">
        <v>30.7</v>
      </c>
      <c r="L100" s="165">
        <f>AVERAGE(K100:K101)</f>
        <v>30.754999999999999</v>
      </c>
      <c r="M100" s="165"/>
      <c r="N100" s="165"/>
      <c r="O100" s="165"/>
      <c r="P100" s="165" t="s">
        <v>941</v>
      </c>
      <c r="Q100" s="165"/>
      <c r="R100" s="165"/>
      <c r="S100" s="165"/>
      <c r="T100" s="165"/>
      <c r="U100" s="165"/>
    </row>
    <row r="101" spans="1:21" x14ac:dyDescent="0.25">
      <c r="A101" s="165" t="s">
        <v>275</v>
      </c>
      <c r="B101" s="165" t="s">
        <v>209</v>
      </c>
      <c r="C101" s="165" t="s">
        <v>206</v>
      </c>
      <c r="D101" s="165" t="s">
        <v>210</v>
      </c>
      <c r="E101" s="165">
        <v>31.26</v>
      </c>
      <c r="F101" s="165"/>
      <c r="G101" s="165" t="s">
        <v>213</v>
      </c>
      <c r="H101" s="165" t="s">
        <v>209</v>
      </c>
      <c r="I101" s="165" t="s">
        <v>206</v>
      </c>
      <c r="J101" s="165" t="s">
        <v>210</v>
      </c>
      <c r="K101" s="165">
        <v>30.81</v>
      </c>
      <c r="L101" s="165"/>
      <c r="M101" s="165"/>
      <c r="N101" s="165"/>
      <c r="O101" s="165"/>
      <c r="P101" s="107" t="s">
        <v>548</v>
      </c>
      <c r="Q101" s="107" t="s">
        <v>549</v>
      </c>
      <c r="R101" s="107" t="str">
        <f>P101&amp;"_"&amp;Q101</f>
        <v>[F]_[R]</v>
      </c>
      <c r="S101" s="107" t="s">
        <v>203</v>
      </c>
      <c r="T101" s="165"/>
      <c r="U101" s="165"/>
    </row>
    <row r="102" spans="1:21" x14ac:dyDescent="0.25">
      <c r="A102" s="165" t="s">
        <v>276</v>
      </c>
      <c r="B102" s="165" t="s">
        <v>205</v>
      </c>
      <c r="C102" s="165" t="s">
        <v>206</v>
      </c>
      <c r="D102" s="165" t="s">
        <v>809</v>
      </c>
      <c r="E102" s="165">
        <v>35.19</v>
      </c>
      <c r="F102" s="165"/>
      <c r="G102" s="165" t="s">
        <v>214</v>
      </c>
      <c r="H102" s="165" t="s">
        <v>209</v>
      </c>
      <c r="I102" s="165" t="s">
        <v>206</v>
      </c>
      <c r="J102" s="165" t="s">
        <v>210</v>
      </c>
      <c r="K102" s="165">
        <v>31.41</v>
      </c>
      <c r="L102" s="165">
        <f>AVERAGE(K102:K103)</f>
        <v>31.155000000000001</v>
      </c>
      <c r="M102" s="165"/>
      <c r="N102" s="165"/>
      <c r="O102" s="165"/>
      <c r="P102" s="107">
        <v>50</v>
      </c>
      <c r="Q102" s="107">
        <v>50</v>
      </c>
      <c r="R102" s="107" t="str">
        <f t="shared" ref="R102:R137" si="9">P102&amp;"_"&amp;Q102</f>
        <v>50_50</v>
      </c>
      <c r="S102" s="165">
        <v>30.065000000000001</v>
      </c>
      <c r="T102" s="165"/>
      <c r="U102" s="165"/>
    </row>
    <row r="103" spans="1:21" x14ac:dyDescent="0.25">
      <c r="A103" s="165" t="s">
        <v>276</v>
      </c>
      <c r="B103" s="165" t="s">
        <v>209</v>
      </c>
      <c r="C103" s="165" t="s">
        <v>206</v>
      </c>
      <c r="D103" s="165" t="s">
        <v>210</v>
      </c>
      <c r="E103" s="165">
        <v>31</v>
      </c>
      <c r="F103" s="165"/>
      <c r="G103" s="165" t="s">
        <v>215</v>
      </c>
      <c r="H103" s="165" t="s">
        <v>209</v>
      </c>
      <c r="I103" s="165" t="s">
        <v>206</v>
      </c>
      <c r="J103" s="165" t="s">
        <v>210</v>
      </c>
      <c r="K103" s="165">
        <v>30.9</v>
      </c>
      <c r="L103" s="165"/>
      <c r="M103" s="165"/>
      <c r="N103" s="165"/>
      <c r="O103" s="165"/>
      <c r="P103" s="107">
        <v>100</v>
      </c>
      <c r="Q103" s="107">
        <v>50</v>
      </c>
      <c r="R103" s="107" t="str">
        <f t="shared" si="9"/>
        <v>100_50</v>
      </c>
      <c r="S103" s="165">
        <v>30.754999999999999</v>
      </c>
      <c r="T103" s="165"/>
      <c r="U103" s="165"/>
    </row>
    <row r="104" spans="1:21" x14ac:dyDescent="0.25">
      <c r="A104" s="165" t="s">
        <v>277</v>
      </c>
      <c r="B104" s="165" t="s">
        <v>205</v>
      </c>
      <c r="C104" s="165" t="s">
        <v>206</v>
      </c>
      <c r="D104" s="165" t="s">
        <v>809</v>
      </c>
      <c r="E104" s="165">
        <v>35.97</v>
      </c>
      <c r="F104" s="165"/>
      <c r="G104" s="165" t="s">
        <v>216</v>
      </c>
      <c r="H104" s="165" t="s">
        <v>209</v>
      </c>
      <c r="I104" s="165" t="s">
        <v>206</v>
      </c>
      <c r="J104" s="165" t="s">
        <v>210</v>
      </c>
      <c r="K104" s="165">
        <v>31.37</v>
      </c>
      <c r="L104" s="165">
        <f>AVERAGE(K104:K105)</f>
        <v>31.21</v>
      </c>
      <c r="M104" s="165"/>
      <c r="N104" s="165"/>
      <c r="O104" s="165"/>
      <c r="P104" s="107">
        <v>200</v>
      </c>
      <c r="Q104" s="107">
        <v>50</v>
      </c>
      <c r="R104" s="107" t="str">
        <f t="shared" si="9"/>
        <v>200_50</v>
      </c>
      <c r="S104" s="165">
        <v>31.155000000000001</v>
      </c>
      <c r="T104" s="165"/>
      <c r="U104" s="165"/>
    </row>
    <row r="105" spans="1:21" x14ac:dyDescent="0.25">
      <c r="A105" s="165" t="s">
        <v>277</v>
      </c>
      <c r="B105" s="165" t="s">
        <v>209</v>
      </c>
      <c r="C105" s="165" t="s">
        <v>206</v>
      </c>
      <c r="D105" s="165" t="s">
        <v>210</v>
      </c>
      <c r="E105" s="165">
        <v>31.24</v>
      </c>
      <c r="F105" s="165"/>
      <c r="G105" s="165" t="s">
        <v>217</v>
      </c>
      <c r="H105" s="165" t="s">
        <v>209</v>
      </c>
      <c r="I105" s="165" t="s">
        <v>206</v>
      </c>
      <c r="J105" s="165" t="s">
        <v>210</v>
      </c>
      <c r="K105" s="165">
        <v>31.05</v>
      </c>
      <c r="L105" s="165"/>
      <c r="M105" s="165"/>
      <c r="N105" s="165"/>
      <c r="O105" s="165"/>
      <c r="P105" s="107">
        <v>400</v>
      </c>
      <c r="Q105" s="107">
        <v>50</v>
      </c>
      <c r="R105" s="107" t="str">
        <f t="shared" si="9"/>
        <v>400_50</v>
      </c>
      <c r="S105" s="165">
        <v>31.21</v>
      </c>
      <c r="T105" s="165"/>
      <c r="U105" s="165"/>
    </row>
    <row r="106" spans="1:21" x14ac:dyDescent="0.25">
      <c r="A106" s="165" t="s">
        <v>278</v>
      </c>
      <c r="B106" s="165" t="s">
        <v>205</v>
      </c>
      <c r="C106" s="165" t="s">
        <v>206</v>
      </c>
      <c r="D106" s="165" t="s">
        <v>809</v>
      </c>
      <c r="E106" s="165">
        <v>31.88</v>
      </c>
      <c r="F106" s="165"/>
      <c r="G106" s="165" t="s">
        <v>218</v>
      </c>
      <c r="H106" s="165" t="s">
        <v>209</v>
      </c>
      <c r="I106" s="165" t="s">
        <v>206</v>
      </c>
      <c r="J106" s="165" t="s">
        <v>210</v>
      </c>
      <c r="K106" s="165">
        <v>31.45</v>
      </c>
      <c r="L106" s="165">
        <f>AVERAGE(K106:K107)</f>
        <v>31.424999999999997</v>
      </c>
      <c r="M106" s="165"/>
      <c r="N106" s="165"/>
      <c r="O106" s="165"/>
      <c r="P106" s="107">
        <v>600</v>
      </c>
      <c r="Q106" s="107">
        <v>50</v>
      </c>
      <c r="R106" s="107" t="str">
        <f t="shared" si="9"/>
        <v>600_50</v>
      </c>
      <c r="S106" s="165">
        <v>31.424999999999997</v>
      </c>
      <c r="T106" s="165"/>
      <c r="U106" s="165"/>
    </row>
    <row r="107" spans="1:21" x14ac:dyDescent="0.25">
      <c r="A107" s="165" t="s">
        <v>278</v>
      </c>
      <c r="B107" s="165" t="s">
        <v>209</v>
      </c>
      <c r="C107" s="165" t="s">
        <v>206</v>
      </c>
      <c r="D107" s="165" t="s">
        <v>210</v>
      </c>
      <c r="E107" s="165">
        <v>31.55</v>
      </c>
      <c r="F107" s="165"/>
      <c r="G107" s="165" t="s">
        <v>219</v>
      </c>
      <c r="H107" s="165" t="s">
        <v>209</v>
      </c>
      <c r="I107" s="165" t="s">
        <v>206</v>
      </c>
      <c r="J107" s="165" t="s">
        <v>210</v>
      </c>
      <c r="K107" s="165">
        <v>31.4</v>
      </c>
      <c r="L107" s="165"/>
      <c r="M107" s="165"/>
      <c r="N107" s="165"/>
      <c r="O107" s="165"/>
      <c r="P107" s="107">
        <v>800</v>
      </c>
      <c r="Q107" s="107">
        <v>50</v>
      </c>
      <c r="R107" s="107" t="str">
        <f t="shared" si="9"/>
        <v>800_50</v>
      </c>
      <c r="S107" s="165">
        <v>31.28</v>
      </c>
      <c r="T107" s="165"/>
      <c r="U107" s="165"/>
    </row>
    <row r="108" spans="1:21" x14ac:dyDescent="0.25">
      <c r="A108" s="165" t="s">
        <v>279</v>
      </c>
      <c r="B108" s="165" t="s">
        <v>205</v>
      </c>
      <c r="C108" s="165" t="s">
        <v>206</v>
      </c>
      <c r="D108" s="165" t="s">
        <v>809</v>
      </c>
      <c r="E108" s="165">
        <v>32.340000000000003</v>
      </c>
      <c r="F108" s="165"/>
      <c r="G108" s="165" t="s">
        <v>221</v>
      </c>
      <c r="H108" s="165" t="s">
        <v>209</v>
      </c>
      <c r="I108" s="165" t="s">
        <v>206</v>
      </c>
      <c r="J108" s="165" t="s">
        <v>210</v>
      </c>
      <c r="K108" s="165">
        <v>30.76</v>
      </c>
      <c r="L108" s="165">
        <f>AVERAGE(K108:K109)</f>
        <v>31.28</v>
      </c>
      <c r="M108" s="165"/>
      <c r="N108" s="165"/>
      <c r="O108" s="165"/>
      <c r="P108" s="107">
        <v>50</v>
      </c>
      <c r="Q108" s="107">
        <v>100</v>
      </c>
      <c r="R108" s="107" t="str">
        <f t="shared" si="9"/>
        <v>50_100</v>
      </c>
      <c r="S108" s="165">
        <v>31.295000000000002</v>
      </c>
      <c r="T108" s="165"/>
      <c r="U108" s="165"/>
    </row>
    <row r="109" spans="1:21" x14ac:dyDescent="0.25">
      <c r="A109" s="165" t="s">
        <v>279</v>
      </c>
      <c r="B109" s="165" t="s">
        <v>209</v>
      </c>
      <c r="C109" s="165" t="s">
        <v>206</v>
      </c>
      <c r="D109" s="165" t="s">
        <v>210</v>
      </c>
      <c r="E109" s="165">
        <v>31.07</v>
      </c>
      <c r="F109" s="165"/>
      <c r="G109" s="165" t="s">
        <v>222</v>
      </c>
      <c r="H109" s="165" t="s">
        <v>209</v>
      </c>
      <c r="I109" s="165" t="s">
        <v>206</v>
      </c>
      <c r="J109" s="165" t="s">
        <v>210</v>
      </c>
      <c r="K109" s="165">
        <v>31.8</v>
      </c>
      <c r="L109" s="165"/>
      <c r="M109" s="165"/>
      <c r="N109" s="165"/>
      <c r="O109" s="165"/>
      <c r="P109" s="107">
        <v>100</v>
      </c>
      <c r="Q109" s="107">
        <v>100</v>
      </c>
      <c r="R109" s="107" t="str">
        <f t="shared" si="9"/>
        <v>100_100</v>
      </c>
      <c r="S109" s="165">
        <v>31.005000000000003</v>
      </c>
      <c r="T109" s="165"/>
      <c r="U109" s="165"/>
    </row>
    <row r="110" spans="1:21" x14ac:dyDescent="0.25">
      <c r="A110" s="165" t="s">
        <v>280</v>
      </c>
      <c r="B110" s="165" t="s">
        <v>205</v>
      </c>
      <c r="C110" s="165" t="s">
        <v>206</v>
      </c>
      <c r="D110" s="165" t="s">
        <v>809</v>
      </c>
      <c r="E110" s="165">
        <v>31.66</v>
      </c>
      <c r="F110" s="165"/>
      <c r="G110" s="165" t="s">
        <v>223</v>
      </c>
      <c r="H110" s="165" t="s">
        <v>209</v>
      </c>
      <c r="I110" s="165" t="s">
        <v>206</v>
      </c>
      <c r="J110" s="165" t="s">
        <v>210</v>
      </c>
      <c r="K110" s="165">
        <v>31.31</v>
      </c>
      <c r="L110" s="165">
        <f>AVERAGE(K110:K111)</f>
        <v>31.295000000000002</v>
      </c>
      <c r="M110" s="165"/>
      <c r="N110" s="165"/>
      <c r="O110" s="165"/>
      <c r="P110" s="107">
        <v>200</v>
      </c>
      <c r="Q110" s="107">
        <v>100</v>
      </c>
      <c r="R110" s="107" t="str">
        <f t="shared" si="9"/>
        <v>200_100</v>
      </c>
      <c r="S110" s="165">
        <v>31.234999999999999</v>
      </c>
      <c r="T110" s="165"/>
      <c r="U110" s="165"/>
    </row>
    <row r="111" spans="1:21" x14ac:dyDescent="0.25">
      <c r="A111" s="165" t="s">
        <v>280</v>
      </c>
      <c r="B111" s="165" t="s">
        <v>209</v>
      </c>
      <c r="C111" s="165" t="s">
        <v>206</v>
      </c>
      <c r="D111" s="165" t="s">
        <v>210</v>
      </c>
      <c r="E111" s="165">
        <v>31.91</v>
      </c>
      <c r="F111" s="165"/>
      <c r="G111" s="165" t="s">
        <v>234</v>
      </c>
      <c r="H111" s="165" t="s">
        <v>209</v>
      </c>
      <c r="I111" s="165" t="s">
        <v>206</v>
      </c>
      <c r="J111" s="165" t="s">
        <v>210</v>
      </c>
      <c r="K111" s="165">
        <v>31.28</v>
      </c>
      <c r="L111" s="165"/>
      <c r="M111" s="165"/>
      <c r="N111" s="165"/>
      <c r="O111" s="165"/>
      <c r="P111" s="107">
        <v>400</v>
      </c>
      <c r="Q111" s="107">
        <v>100</v>
      </c>
      <c r="R111" s="107" t="str">
        <f t="shared" si="9"/>
        <v>400_100</v>
      </c>
      <c r="S111" s="165">
        <v>31.189999999999998</v>
      </c>
      <c r="T111" s="165"/>
      <c r="U111" s="165"/>
    </row>
    <row r="112" spans="1:21" x14ac:dyDescent="0.25">
      <c r="A112" s="165" t="s">
        <v>281</v>
      </c>
      <c r="B112" s="165" t="s">
        <v>205</v>
      </c>
      <c r="C112" s="165" t="s">
        <v>206</v>
      </c>
      <c r="D112" s="165" t="s">
        <v>809</v>
      </c>
      <c r="E112" s="165">
        <v>31.31</v>
      </c>
      <c r="F112" s="165"/>
      <c r="G112" s="165" t="s">
        <v>235</v>
      </c>
      <c r="H112" s="165" t="s">
        <v>209</v>
      </c>
      <c r="I112" s="165" t="s">
        <v>206</v>
      </c>
      <c r="J112" s="165" t="s">
        <v>210</v>
      </c>
      <c r="K112" s="165">
        <v>31.09</v>
      </c>
      <c r="L112" s="165">
        <f>AVERAGE(K112:K113)</f>
        <v>31.005000000000003</v>
      </c>
      <c r="M112" s="165"/>
      <c r="N112" s="165"/>
      <c r="O112" s="165"/>
      <c r="P112" s="107">
        <v>600</v>
      </c>
      <c r="Q112" s="107">
        <v>100</v>
      </c>
      <c r="R112" s="107" t="str">
        <f t="shared" si="9"/>
        <v>600_100</v>
      </c>
      <c r="S112" s="165">
        <v>31.125</v>
      </c>
      <c r="T112" s="165"/>
      <c r="U112" s="165"/>
    </row>
    <row r="113" spans="1:19" x14ac:dyDescent="0.25">
      <c r="A113" s="165" t="s">
        <v>281</v>
      </c>
      <c r="B113" s="165" t="s">
        <v>209</v>
      </c>
      <c r="C113" s="165" t="s">
        <v>206</v>
      </c>
      <c r="D113" s="165" t="s">
        <v>210</v>
      </c>
      <c r="E113" s="165">
        <v>31.1</v>
      </c>
      <c r="F113" s="165"/>
      <c r="G113" s="165" t="s">
        <v>236</v>
      </c>
      <c r="H113" s="165" t="s">
        <v>209</v>
      </c>
      <c r="I113" s="165" t="s">
        <v>206</v>
      </c>
      <c r="J113" s="165" t="s">
        <v>210</v>
      </c>
      <c r="K113" s="165">
        <v>30.92</v>
      </c>
      <c r="L113" s="165"/>
      <c r="M113" s="165"/>
      <c r="N113" s="165"/>
      <c r="O113" s="165"/>
      <c r="P113" s="107">
        <v>800</v>
      </c>
      <c r="Q113" s="107">
        <v>100</v>
      </c>
      <c r="R113" s="107" t="str">
        <f t="shared" si="9"/>
        <v>800_100</v>
      </c>
      <c r="S113" s="165">
        <v>31.234999999999999</v>
      </c>
    </row>
    <row r="114" spans="1:19" x14ac:dyDescent="0.25">
      <c r="A114" s="165" t="s">
        <v>282</v>
      </c>
      <c r="B114" s="165" t="s">
        <v>205</v>
      </c>
      <c r="C114" s="165" t="s">
        <v>206</v>
      </c>
      <c r="D114" s="165" t="s">
        <v>809</v>
      </c>
      <c r="E114" s="165">
        <v>30.65</v>
      </c>
      <c r="F114" s="165"/>
      <c r="G114" s="165" t="s">
        <v>237</v>
      </c>
      <c r="H114" s="165" t="s">
        <v>209</v>
      </c>
      <c r="I114" s="165" t="s">
        <v>206</v>
      </c>
      <c r="J114" s="165" t="s">
        <v>210</v>
      </c>
      <c r="K114" s="165">
        <v>31.36</v>
      </c>
      <c r="L114" s="165">
        <f>AVERAGE(K114:K115)</f>
        <v>31.234999999999999</v>
      </c>
      <c r="M114" s="165"/>
      <c r="N114" s="165"/>
      <c r="O114" s="165"/>
      <c r="P114" s="107">
        <v>50</v>
      </c>
      <c r="Q114" s="107">
        <v>200</v>
      </c>
      <c r="R114" s="107" t="str">
        <f t="shared" si="9"/>
        <v>50_200</v>
      </c>
      <c r="S114" s="165">
        <v>30.78</v>
      </c>
    </row>
    <row r="115" spans="1:19" x14ac:dyDescent="0.25">
      <c r="A115" s="165" t="s">
        <v>282</v>
      </c>
      <c r="B115" s="165" t="s">
        <v>209</v>
      </c>
      <c r="C115" s="165" t="s">
        <v>206</v>
      </c>
      <c r="D115" s="165" t="s">
        <v>210</v>
      </c>
      <c r="E115" s="165">
        <v>30.93</v>
      </c>
      <c r="F115" s="165"/>
      <c r="G115" s="165" t="s">
        <v>238</v>
      </c>
      <c r="H115" s="165" t="s">
        <v>209</v>
      </c>
      <c r="I115" s="165" t="s">
        <v>206</v>
      </c>
      <c r="J115" s="165" t="s">
        <v>210</v>
      </c>
      <c r="K115" s="165">
        <v>31.11</v>
      </c>
      <c r="L115" s="165"/>
      <c r="M115" s="165"/>
      <c r="N115" s="165"/>
      <c r="O115" s="165"/>
      <c r="P115" s="107">
        <v>100</v>
      </c>
      <c r="Q115" s="107">
        <v>200</v>
      </c>
      <c r="R115" s="107" t="str">
        <f t="shared" si="9"/>
        <v>100_200</v>
      </c>
      <c r="S115" s="165">
        <v>31.115000000000002</v>
      </c>
    </row>
    <row r="116" spans="1:19" x14ac:dyDescent="0.25">
      <c r="A116" s="165" t="s">
        <v>283</v>
      </c>
      <c r="B116" s="165" t="s">
        <v>205</v>
      </c>
      <c r="C116" s="165" t="s">
        <v>206</v>
      </c>
      <c r="D116" s="165" t="s">
        <v>809</v>
      </c>
      <c r="E116" s="165">
        <v>30.8</v>
      </c>
      <c r="F116" s="165"/>
      <c r="G116" s="165" t="s">
        <v>239</v>
      </c>
      <c r="H116" s="165" t="s">
        <v>209</v>
      </c>
      <c r="I116" s="165" t="s">
        <v>206</v>
      </c>
      <c r="J116" s="165" t="s">
        <v>210</v>
      </c>
      <c r="K116" s="165">
        <v>31.36</v>
      </c>
      <c r="L116" s="165">
        <f>AVERAGE(K116:K117)</f>
        <v>31.189999999999998</v>
      </c>
      <c r="M116" s="165"/>
      <c r="N116" s="165"/>
      <c r="O116" s="165"/>
      <c r="P116" s="107">
        <v>200</v>
      </c>
      <c r="Q116" s="107">
        <v>200</v>
      </c>
      <c r="R116" s="107" t="str">
        <f t="shared" si="9"/>
        <v>200_200</v>
      </c>
      <c r="S116" s="165">
        <v>31.425000000000001</v>
      </c>
    </row>
    <row r="117" spans="1:19" x14ac:dyDescent="0.25">
      <c r="A117" s="165" t="s">
        <v>283</v>
      </c>
      <c r="B117" s="165" t="s">
        <v>209</v>
      </c>
      <c r="C117" s="165" t="s">
        <v>206</v>
      </c>
      <c r="D117" s="165" t="s">
        <v>210</v>
      </c>
      <c r="E117" s="165">
        <v>30.83</v>
      </c>
      <c r="F117" s="165"/>
      <c r="G117" s="165" t="s">
        <v>242</v>
      </c>
      <c r="H117" s="165" t="s">
        <v>209</v>
      </c>
      <c r="I117" s="165" t="s">
        <v>206</v>
      </c>
      <c r="J117" s="165" t="s">
        <v>210</v>
      </c>
      <c r="K117" s="165">
        <v>31.02</v>
      </c>
      <c r="L117" s="165"/>
      <c r="M117" s="165"/>
      <c r="N117" s="165"/>
      <c r="O117" s="165"/>
      <c r="P117" s="107">
        <v>400</v>
      </c>
      <c r="Q117" s="107">
        <v>200</v>
      </c>
      <c r="R117" s="107" t="str">
        <f t="shared" si="9"/>
        <v>400_200</v>
      </c>
      <c r="S117" s="165">
        <v>31.05</v>
      </c>
    </row>
    <row r="118" spans="1:19" x14ac:dyDescent="0.25">
      <c r="A118" s="165" t="s">
        <v>284</v>
      </c>
      <c r="B118" s="165" t="s">
        <v>205</v>
      </c>
      <c r="C118" s="165" t="s">
        <v>206</v>
      </c>
      <c r="D118" s="165" t="s">
        <v>809</v>
      </c>
      <c r="E118" s="165">
        <v>30.42</v>
      </c>
      <c r="F118" s="165"/>
      <c r="G118" s="165" t="s">
        <v>243</v>
      </c>
      <c r="H118" s="165" t="s">
        <v>209</v>
      </c>
      <c r="I118" s="165" t="s">
        <v>206</v>
      </c>
      <c r="J118" s="165" t="s">
        <v>210</v>
      </c>
      <c r="K118" s="165">
        <v>31.07</v>
      </c>
      <c r="L118" s="165">
        <f>AVERAGE(K118:K119)</f>
        <v>31.125</v>
      </c>
      <c r="M118" s="165"/>
      <c r="N118" s="165"/>
      <c r="O118" s="165"/>
      <c r="P118" s="107">
        <v>600</v>
      </c>
      <c r="Q118" s="107">
        <v>200</v>
      </c>
      <c r="R118" s="107" t="str">
        <f t="shared" si="9"/>
        <v>600_200</v>
      </c>
      <c r="S118" s="165">
        <v>31.145</v>
      </c>
    </row>
    <row r="119" spans="1:19" x14ac:dyDescent="0.25">
      <c r="A119" s="165" t="s">
        <v>284</v>
      </c>
      <c r="B119" s="165" t="s">
        <v>209</v>
      </c>
      <c r="C119" s="165" t="s">
        <v>206</v>
      </c>
      <c r="D119" s="165" t="s">
        <v>210</v>
      </c>
      <c r="E119" s="165">
        <v>30.63</v>
      </c>
      <c r="F119" s="165"/>
      <c r="G119" s="165" t="s">
        <v>244</v>
      </c>
      <c r="H119" s="165" t="s">
        <v>209</v>
      </c>
      <c r="I119" s="165" t="s">
        <v>206</v>
      </c>
      <c r="J119" s="165" t="s">
        <v>210</v>
      </c>
      <c r="K119" s="165">
        <v>31.18</v>
      </c>
      <c r="L119" s="165"/>
      <c r="M119" s="165"/>
      <c r="N119" s="165"/>
      <c r="O119" s="165"/>
      <c r="P119" s="107">
        <v>800</v>
      </c>
      <c r="Q119" s="107">
        <v>200</v>
      </c>
      <c r="R119" s="107" t="str">
        <f t="shared" si="9"/>
        <v>800_200</v>
      </c>
      <c r="S119" s="165">
        <v>30.91</v>
      </c>
    </row>
    <row r="120" spans="1:19" x14ac:dyDescent="0.25">
      <c r="A120" s="165" t="s">
        <v>285</v>
      </c>
      <c r="B120" s="165" t="s">
        <v>205</v>
      </c>
      <c r="C120" s="165" t="s">
        <v>206</v>
      </c>
      <c r="D120" s="165" t="s">
        <v>809</v>
      </c>
      <c r="E120" s="165">
        <v>30.74</v>
      </c>
      <c r="F120" s="165"/>
      <c r="G120" s="165" t="s">
        <v>245</v>
      </c>
      <c r="H120" s="165" t="s">
        <v>209</v>
      </c>
      <c r="I120" s="165" t="s">
        <v>206</v>
      </c>
      <c r="J120" s="165" t="s">
        <v>210</v>
      </c>
      <c r="K120" s="165">
        <v>31.11</v>
      </c>
      <c r="L120" s="165">
        <f>AVERAGE(K120:K121)</f>
        <v>31.234999999999999</v>
      </c>
      <c r="M120" s="165"/>
      <c r="N120" s="165"/>
      <c r="O120" s="165"/>
      <c r="P120" s="107">
        <v>50</v>
      </c>
      <c r="Q120" s="107">
        <v>400</v>
      </c>
      <c r="R120" s="107" t="str">
        <f t="shared" si="9"/>
        <v>50_400</v>
      </c>
      <c r="S120" s="165">
        <v>31.299999999999997</v>
      </c>
    </row>
    <row r="121" spans="1:19" x14ac:dyDescent="0.25">
      <c r="A121" s="165" t="s">
        <v>285</v>
      </c>
      <c r="B121" s="165" t="s">
        <v>209</v>
      </c>
      <c r="C121" s="165" t="s">
        <v>206</v>
      </c>
      <c r="D121" s="165" t="s">
        <v>210</v>
      </c>
      <c r="E121" s="165">
        <v>31.13</v>
      </c>
      <c r="F121" s="165"/>
      <c r="G121" s="165" t="s">
        <v>247</v>
      </c>
      <c r="H121" s="165" t="s">
        <v>209</v>
      </c>
      <c r="I121" s="165" t="s">
        <v>206</v>
      </c>
      <c r="J121" s="165" t="s">
        <v>210</v>
      </c>
      <c r="K121" s="165">
        <v>31.36</v>
      </c>
      <c r="L121" s="165"/>
      <c r="M121" s="165"/>
      <c r="N121" s="165"/>
      <c r="O121" s="165"/>
      <c r="P121" s="107">
        <v>100</v>
      </c>
      <c r="Q121" s="107">
        <v>400</v>
      </c>
      <c r="R121" s="107" t="str">
        <f t="shared" si="9"/>
        <v>100_400</v>
      </c>
      <c r="S121" s="165">
        <v>31.305</v>
      </c>
    </row>
    <row r="122" spans="1:19" x14ac:dyDescent="0.25">
      <c r="A122" s="165" t="s">
        <v>286</v>
      </c>
      <c r="B122" s="165" t="s">
        <v>205</v>
      </c>
      <c r="C122" s="165" t="s">
        <v>206</v>
      </c>
      <c r="D122" s="165" t="s">
        <v>809</v>
      </c>
      <c r="E122" s="165">
        <v>42.24</v>
      </c>
      <c r="F122" s="165"/>
      <c r="G122" s="165" t="s">
        <v>248</v>
      </c>
      <c r="H122" s="165" t="s">
        <v>209</v>
      </c>
      <c r="I122" s="165" t="s">
        <v>206</v>
      </c>
      <c r="J122" s="165" t="s">
        <v>210</v>
      </c>
      <c r="K122" s="165">
        <v>30.89</v>
      </c>
      <c r="L122" s="165">
        <f>AVERAGE(K122:K123)</f>
        <v>30.78</v>
      </c>
      <c r="M122" s="165"/>
      <c r="N122" s="165"/>
      <c r="O122" s="165"/>
      <c r="P122" s="107">
        <v>200</v>
      </c>
      <c r="Q122" s="107">
        <v>400</v>
      </c>
      <c r="R122" s="107" t="str">
        <f t="shared" si="9"/>
        <v>200_400</v>
      </c>
      <c r="S122" s="165">
        <v>31.05</v>
      </c>
    </row>
    <row r="123" spans="1:19" x14ac:dyDescent="0.25">
      <c r="A123" s="165" t="s">
        <v>286</v>
      </c>
      <c r="B123" s="165" t="s">
        <v>209</v>
      </c>
      <c r="C123" s="165" t="s">
        <v>206</v>
      </c>
      <c r="D123" s="165" t="s">
        <v>210</v>
      </c>
      <c r="E123" s="165">
        <v>31.39</v>
      </c>
      <c r="F123" s="165"/>
      <c r="G123" s="165" t="s">
        <v>249</v>
      </c>
      <c r="H123" s="165" t="s">
        <v>209</v>
      </c>
      <c r="I123" s="165" t="s">
        <v>206</v>
      </c>
      <c r="J123" s="165" t="s">
        <v>210</v>
      </c>
      <c r="K123" s="165">
        <v>30.67</v>
      </c>
      <c r="L123" s="165"/>
      <c r="M123" s="165"/>
      <c r="N123" s="165"/>
      <c r="O123" s="165"/>
      <c r="P123" s="107">
        <v>400</v>
      </c>
      <c r="Q123" s="107">
        <v>400</v>
      </c>
      <c r="R123" s="107" t="str">
        <f t="shared" si="9"/>
        <v>400_400</v>
      </c>
      <c r="S123" s="165">
        <v>31.225000000000001</v>
      </c>
    </row>
    <row r="124" spans="1:19" x14ac:dyDescent="0.25">
      <c r="A124" s="165" t="s">
        <v>287</v>
      </c>
      <c r="B124" s="165" t="s">
        <v>205</v>
      </c>
      <c r="C124" s="165" t="s">
        <v>206</v>
      </c>
      <c r="D124" s="165" t="s">
        <v>809</v>
      </c>
      <c r="E124" s="165" t="s">
        <v>220</v>
      </c>
      <c r="F124" s="165"/>
      <c r="G124" s="165" t="s">
        <v>250</v>
      </c>
      <c r="H124" s="165" t="s">
        <v>209</v>
      </c>
      <c r="I124" s="165" t="s">
        <v>206</v>
      </c>
      <c r="J124" s="165" t="s">
        <v>210</v>
      </c>
      <c r="K124" s="165">
        <v>31.31</v>
      </c>
      <c r="L124" s="165">
        <f>AVERAGE(K124:K125)</f>
        <v>31.115000000000002</v>
      </c>
      <c r="M124" s="165"/>
      <c r="N124" s="165"/>
      <c r="O124" s="165"/>
      <c r="P124" s="107">
        <v>600</v>
      </c>
      <c r="Q124" s="107">
        <v>400</v>
      </c>
      <c r="R124" s="107" t="str">
        <f t="shared" si="9"/>
        <v>600_400</v>
      </c>
      <c r="S124" s="165">
        <v>30.75</v>
      </c>
    </row>
    <row r="125" spans="1:19" x14ac:dyDescent="0.25">
      <c r="A125" s="165" t="s">
        <v>287</v>
      </c>
      <c r="B125" s="165" t="s">
        <v>209</v>
      </c>
      <c r="C125" s="165" t="s">
        <v>206</v>
      </c>
      <c r="D125" s="165" t="s">
        <v>210</v>
      </c>
      <c r="E125" s="165">
        <v>30.99</v>
      </c>
      <c r="F125" s="165"/>
      <c r="G125" s="165" t="s">
        <v>251</v>
      </c>
      <c r="H125" s="165" t="s">
        <v>209</v>
      </c>
      <c r="I125" s="165" t="s">
        <v>206</v>
      </c>
      <c r="J125" s="165" t="s">
        <v>210</v>
      </c>
      <c r="K125" s="165">
        <v>30.92</v>
      </c>
      <c r="L125" s="165"/>
      <c r="M125" s="165"/>
      <c r="N125" s="165"/>
      <c r="O125" s="165"/>
      <c r="P125" s="107">
        <v>800</v>
      </c>
      <c r="Q125" s="107">
        <v>400</v>
      </c>
      <c r="R125" s="107" t="str">
        <f t="shared" si="9"/>
        <v>800_400</v>
      </c>
      <c r="S125" s="165">
        <v>31.08</v>
      </c>
    </row>
    <row r="126" spans="1:19" x14ac:dyDescent="0.25">
      <c r="A126" s="165" t="s">
        <v>288</v>
      </c>
      <c r="B126" s="165" t="s">
        <v>205</v>
      </c>
      <c r="C126" s="165" t="s">
        <v>206</v>
      </c>
      <c r="D126" s="165" t="s">
        <v>809</v>
      </c>
      <c r="E126" s="165">
        <v>34.479999999999997</v>
      </c>
      <c r="F126" s="165"/>
      <c r="G126" s="165" t="s">
        <v>252</v>
      </c>
      <c r="H126" s="165" t="s">
        <v>209</v>
      </c>
      <c r="I126" s="165" t="s">
        <v>206</v>
      </c>
      <c r="J126" s="165" t="s">
        <v>210</v>
      </c>
      <c r="K126" s="165">
        <v>31.34</v>
      </c>
      <c r="L126" s="165">
        <f>AVERAGE(K126:K127)</f>
        <v>31.425000000000001</v>
      </c>
      <c r="M126" s="165"/>
      <c r="N126" s="165"/>
      <c r="O126" s="165"/>
      <c r="P126" s="107">
        <v>50</v>
      </c>
      <c r="Q126" s="107">
        <v>600</v>
      </c>
      <c r="R126" s="107" t="str">
        <f t="shared" si="9"/>
        <v>50_600</v>
      </c>
      <c r="S126" s="165">
        <v>31.204999999999998</v>
      </c>
    </row>
    <row r="127" spans="1:19" x14ac:dyDescent="0.25">
      <c r="A127" s="165" t="s">
        <v>288</v>
      </c>
      <c r="B127" s="165" t="s">
        <v>209</v>
      </c>
      <c r="C127" s="165" t="s">
        <v>206</v>
      </c>
      <c r="D127" s="165" t="s">
        <v>210</v>
      </c>
      <c r="E127" s="165">
        <v>31.42</v>
      </c>
      <c r="F127" s="165"/>
      <c r="G127" s="165" t="s">
        <v>253</v>
      </c>
      <c r="H127" s="165" t="s">
        <v>209</v>
      </c>
      <c r="I127" s="165" t="s">
        <v>206</v>
      </c>
      <c r="J127" s="165" t="s">
        <v>210</v>
      </c>
      <c r="K127" s="165">
        <v>31.51</v>
      </c>
      <c r="L127" s="165"/>
      <c r="M127" s="165"/>
      <c r="N127" s="165"/>
      <c r="O127" s="165"/>
      <c r="P127" s="107">
        <v>100</v>
      </c>
      <c r="Q127" s="107">
        <v>600</v>
      </c>
      <c r="R127" s="107" t="str">
        <f t="shared" si="9"/>
        <v>100_600</v>
      </c>
      <c r="S127" s="165">
        <v>31.119999999999997</v>
      </c>
    </row>
    <row r="128" spans="1:19" x14ac:dyDescent="0.25">
      <c r="A128" s="165" t="s">
        <v>289</v>
      </c>
      <c r="B128" s="165" t="s">
        <v>205</v>
      </c>
      <c r="C128" s="165" t="s">
        <v>206</v>
      </c>
      <c r="D128" s="165" t="s">
        <v>809</v>
      </c>
      <c r="E128" s="165">
        <v>35.909999999999997</v>
      </c>
      <c r="F128" s="165"/>
      <c r="G128" s="165" t="s">
        <v>254</v>
      </c>
      <c r="H128" s="165" t="s">
        <v>209</v>
      </c>
      <c r="I128" s="165" t="s">
        <v>206</v>
      </c>
      <c r="J128" s="165" t="s">
        <v>210</v>
      </c>
      <c r="K128" s="165">
        <v>31.25</v>
      </c>
      <c r="L128" s="165">
        <f>AVERAGE(K128:K129)</f>
        <v>31.05</v>
      </c>
      <c r="M128" s="165"/>
      <c r="N128" s="165"/>
      <c r="O128" s="165"/>
      <c r="P128" s="107">
        <v>200</v>
      </c>
      <c r="Q128" s="107">
        <v>600</v>
      </c>
      <c r="R128" s="107" t="str">
        <f t="shared" si="9"/>
        <v>200_600</v>
      </c>
      <c r="S128" s="165">
        <v>31.310000000000002</v>
      </c>
    </row>
    <row r="129" spans="1:19" x14ac:dyDescent="0.25">
      <c r="A129" s="165" t="s">
        <v>289</v>
      </c>
      <c r="B129" s="165" t="s">
        <v>209</v>
      </c>
      <c r="C129" s="165" t="s">
        <v>206</v>
      </c>
      <c r="D129" s="165" t="s">
        <v>210</v>
      </c>
      <c r="E129" s="165">
        <v>31.51</v>
      </c>
      <c r="F129" s="165"/>
      <c r="G129" s="165" t="s">
        <v>255</v>
      </c>
      <c r="H129" s="165" t="s">
        <v>209</v>
      </c>
      <c r="I129" s="165" t="s">
        <v>206</v>
      </c>
      <c r="J129" s="165" t="s">
        <v>210</v>
      </c>
      <c r="K129" s="165">
        <v>30.85</v>
      </c>
      <c r="L129" s="165"/>
      <c r="M129" s="165"/>
      <c r="N129" s="165"/>
      <c r="O129" s="165"/>
      <c r="P129" s="107">
        <v>400</v>
      </c>
      <c r="Q129" s="107">
        <v>600</v>
      </c>
      <c r="R129" s="107" t="str">
        <f t="shared" si="9"/>
        <v>400_600</v>
      </c>
      <c r="S129" s="165">
        <v>31.505000000000003</v>
      </c>
    </row>
    <row r="130" spans="1:19" x14ac:dyDescent="0.25">
      <c r="A130" s="165" t="s">
        <v>290</v>
      </c>
      <c r="B130" s="165" t="s">
        <v>205</v>
      </c>
      <c r="C130" s="165" t="s">
        <v>206</v>
      </c>
      <c r="D130" s="165" t="s">
        <v>809</v>
      </c>
      <c r="E130" s="165">
        <v>30.96</v>
      </c>
      <c r="F130" s="165"/>
      <c r="G130" s="165" t="s">
        <v>256</v>
      </c>
      <c r="H130" s="165" t="s">
        <v>209</v>
      </c>
      <c r="I130" s="165" t="s">
        <v>206</v>
      </c>
      <c r="J130" s="165" t="s">
        <v>210</v>
      </c>
      <c r="K130" s="165">
        <v>31.39</v>
      </c>
      <c r="L130" s="165">
        <f>AVERAGE(K130:K131)</f>
        <v>31.145</v>
      </c>
      <c r="M130" s="165"/>
      <c r="N130" s="165"/>
      <c r="O130" s="165"/>
      <c r="P130" s="107">
        <v>600</v>
      </c>
      <c r="Q130" s="107">
        <v>600</v>
      </c>
      <c r="R130" s="107" t="str">
        <f t="shared" si="9"/>
        <v>600_600</v>
      </c>
      <c r="S130" s="165">
        <v>30.88</v>
      </c>
    </row>
    <row r="131" spans="1:19" x14ac:dyDescent="0.25">
      <c r="A131" s="165" t="s">
        <v>290</v>
      </c>
      <c r="B131" s="165" t="s">
        <v>209</v>
      </c>
      <c r="C131" s="165" t="s">
        <v>206</v>
      </c>
      <c r="D131" s="165" t="s">
        <v>210</v>
      </c>
      <c r="E131" s="165">
        <v>31.04</v>
      </c>
      <c r="F131" s="165"/>
      <c r="G131" s="165" t="s">
        <v>257</v>
      </c>
      <c r="H131" s="165" t="s">
        <v>209</v>
      </c>
      <c r="I131" s="165" t="s">
        <v>206</v>
      </c>
      <c r="J131" s="165" t="s">
        <v>210</v>
      </c>
      <c r="K131" s="165">
        <v>30.9</v>
      </c>
      <c r="L131" s="165"/>
      <c r="M131" s="165"/>
      <c r="N131" s="165"/>
      <c r="O131" s="165"/>
      <c r="P131" s="107">
        <v>800</v>
      </c>
      <c r="Q131" s="107">
        <v>600</v>
      </c>
      <c r="R131" s="107" t="str">
        <f t="shared" si="9"/>
        <v>800_600</v>
      </c>
      <c r="S131" s="165">
        <v>30.88</v>
      </c>
    </row>
    <row r="132" spans="1:19" x14ac:dyDescent="0.25">
      <c r="A132" s="165" t="s">
        <v>291</v>
      </c>
      <c r="B132" s="165" t="s">
        <v>205</v>
      </c>
      <c r="C132" s="165" t="s">
        <v>206</v>
      </c>
      <c r="D132" s="165" t="s">
        <v>809</v>
      </c>
      <c r="E132" s="165">
        <v>31.74</v>
      </c>
      <c r="F132" s="165"/>
      <c r="G132" s="165" t="s">
        <v>258</v>
      </c>
      <c r="H132" s="165" t="s">
        <v>209</v>
      </c>
      <c r="I132" s="165" t="s">
        <v>206</v>
      </c>
      <c r="J132" s="165" t="s">
        <v>210</v>
      </c>
      <c r="K132" s="165">
        <v>30.44</v>
      </c>
      <c r="L132" s="165">
        <f>AVERAGE(K132:K133)</f>
        <v>30.91</v>
      </c>
      <c r="M132" s="165"/>
      <c r="N132" s="165"/>
      <c r="O132" s="165"/>
      <c r="P132" s="107">
        <v>50</v>
      </c>
      <c r="Q132" s="107">
        <v>800</v>
      </c>
      <c r="R132" s="107" t="str">
        <f t="shared" si="9"/>
        <v>50_800</v>
      </c>
      <c r="S132" s="165">
        <v>31.189999999999998</v>
      </c>
    </row>
    <row r="133" spans="1:19" x14ac:dyDescent="0.25">
      <c r="A133" s="165" t="s">
        <v>291</v>
      </c>
      <c r="B133" s="165" t="s">
        <v>209</v>
      </c>
      <c r="C133" s="165" t="s">
        <v>206</v>
      </c>
      <c r="D133" s="165" t="s">
        <v>210</v>
      </c>
      <c r="E133" s="165">
        <v>31.67</v>
      </c>
      <c r="F133" s="165"/>
      <c r="G133" s="165" t="s">
        <v>259</v>
      </c>
      <c r="H133" s="165" t="s">
        <v>209</v>
      </c>
      <c r="I133" s="165" t="s">
        <v>206</v>
      </c>
      <c r="J133" s="165" t="s">
        <v>210</v>
      </c>
      <c r="K133" s="165">
        <v>31.38</v>
      </c>
      <c r="L133" s="165"/>
      <c r="M133" s="165"/>
      <c r="N133" s="165"/>
      <c r="O133" s="165"/>
      <c r="P133" s="107">
        <v>100</v>
      </c>
      <c r="Q133" s="107">
        <v>800</v>
      </c>
      <c r="R133" s="107" t="str">
        <f t="shared" si="9"/>
        <v>100_800</v>
      </c>
      <c r="S133" s="165">
        <v>31.465000000000003</v>
      </c>
    </row>
    <row r="134" spans="1:19" x14ac:dyDescent="0.25">
      <c r="A134" s="165" t="s">
        <v>292</v>
      </c>
      <c r="B134" s="165" t="s">
        <v>205</v>
      </c>
      <c r="C134" s="165" t="s">
        <v>206</v>
      </c>
      <c r="D134" s="165" t="s">
        <v>809</v>
      </c>
      <c r="E134" s="165">
        <v>30.95</v>
      </c>
      <c r="F134" s="165"/>
      <c r="G134" s="165" t="s">
        <v>260</v>
      </c>
      <c r="H134" s="165" t="s">
        <v>209</v>
      </c>
      <c r="I134" s="165" t="s">
        <v>206</v>
      </c>
      <c r="J134" s="165" t="s">
        <v>210</v>
      </c>
      <c r="K134" s="165">
        <v>31.61</v>
      </c>
      <c r="L134" s="165">
        <f>AVERAGE(K134:K135)</f>
        <v>31.299999999999997</v>
      </c>
      <c r="M134" s="165"/>
      <c r="N134" s="165"/>
      <c r="O134" s="165"/>
      <c r="P134" s="107">
        <v>200</v>
      </c>
      <c r="Q134" s="107">
        <v>800</v>
      </c>
      <c r="R134" s="107" t="str">
        <f t="shared" si="9"/>
        <v>200_800</v>
      </c>
      <c r="S134" s="165">
        <v>31.355</v>
      </c>
    </row>
    <row r="135" spans="1:19" x14ac:dyDescent="0.25">
      <c r="A135" s="165" t="s">
        <v>292</v>
      </c>
      <c r="B135" s="165" t="s">
        <v>209</v>
      </c>
      <c r="C135" s="165" t="s">
        <v>206</v>
      </c>
      <c r="D135" s="165" t="s">
        <v>210</v>
      </c>
      <c r="E135" s="165">
        <v>31.43</v>
      </c>
      <c r="F135" s="165"/>
      <c r="G135" s="165" t="s">
        <v>261</v>
      </c>
      <c r="H135" s="165" t="s">
        <v>209</v>
      </c>
      <c r="I135" s="165" t="s">
        <v>206</v>
      </c>
      <c r="J135" s="165" t="s">
        <v>210</v>
      </c>
      <c r="K135" s="165">
        <v>30.99</v>
      </c>
      <c r="L135" s="165"/>
      <c r="M135" s="165"/>
      <c r="N135" s="165"/>
      <c r="O135" s="165"/>
      <c r="P135" s="107">
        <v>400</v>
      </c>
      <c r="Q135" s="107">
        <v>800</v>
      </c>
      <c r="R135" s="107" t="str">
        <f t="shared" si="9"/>
        <v>400_800</v>
      </c>
      <c r="S135" s="165">
        <v>31.204999999999998</v>
      </c>
    </row>
    <row r="136" spans="1:19" x14ac:dyDescent="0.25">
      <c r="A136" s="165" t="s">
        <v>293</v>
      </c>
      <c r="B136" s="165" t="s">
        <v>205</v>
      </c>
      <c r="C136" s="165" t="s">
        <v>206</v>
      </c>
      <c r="D136" s="165" t="s">
        <v>809</v>
      </c>
      <c r="E136" s="165">
        <v>30.44</v>
      </c>
      <c r="F136" s="165"/>
      <c r="G136" s="165" t="s">
        <v>262</v>
      </c>
      <c r="H136" s="165" t="s">
        <v>209</v>
      </c>
      <c r="I136" s="165" t="s">
        <v>206</v>
      </c>
      <c r="J136" s="165" t="s">
        <v>210</v>
      </c>
      <c r="K136" s="165">
        <v>31.19</v>
      </c>
      <c r="L136" s="165">
        <f>AVERAGE(K136:K137)</f>
        <v>31.305</v>
      </c>
      <c r="M136" s="165"/>
      <c r="N136" s="165"/>
      <c r="O136" s="165"/>
      <c r="P136" s="107">
        <v>600</v>
      </c>
      <c r="Q136" s="107">
        <v>800</v>
      </c>
      <c r="R136" s="107" t="str">
        <f t="shared" si="9"/>
        <v>600_800</v>
      </c>
      <c r="S136" s="165">
        <v>31.605</v>
      </c>
    </row>
    <row r="137" spans="1:19" x14ac:dyDescent="0.25">
      <c r="A137" s="165" t="s">
        <v>293</v>
      </c>
      <c r="B137" s="165" t="s">
        <v>209</v>
      </c>
      <c r="C137" s="165" t="s">
        <v>206</v>
      </c>
      <c r="D137" s="165" t="s">
        <v>210</v>
      </c>
      <c r="E137" s="165">
        <v>30.98</v>
      </c>
      <c r="F137" s="165"/>
      <c r="G137" s="165" t="s">
        <v>263</v>
      </c>
      <c r="H137" s="165" t="s">
        <v>209</v>
      </c>
      <c r="I137" s="165" t="s">
        <v>206</v>
      </c>
      <c r="J137" s="165" t="s">
        <v>210</v>
      </c>
      <c r="K137" s="165">
        <v>31.42</v>
      </c>
      <c r="L137" s="165"/>
      <c r="M137" s="165"/>
      <c r="N137" s="165"/>
      <c r="O137" s="165"/>
      <c r="P137" s="107">
        <v>800</v>
      </c>
      <c r="Q137" s="107">
        <v>800</v>
      </c>
      <c r="R137" s="107" t="str">
        <f t="shared" si="9"/>
        <v>800_800</v>
      </c>
      <c r="S137" s="165">
        <v>31.02</v>
      </c>
    </row>
    <row r="138" spans="1:19" x14ac:dyDescent="0.25">
      <c r="A138" s="165" t="s">
        <v>294</v>
      </c>
      <c r="B138" s="165" t="s">
        <v>205</v>
      </c>
      <c r="C138" s="165" t="s">
        <v>206</v>
      </c>
      <c r="D138" s="165" t="s">
        <v>809</v>
      </c>
      <c r="E138" s="165">
        <v>30.24</v>
      </c>
      <c r="F138" s="165"/>
      <c r="G138" s="165" t="s">
        <v>264</v>
      </c>
      <c r="H138" s="165" t="s">
        <v>209</v>
      </c>
      <c r="I138" s="165" t="s">
        <v>206</v>
      </c>
      <c r="J138" s="165" t="s">
        <v>210</v>
      </c>
      <c r="K138" s="165">
        <v>31.14</v>
      </c>
      <c r="L138" s="165">
        <f>AVERAGE(K138:K139)</f>
        <v>31.05</v>
      </c>
      <c r="M138" s="165"/>
      <c r="N138" s="165"/>
      <c r="O138" s="165"/>
      <c r="P138" s="165"/>
      <c r="Q138" s="165"/>
      <c r="R138" s="165"/>
      <c r="S138" s="165"/>
    </row>
    <row r="139" spans="1:19" x14ac:dyDescent="0.25">
      <c r="A139" s="165" t="s">
        <v>294</v>
      </c>
      <c r="B139" s="165" t="s">
        <v>209</v>
      </c>
      <c r="C139" s="165" t="s">
        <v>206</v>
      </c>
      <c r="D139" s="165" t="s">
        <v>210</v>
      </c>
      <c r="E139" s="165">
        <v>31.86</v>
      </c>
      <c r="F139" s="165"/>
      <c r="G139" s="165" t="s">
        <v>265</v>
      </c>
      <c r="H139" s="165" t="s">
        <v>209</v>
      </c>
      <c r="I139" s="165" t="s">
        <v>206</v>
      </c>
      <c r="J139" s="165" t="s">
        <v>210</v>
      </c>
      <c r="K139" s="165">
        <v>30.96</v>
      </c>
      <c r="L139" s="165"/>
      <c r="M139" s="165"/>
      <c r="N139" s="165"/>
      <c r="O139" s="165"/>
      <c r="P139" s="165"/>
      <c r="Q139" s="165"/>
      <c r="R139" s="165"/>
      <c r="S139" s="165"/>
    </row>
    <row r="140" spans="1:19" x14ac:dyDescent="0.25">
      <c r="A140" s="165" t="s">
        <v>295</v>
      </c>
      <c r="B140" s="165" t="s">
        <v>205</v>
      </c>
      <c r="C140" s="165" t="s">
        <v>206</v>
      </c>
      <c r="D140" s="165" t="s">
        <v>809</v>
      </c>
      <c r="E140" s="165">
        <v>30.22</v>
      </c>
      <c r="F140" s="165"/>
      <c r="G140" s="165" t="s">
        <v>266</v>
      </c>
      <c r="H140" s="165" t="s">
        <v>209</v>
      </c>
      <c r="I140" s="165" t="s">
        <v>206</v>
      </c>
      <c r="J140" s="165" t="s">
        <v>210</v>
      </c>
      <c r="K140" s="165">
        <v>31.23</v>
      </c>
      <c r="L140" s="165">
        <f>AVERAGE(K140:K141)</f>
        <v>31.225000000000001</v>
      </c>
      <c r="M140" s="165"/>
      <c r="N140" s="165"/>
      <c r="O140" s="165"/>
      <c r="P140" s="165"/>
      <c r="Q140" s="165"/>
      <c r="R140" s="165"/>
      <c r="S140" s="165"/>
    </row>
    <row r="141" spans="1:19" x14ac:dyDescent="0.25">
      <c r="A141" s="165" t="s">
        <v>295</v>
      </c>
      <c r="B141" s="165" t="s">
        <v>209</v>
      </c>
      <c r="C141" s="165" t="s">
        <v>206</v>
      </c>
      <c r="D141" s="165" t="s">
        <v>210</v>
      </c>
      <c r="E141" s="165">
        <v>31.35</v>
      </c>
      <c r="F141" s="165"/>
      <c r="G141" s="165" t="s">
        <v>267</v>
      </c>
      <c r="H141" s="165" t="s">
        <v>209</v>
      </c>
      <c r="I141" s="165" t="s">
        <v>206</v>
      </c>
      <c r="J141" s="165" t="s">
        <v>210</v>
      </c>
      <c r="K141" s="165">
        <v>31.22</v>
      </c>
      <c r="L141" s="165"/>
      <c r="M141" s="165"/>
      <c r="N141" s="165"/>
      <c r="O141" s="165"/>
      <c r="P141" s="165"/>
      <c r="Q141" s="165"/>
      <c r="R141" s="165"/>
      <c r="S141" s="165"/>
    </row>
    <row r="142" spans="1:19" x14ac:dyDescent="0.25">
      <c r="A142" s="165" t="s">
        <v>296</v>
      </c>
      <c r="B142" s="165" t="s">
        <v>205</v>
      </c>
      <c r="C142" s="165" t="s">
        <v>206</v>
      </c>
      <c r="D142" s="165" t="s">
        <v>809</v>
      </c>
      <c r="E142" s="165">
        <v>30.06</v>
      </c>
      <c r="F142" s="165"/>
      <c r="G142" s="165" t="s">
        <v>268</v>
      </c>
      <c r="H142" s="165" t="s">
        <v>209</v>
      </c>
      <c r="I142" s="165" t="s">
        <v>206</v>
      </c>
      <c r="J142" s="165" t="s">
        <v>210</v>
      </c>
      <c r="K142" s="165">
        <v>30.77</v>
      </c>
      <c r="L142" s="165">
        <f>AVERAGE(K142:K143)</f>
        <v>30.75</v>
      </c>
      <c r="M142" s="165"/>
      <c r="N142" s="165"/>
      <c r="O142" s="165"/>
      <c r="P142" s="165"/>
      <c r="Q142" s="165"/>
      <c r="R142" s="165"/>
      <c r="S142" s="165"/>
    </row>
    <row r="143" spans="1:19" x14ac:dyDescent="0.25">
      <c r="A143" s="165" t="s">
        <v>296</v>
      </c>
      <c r="B143" s="165" t="s">
        <v>209</v>
      </c>
      <c r="C143" s="165" t="s">
        <v>206</v>
      </c>
      <c r="D143" s="165" t="s">
        <v>210</v>
      </c>
      <c r="E143" s="165">
        <v>30.81</v>
      </c>
      <c r="F143" s="165"/>
      <c r="G143" s="165" t="s">
        <v>270</v>
      </c>
      <c r="H143" s="165" t="s">
        <v>209</v>
      </c>
      <c r="I143" s="165" t="s">
        <v>206</v>
      </c>
      <c r="J143" s="165" t="s">
        <v>210</v>
      </c>
      <c r="K143" s="165">
        <v>30.73</v>
      </c>
      <c r="L143" s="165"/>
      <c r="M143" s="165"/>
      <c r="N143" s="165"/>
      <c r="O143" s="165"/>
      <c r="P143" s="165"/>
      <c r="Q143" s="165"/>
      <c r="R143" s="165"/>
      <c r="S143" s="165"/>
    </row>
    <row r="144" spans="1:19" x14ac:dyDescent="0.25">
      <c r="A144" s="165" t="s">
        <v>297</v>
      </c>
      <c r="B144" s="165" t="s">
        <v>205</v>
      </c>
      <c r="C144" s="165" t="s">
        <v>206</v>
      </c>
      <c r="D144" s="165" t="s">
        <v>809</v>
      </c>
      <c r="E144" s="165">
        <v>30.37</v>
      </c>
      <c r="F144" s="165"/>
      <c r="G144" s="165" t="s">
        <v>272</v>
      </c>
      <c r="H144" s="165" t="s">
        <v>209</v>
      </c>
      <c r="I144" s="165" t="s">
        <v>206</v>
      </c>
      <c r="J144" s="165" t="s">
        <v>210</v>
      </c>
      <c r="K144" s="165">
        <v>31.05</v>
      </c>
      <c r="L144" s="165">
        <f>AVERAGE(K144:K145)</f>
        <v>31.08</v>
      </c>
      <c r="M144" s="165"/>
      <c r="N144" s="165"/>
      <c r="O144" s="165"/>
      <c r="P144" s="165"/>
      <c r="Q144" s="165"/>
      <c r="R144" s="165"/>
      <c r="S144" s="165"/>
    </row>
    <row r="145" spans="1:12" x14ac:dyDescent="0.25">
      <c r="A145" s="165" t="s">
        <v>297</v>
      </c>
      <c r="B145" s="165" t="s">
        <v>209</v>
      </c>
      <c r="C145" s="165" t="s">
        <v>206</v>
      </c>
      <c r="D145" s="165" t="s">
        <v>210</v>
      </c>
      <c r="E145" s="165">
        <v>31.23</v>
      </c>
      <c r="F145" s="165"/>
      <c r="G145" s="165" t="s">
        <v>273</v>
      </c>
      <c r="H145" s="165" t="s">
        <v>209</v>
      </c>
      <c r="I145" s="165" t="s">
        <v>206</v>
      </c>
      <c r="J145" s="165" t="s">
        <v>210</v>
      </c>
      <c r="K145" s="165">
        <v>31.11</v>
      </c>
      <c r="L145" s="165"/>
    </row>
    <row r="146" spans="1:12" x14ac:dyDescent="0.25">
      <c r="A146" s="165" t="s">
        <v>298</v>
      </c>
      <c r="B146" s="165" t="s">
        <v>205</v>
      </c>
      <c r="C146" s="165" t="s">
        <v>206</v>
      </c>
      <c r="D146" s="165" t="s">
        <v>809</v>
      </c>
      <c r="E146" s="165">
        <v>11.35</v>
      </c>
      <c r="F146" s="165"/>
      <c r="G146" s="165" t="s">
        <v>274</v>
      </c>
      <c r="H146" s="165" t="s">
        <v>209</v>
      </c>
      <c r="I146" s="165" t="s">
        <v>206</v>
      </c>
      <c r="J146" s="165" t="s">
        <v>210</v>
      </c>
      <c r="K146" s="165">
        <v>31.15</v>
      </c>
      <c r="L146" s="165">
        <f>AVERAGE(K146:K147)</f>
        <v>31.204999999999998</v>
      </c>
    </row>
    <row r="147" spans="1:12" x14ac:dyDescent="0.25">
      <c r="A147" s="165" t="s">
        <v>298</v>
      </c>
      <c r="B147" s="165" t="s">
        <v>209</v>
      </c>
      <c r="C147" s="165" t="s">
        <v>206</v>
      </c>
      <c r="D147" s="165" t="s">
        <v>210</v>
      </c>
      <c r="E147" s="165">
        <v>31.53</v>
      </c>
      <c r="F147" s="165"/>
      <c r="G147" s="165" t="s">
        <v>275</v>
      </c>
      <c r="H147" s="165" t="s">
        <v>209</v>
      </c>
      <c r="I147" s="165" t="s">
        <v>206</v>
      </c>
      <c r="J147" s="165" t="s">
        <v>210</v>
      </c>
      <c r="K147" s="165">
        <v>31.26</v>
      </c>
      <c r="L147" s="165"/>
    </row>
    <row r="148" spans="1:12" x14ac:dyDescent="0.25">
      <c r="A148" s="165" t="s">
        <v>299</v>
      </c>
      <c r="B148" s="165" t="s">
        <v>205</v>
      </c>
      <c r="C148" s="165" t="s">
        <v>206</v>
      </c>
      <c r="D148" s="165" t="s">
        <v>809</v>
      </c>
      <c r="E148" s="165">
        <v>11.49</v>
      </c>
      <c r="F148" s="165"/>
      <c r="G148" s="165" t="s">
        <v>276</v>
      </c>
      <c r="H148" s="165" t="s">
        <v>209</v>
      </c>
      <c r="I148" s="165" t="s">
        <v>206</v>
      </c>
      <c r="J148" s="165" t="s">
        <v>210</v>
      </c>
      <c r="K148" s="165">
        <v>31</v>
      </c>
      <c r="L148" s="165">
        <f>AVERAGE(K148:K149)</f>
        <v>31.119999999999997</v>
      </c>
    </row>
    <row r="149" spans="1:12" x14ac:dyDescent="0.25">
      <c r="A149" s="165" t="s">
        <v>299</v>
      </c>
      <c r="B149" s="165" t="s">
        <v>209</v>
      </c>
      <c r="C149" s="165" t="s">
        <v>206</v>
      </c>
      <c r="D149" s="165" t="s">
        <v>210</v>
      </c>
      <c r="E149" s="165">
        <v>31.94</v>
      </c>
      <c r="F149" s="165"/>
      <c r="G149" s="165" t="s">
        <v>277</v>
      </c>
      <c r="H149" s="165" t="s">
        <v>209</v>
      </c>
      <c r="I149" s="165" t="s">
        <v>206</v>
      </c>
      <c r="J149" s="165" t="s">
        <v>210</v>
      </c>
      <c r="K149" s="165">
        <v>31.24</v>
      </c>
      <c r="L149" s="165"/>
    </row>
    <row r="150" spans="1:12" x14ac:dyDescent="0.25">
      <c r="A150" s="165" t="s">
        <v>300</v>
      </c>
      <c r="B150" s="165" t="s">
        <v>205</v>
      </c>
      <c r="C150" s="165" t="s">
        <v>206</v>
      </c>
      <c r="D150" s="165" t="s">
        <v>809</v>
      </c>
      <c r="E150" s="165">
        <v>11.31</v>
      </c>
      <c r="F150" s="165"/>
      <c r="G150" s="165" t="s">
        <v>278</v>
      </c>
      <c r="H150" s="165" t="s">
        <v>209</v>
      </c>
      <c r="I150" s="165" t="s">
        <v>206</v>
      </c>
      <c r="J150" s="165" t="s">
        <v>210</v>
      </c>
      <c r="K150" s="165">
        <v>31.55</v>
      </c>
      <c r="L150" s="165">
        <f>AVERAGE(K150:K151)</f>
        <v>31.310000000000002</v>
      </c>
    </row>
    <row r="151" spans="1:12" x14ac:dyDescent="0.25">
      <c r="A151" s="165" t="s">
        <v>300</v>
      </c>
      <c r="B151" s="165" t="s">
        <v>209</v>
      </c>
      <c r="C151" s="165" t="s">
        <v>206</v>
      </c>
      <c r="D151" s="165" t="s">
        <v>210</v>
      </c>
      <c r="E151" s="165">
        <v>32.44</v>
      </c>
      <c r="F151" s="165"/>
      <c r="G151" s="165" t="s">
        <v>279</v>
      </c>
      <c r="H151" s="165" t="s">
        <v>209</v>
      </c>
      <c r="I151" s="165" t="s">
        <v>206</v>
      </c>
      <c r="J151" s="165" t="s">
        <v>210</v>
      </c>
      <c r="K151" s="165">
        <v>31.07</v>
      </c>
      <c r="L151" s="165"/>
    </row>
    <row r="152" spans="1:12" x14ac:dyDescent="0.25">
      <c r="A152" s="165" t="s">
        <v>301</v>
      </c>
      <c r="B152" s="165" t="s">
        <v>205</v>
      </c>
      <c r="C152" s="165" t="s">
        <v>206</v>
      </c>
      <c r="D152" s="165" t="s">
        <v>809</v>
      </c>
      <c r="E152" s="165">
        <v>15.37</v>
      </c>
      <c r="F152" s="165"/>
      <c r="G152" s="165" t="s">
        <v>280</v>
      </c>
      <c r="H152" s="165" t="s">
        <v>209</v>
      </c>
      <c r="I152" s="165" t="s">
        <v>206</v>
      </c>
      <c r="J152" s="165" t="s">
        <v>210</v>
      </c>
      <c r="K152" s="165">
        <v>31.91</v>
      </c>
      <c r="L152" s="165">
        <f>AVERAGE(K152:K153)</f>
        <v>31.505000000000003</v>
      </c>
    </row>
    <row r="153" spans="1:12" x14ac:dyDescent="0.25">
      <c r="A153" s="165" t="s">
        <v>301</v>
      </c>
      <c r="B153" s="165" t="s">
        <v>209</v>
      </c>
      <c r="C153" s="165" t="s">
        <v>206</v>
      </c>
      <c r="D153" s="165" t="s">
        <v>210</v>
      </c>
      <c r="E153" s="165">
        <v>31.85</v>
      </c>
      <c r="F153" s="165"/>
      <c r="G153" s="165" t="s">
        <v>281</v>
      </c>
      <c r="H153" s="165" t="s">
        <v>209</v>
      </c>
      <c r="I153" s="165" t="s">
        <v>206</v>
      </c>
      <c r="J153" s="165" t="s">
        <v>210</v>
      </c>
      <c r="K153" s="165">
        <v>31.1</v>
      </c>
      <c r="L153" s="165"/>
    </row>
    <row r="154" spans="1:12" x14ac:dyDescent="0.25">
      <c r="A154" s="165" t="s">
        <v>302</v>
      </c>
      <c r="B154" s="165" t="s">
        <v>205</v>
      </c>
      <c r="C154" s="165" t="s">
        <v>206</v>
      </c>
      <c r="D154" s="165" t="s">
        <v>809</v>
      </c>
      <c r="E154" s="165">
        <v>15.49</v>
      </c>
      <c r="F154" s="165"/>
      <c r="G154" s="165" t="s">
        <v>282</v>
      </c>
      <c r="H154" s="165" t="s">
        <v>209</v>
      </c>
      <c r="I154" s="165" t="s">
        <v>206</v>
      </c>
      <c r="J154" s="165" t="s">
        <v>210</v>
      </c>
      <c r="K154" s="165">
        <v>30.93</v>
      </c>
      <c r="L154" s="165">
        <f>AVERAGE(K154:K155)</f>
        <v>30.88</v>
      </c>
    </row>
    <row r="155" spans="1:12" x14ac:dyDescent="0.25">
      <c r="A155" s="165" t="s">
        <v>302</v>
      </c>
      <c r="B155" s="165" t="s">
        <v>209</v>
      </c>
      <c r="C155" s="165" t="s">
        <v>206</v>
      </c>
      <c r="D155" s="165" t="s">
        <v>210</v>
      </c>
      <c r="E155" s="165">
        <v>31.98</v>
      </c>
      <c r="F155" s="165"/>
      <c r="G155" s="165" t="s">
        <v>283</v>
      </c>
      <c r="H155" s="165" t="s">
        <v>209</v>
      </c>
      <c r="I155" s="165" t="s">
        <v>206</v>
      </c>
      <c r="J155" s="165" t="s">
        <v>210</v>
      </c>
      <c r="K155" s="165">
        <v>30.83</v>
      </c>
      <c r="L155" s="165"/>
    </row>
    <row r="156" spans="1:12" x14ac:dyDescent="0.25">
      <c r="A156" s="165" t="s">
        <v>303</v>
      </c>
      <c r="B156" s="165" t="s">
        <v>205</v>
      </c>
      <c r="C156" s="165" t="s">
        <v>206</v>
      </c>
      <c r="D156" s="165" t="s">
        <v>809</v>
      </c>
      <c r="E156" s="165">
        <v>15.38</v>
      </c>
      <c r="F156" s="165"/>
      <c r="G156" s="165" t="s">
        <v>284</v>
      </c>
      <c r="H156" s="165" t="s">
        <v>209</v>
      </c>
      <c r="I156" s="165" t="s">
        <v>206</v>
      </c>
      <c r="J156" s="165" t="s">
        <v>210</v>
      </c>
      <c r="K156" s="165">
        <v>30.63</v>
      </c>
      <c r="L156" s="165">
        <f>AVERAGE(K156:K157)</f>
        <v>30.88</v>
      </c>
    </row>
    <row r="157" spans="1:12" x14ac:dyDescent="0.25">
      <c r="A157" s="165" t="s">
        <v>303</v>
      </c>
      <c r="B157" s="165" t="s">
        <v>209</v>
      </c>
      <c r="C157" s="165" t="s">
        <v>206</v>
      </c>
      <c r="D157" s="165" t="s">
        <v>210</v>
      </c>
      <c r="E157" s="165">
        <v>32.25</v>
      </c>
      <c r="F157" s="165"/>
      <c r="G157" s="165" t="s">
        <v>285</v>
      </c>
      <c r="H157" s="165" t="s">
        <v>209</v>
      </c>
      <c r="I157" s="165" t="s">
        <v>206</v>
      </c>
      <c r="J157" s="165" t="s">
        <v>210</v>
      </c>
      <c r="K157" s="165">
        <v>31.13</v>
      </c>
      <c r="L157" s="165"/>
    </row>
    <row r="158" spans="1:12" x14ac:dyDescent="0.25">
      <c r="A158" s="165" t="s">
        <v>304</v>
      </c>
      <c r="B158" s="165" t="s">
        <v>205</v>
      </c>
      <c r="C158" s="165" t="s">
        <v>206</v>
      </c>
      <c r="D158" s="165" t="s">
        <v>809</v>
      </c>
      <c r="E158" s="165">
        <v>19.579999999999998</v>
      </c>
      <c r="F158" s="165"/>
      <c r="G158" s="165" t="s">
        <v>286</v>
      </c>
      <c r="H158" s="165" t="s">
        <v>209</v>
      </c>
      <c r="I158" s="165" t="s">
        <v>206</v>
      </c>
      <c r="J158" s="165" t="s">
        <v>210</v>
      </c>
      <c r="K158" s="165">
        <v>31.39</v>
      </c>
      <c r="L158" s="165">
        <f>AVERAGE(K158:K159)</f>
        <v>31.189999999999998</v>
      </c>
    </row>
    <row r="159" spans="1:12" x14ac:dyDescent="0.25">
      <c r="A159" s="165" t="s">
        <v>304</v>
      </c>
      <c r="B159" s="165" t="s">
        <v>209</v>
      </c>
      <c r="C159" s="165" t="s">
        <v>206</v>
      </c>
      <c r="D159" s="165" t="s">
        <v>210</v>
      </c>
      <c r="E159" s="165">
        <v>31.84</v>
      </c>
      <c r="F159" s="165"/>
      <c r="G159" s="165" t="s">
        <v>287</v>
      </c>
      <c r="H159" s="165" t="s">
        <v>209</v>
      </c>
      <c r="I159" s="165" t="s">
        <v>206</v>
      </c>
      <c r="J159" s="165" t="s">
        <v>210</v>
      </c>
      <c r="K159" s="165">
        <v>30.99</v>
      </c>
      <c r="L159" s="165"/>
    </row>
    <row r="160" spans="1:12" x14ac:dyDescent="0.25">
      <c r="A160" s="165" t="s">
        <v>305</v>
      </c>
      <c r="B160" s="165" t="s">
        <v>205</v>
      </c>
      <c r="C160" s="165" t="s">
        <v>206</v>
      </c>
      <c r="D160" s="165" t="s">
        <v>809</v>
      </c>
      <c r="E160" s="165">
        <v>19.54</v>
      </c>
      <c r="F160" s="165"/>
      <c r="G160" s="165" t="s">
        <v>288</v>
      </c>
      <c r="H160" s="165" t="s">
        <v>209</v>
      </c>
      <c r="I160" s="165" t="s">
        <v>206</v>
      </c>
      <c r="J160" s="165" t="s">
        <v>210</v>
      </c>
      <c r="K160" s="165">
        <v>31.42</v>
      </c>
      <c r="L160" s="165">
        <f>AVERAGE(K160:K161)</f>
        <v>31.465000000000003</v>
      </c>
    </row>
    <row r="161" spans="1:12" x14ac:dyDescent="0.25">
      <c r="A161" s="165" t="s">
        <v>305</v>
      </c>
      <c r="B161" s="165" t="s">
        <v>209</v>
      </c>
      <c r="C161" s="165" t="s">
        <v>206</v>
      </c>
      <c r="D161" s="165" t="s">
        <v>210</v>
      </c>
      <c r="E161" s="165">
        <v>31.86</v>
      </c>
      <c r="F161" s="165"/>
      <c r="G161" s="165" t="s">
        <v>289</v>
      </c>
      <c r="H161" s="165" t="s">
        <v>209</v>
      </c>
      <c r="I161" s="165" t="s">
        <v>206</v>
      </c>
      <c r="J161" s="165" t="s">
        <v>210</v>
      </c>
      <c r="K161" s="165">
        <v>31.51</v>
      </c>
      <c r="L161" s="165"/>
    </row>
    <row r="162" spans="1:12" x14ac:dyDescent="0.25">
      <c r="A162" s="165" t="s">
        <v>306</v>
      </c>
      <c r="B162" s="165" t="s">
        <v>205</v>
      </c>
      <c r="C162" s="165" t="s">
        <v>206</v>
      </c>
      <c r="D162" s="165" t="s">
        <v>809</v>
      </c>
      <c r="E162" s="165">
        <v>19.39</v>
      </c>
      <c r="F162" s="165"/>
      <c r="G162" s="165" t="s">
        <v>290</v>
      </c>
      <c r="H162" s="165" t="s">
        <v>209</v>
      </c>
      <c r="I162" s="165" t="s">
        <v>206</v>
      </c>
      <c r="J162" s="165" t="s">
        <v>210</v>
      </c>
      <c r="K162" s="165">
        <v>31.04</v>
      </c>
      <c r="L162" s="165">
        <f>AVERAGE(K162:K163)</f>
        <v>31.355</v>
      </c>
    </row>
    <row r="163" spans="1:12" x14ac:dyDescent="0.25">
      <c r="A163" s="165" t="s">
        <v>306</v>
      </c>
      <c r="B163" s="165" t="s">
        <v>209</v>
      </c>
      <c r="C163" s="165" t="s">
        <v>206</v>
      </c>
      <c r="D163" s="165" t="s">
        <v>210</v>
      </c>
      <c r="E163" s="165">
        <v>31.78</v>
      </c>
      <c r="F163" s="165"/>
      <c r="G163" s="165" t="s">
        <v>291</v>
      </c>
      <c r="H163" s="165" t="s">
        <v>209</v>
      </c>
      <c r="I163" s="165" t="s">
        <v>206</v>
      </c>
      <c r="J163" s="165" t="s">
        <v>210</v>
      </c>
      <c r="K163" s="165">
        <v>31.67</v>
      </c>
      <c r="L163" s="165"/>
    </row>
    <row r="164" spans="1:12" x14ac:dyDescent="0.25">
      <c r="A164" s="165" t="s">
        <v>307</v>
      </c>
      <c r="B164" s="165" t="s">
        <v>205</v>
      </c>
      <c r="C164" s="165" t="s">
        <v>206</v>
      </c>
      <c r="D164" s="165" t="s">
        <v>809</v>
      </c>
      <c r="E164" s="165">
        <v>22.55</v>
      </c>
      <c r="F164" s="165"/>
      <c r="G164" s="165" t="s">
        <v>292</v>
      </c>
      <c r="H164" s="165" t="s">
        <v>209</v>
      </c>
      <c r="I164" s="165" t="s">
        <v>206</v>
      </c>
      <c r="J164" s="165" t="s">
        <v>210</v>
      </c>
      <c r="K164" s="165">
        <v>31.43</v>
      </c>
      <c r="L164" s="165">
        <f>AVERAGE(K164:K165)</f>
        <v>31.204999999999998</v>
      </c>
    </row>
    <row r="165" spans="1:12" x14ac:dyDescent="0.25">
      <c r="A165" s="165" t="s">
        <v>307</v>
      </c>
      <c r="B165" s="165" t="s">
        <v>209</v>
      </c>
      <c r="C165" s="165" t="s">
        <v>206</v>
      </c>
      <c r="D165" s="165" t="s">
        <v>210</v>
      </c>
      <c r="E165" s="165">
        <v>30.87</v>
      </c>
      <c r="F165" s="165"/>
      <c r="G165" s="165" t="s">
        <v>293</v>
      </c>
      <c r="H165" s="165" t="s">
        <v>209</v>
      </c>
      <c r="I165" s="165" t="s">
        <v>206</v>
      </c>
      <c r="J165" s="165" t="s">
        <v>210</v>
      </c>
      <c r="K165" s="165">
        <v>30.98</v>
      </c>
      <c r="L165" s="165"/>
    </row>
    <row r="166" spans="1:12" x14ac:dyDescent="0.25">
      <c r="A166" s="165" t="s">
        <v>308</v>
      </c>
      <c r="B166" s="165" t="s">
        <v>205</v>
      </c>
      <c r="C166" s="165" t="s">
        <v>206</v>
      </c>
      <c r="D166" s="165" t="s">
        <v>809</v>
      </c>
      <c r="E166" s="165">
        <v>22.83</v>
      </c>
      <c r="F166" s="165"/>
      <c r="G166" s="165" t="s">
        <v>294</v>
      </c>
      <c r="H166" s="165" t="s">
        <v>209</v>
      </c>
      <c r="I166" s="165" t="s">
        <v>206</v>
      </c>
      <c r="J166" s="165" t="s">
        <v>210</v>
      </c>
      <c r="K166" s="165">
        <v>31.86</v>
      </c>
      <c r="L166" s="165">
        <f>AVERAGE(K166:K167)</f>
        <v>31.605</v>
      </c>
    </row>
    <row r="167" spans="1:12" x14ac:dyDescent="0.25">
      <c r="A167" s="165" t="s">
        <v>308</v>
      </c>
      <c r="B167" s="165" t="s">
        <v>209</v>
      </c>
      <c r="C167" s="165" t="s">
        <v>206</v>
      </c>
      <c r="D167" s="165" t="s">
        <v>210</v>
      </c>
      <c r="E167" s="165">
        <v>31.4</v>
      </c>
      <c r="F167" s="165"/>
      <c r="G167" s="165" t="s">
        <v>295</v>
      </c>
      <c r="H167" s="165" t="s">
        <v>209</v>
      </c>
      <c r="I167" s="165" t="s">
        <v>206</v>
      </c>
      <c r="J167" s="165" t="s">
        <v>210</v>
      </c>
      <c r="K167" s="165">
        <v>31.35</v>
      </c>
      <c r="L167" s="165"/>
    </row>
    <row r="168" spans="1:12" x14ac:dyDescent="0.25">
      <c r="A168" s="165" t="s">
        <v>309</v>
      </c>
      <c r="B168" s="165" t="s">
        <v>205</v>
      </c>
      <c r="C168" s="165" t="s">
        <v>206</v>
      </c>
      <c r="D168" s="165" t="s">
        <v>809</v>
      </c>
      <c r="E168" s="165">
        <v>22.6</v>
      </c>
      <c r="F168" s="165"/>
      <c r="G168" s="165" t="s">
        <v>296</v>
      </c>
      <c r="H168" s="165" t="s">
        <v>209</v>
      </c>
      <c r="I168" s="165" t="s">
        <v>206</v>
      </c>
      <c r="J168" s="165" t="s">
        <v>210</v>
      </c>
      <c r="K168" s="165">
        <v>30.81</v>
      </c>
      <c r="L168" s="165">
        <f>AVERAGE(K168:K169)</f>
        <v>31.02</v>
      </c>
    </row>
    <row r="169" spans="1:12" x14ac:dyDescent="0.25">
      <c r="A169" s="165" t="s">
        <v>309</v>
      </c>
      <c r="B169" s="165" t="s">
        <v>209</v>
      </c>
      <c r="C169" s="165" t="s">
        <v>206</v>
      </c>
      <c r="D169" s="165" t="s">
        <v>210</v>
      </c>
      <c r="E169" s="165">
        <v>31.76</v>
      </c>
      <c r="F169" s="165"/>
      <c r="G169" s="165" t="s">
        <v>297</v>
      </c>
      <c r="H169" s="165" t="s">
        <v>209</v>
      </c>
      <c r="I169" s="165" t="s">
        <v>206</v>
      </c>
      <c r="J169" s="165" t="s">
        <v>210</v>
      </c>
      <c r="K169" s="165">
        <v>31.23</v>
      </c>
      <c r="L169" s="165"/>
    </row>
    <row r="170" spans="1:12" x14ac:dyDescent="0.25">
      <c r="A170" s="165" t="s">
        <v>310</v>
      </c>
      <c r="B170" s="165" t="s">
        <v>205</v>
      </c>
      <c r="C170" s="165" t="s">
        <v>206</v>
      </c>
      <c r="D170" s="165" t="s">
        <v>809</v>
      </c>
      <c r="E170" s="165">
        <v>23.98</v>
      </c>
      <c r="F170" s="165"/>
      <c r="G170" s="165" t="s">
        <v>298</v>
      </c>
      <c r="H170" s="165" t="s">
        <v>209</v>
      </c>
      <c r="I170" s="165" t="s">
        <v>206</v>
      </c>
      <c r="J170" s="165" t="s">
        <v>210</v>
      </c>
      <c r="K170" s="165">
        <v>31.53</v>
      </c>
      <c r="L170" s="165">
        <f>AVERAGE(K170:K172)</f>
        <v>31.97</v>
      </c>
    </row>
    <row r="171" spans="1:12" x14ac:dyDescent="0.25">
      <c r="A171" s="165" t="s">
        <v>310</v>
      </c>
      <c r="B171" s="165" t="s">
        <v>209</v>
      </c>
      <c r="C171" s="165" t="s">
        <v>206</v>
      </c>
      <c r="D171" s="165" t="s">
        <v>210</v>
      </c>
      <c r="E171" s="165">
        <v>30.44</v>
      </c>
      <c r="F171" s="165"/>
      <c r="G171" s="165" t="s">
        <v>299</v>
      </c>
      <c r="H171" s="165" t="s">
        <v>209</v>
      </c>
      <c r="I171" s="165" t="s">
        <v>206</v>
      </c>
      <c r="J171" s="165" t="s">
        <v>210</v>
      </c>
      <c r="K171" s="165">
        <v>31.94</v>
      </c>
      <c r="L171" s="165"/>
    </row>
    <row r="172" spans="1:12" x14ac:dyDescent="0.25">
      <c r="A172" s="165" t="s">
        <v>311</v>
      </c>
      <c r="B172" s="165" t="s">
        <v>205</v>
      </c>
      <c r="C172" s="165" t="s">
        <v>206</v>
      </c>
      <c r="D172" s="165" t="s">
        <v>809</v>
      </c>
      <c r="E172" s="165">
        <v>24.37</v>
      </c>
      <c r="F172" s="165"/>
      <c r="G172" s="165" t="s">
        <v>300</v>
      </c>
      <c r="H172" s="165" t="s">
        <v>209</v>
      </c>
      <c r="I172" s="165" t="s">
        <v>206</v>
      </c>
      <c r="J172" s="165" t="s">
        <v>210</v>
      </c>
      <c r="K172" s="165">
        <v>32.44</v>
      </c>
      <c r="L172" s="165"/>
    </row>
    <row r="173" spans="1:12" x14ac:dyDescent="0.25">
      <c r="A173" s="165" t="s">
        <v>311</v>
      </c>
      <c r="B173" s="165" t="s">
        <v>209</v>
      </c>
      <c r="C173" s="165" t="s">
        <v>206</v>
      </c>
      <c r="D173" s="165" t="s">
        <v>210</v>
      </c>
      <c r="E173" s="165">
        <v>31.29</v>
      </c>
      <c r="F173" s="165"/>
      <c r="G173" s="165" t="s">
        <v>301</v>
      </c>
      <c r="H173" s="165" t="s">
        <v>209</v>
      </c>
      <c r="I173" s="165" t="s">
        <v>206</v>
      </c>
      <c r="J173" s="165" t="s">
        <v>210</v>
      </c>
      <c r="K173" s="165">
        <v>31.85</v>
      </c>
      <c r="L173" s="165">
        <f>AVERAGE(K173:K175)</f>
        <v>32.026666666666664</v>
      </c>
    </row>
    <row r="174" spans="1:12" x14ac:dyDescent="0.25">
      <c r="A174" s="165" t="s">
        <v>312</v>
      </c>
      <c r="B174" s="165" t="s">
        <v>205</v>
      </c>
      <c r="C174" s="165" t="s">
        <v>206</v>
      </c>
      <c r="D174" s="165" t="s">
        <v>809</v>
      </c>
      <c r="E174" s="165">
        <v>24.16</v>
      </c>
      <c r="F174" s="165"/>
      <c r="G174" s="165" t="s">
        <v>302</v>
      </c>
      <c r="H174" s="165" t="s">
        <v>209</v>
      </c>
      <c r="I174" s="165" t="s">
        <v>206</v>
      </c>
      <c r="J174" s="165" t="s">
        <v>210</v>
      </c>
      <c r="K174" s="165">
        <v>31.98</v>
      </c>
      <c r="L174" s="165"/>
    </row>
    <row r="175" spans="1:12" x14ac:dyDescent="0.25">
      <c r="A175" s="165" t="s">
        <v>312</v>
      </c>
      <c r="B175" s="165" t="s">
        <v>209</v>
      </c>
      <c r="C175" s="165" t="s">
        <v>206</v>
      </c>
      <c r="D175" s="165" t="s">
        <v>210</v>
      </c>
      <c r="E175" s="165">
        <v>31.19</v>
      </c>
      <c r="F175" s="165"/>
      <c r="G175" s="165" t="s">
        <v>303</v>
      </c>
      <c r="H175" s="165" t="s">
        <v>209</v>
      </c>
      <c r="I175" s="165" t="s">
        <v>206</v>
      </c>
      <c r="J175" s="165" t="s">
        <v>210</v>
      </c>
      <c r="K175" s="165">
        <v>32.25</v>
      </c>
      <c r="L175" s="165"/>
    </row>
    <row r="176" spans="1:12" x14ac:dyDescent="0.25">
      <c r="A176" s="165" t="s">
        <v>313</v>
      </c>
      <c r="B176" s="165" t="s">
        <v>205</v>
      </c>
      <c r="C176" s="165" t="s">
        <v>206</v>
      </c>
      <c r="D176" s="165" t="s">
        <v>809</v>
      </c>
      <c r="E176" s="165">
        <v>27.99</v>
      </c>
      <c r="F176" s="165"/>
      <c r="G176" s="165" t="s">
        <v>304</v>
      </c>
      <c r="H176" s="165" t="s">
        <v>209</v>
      </c>
      <c r="I176" s="165" t="s">
        <v>206</v>
      </c>
      <c r="J176" s="165" t="s">
        <v>210</v>
      </c>
      <c r="K176" s="165">
        <v>31.84</v>
      </c>
      <c r="L176" s="165">
        <f>AVERAGE(K176:K178)</f>
        <v>31.826666666666668</v>
      </c>
    </row>
    <row r="177" spans="1:12" x14ac:dyDescent="0.25">
      <c r="A177" s="165" t="s">
        <v>313</v>
      </c>
      <c r="B177" s="165" t="s">
        <v>209</v>
      </c>
      <c r="C177" s="165" t="s">
        <v>206</v>
      </c>
      <c r="D177" s="165" t="s">
        <v>210</v>
      </c>
      <c r="E177" s="165">
        <v>31.2</v>
      </c>
      <c r="F177" s="165"/>
      <c r="G177" s="165" t="s">
        <v>305</v>
      </c>
      <c r="H177" s="165" t="s">
        <v>209</v>
      </c>
      <c r="I177" s="165" t="s">
        <v>206</v>
      </c>
      <c r="J177" s="165" t="s">
        <v>210</v>
      </c>
      <c r="K177" s="165">
        <v>31.86</v>
      </c>
      <c r="L177" s="165"/>
    </row>
    <row r="178" spans="1:12" x14ac:dyDescent="0.25">
      <c r="A178" s="165" t="s">
        <v>314</v>
      </c>
      <c r="B178" s="165" t="s">
        <v>205</v>
      </c>
      <c r="C178" s="165" t="s">
        <v>206</v>
      </c>
      <c r="D178" s="165" t="s">
        <v>809</v>
      </c>
      <c r="E178" s="165">
        <v>27.78</v>
      </c>
      <c r="F178" s="165"/>
      <c r="G178" s="165" t="s">
        <v>306</v>
      </c>
      <c r="H178" s="165" t="s">
        <v>209</v>
      </c>
      <c r="I178" s="165" t="s">
        <v>206</v>
      </c>
      <c r="J178" s="165" t="s">
        <v>210</v>
      </c>
      <c r="K178" s="165">
        <v>31.78</v>
      </c>
      <c r="L178" s="165"/>
    </row>
    <row r="179" spans="1:12" x14ac:dyDescent="0.25">
      <c r="A179" s="165" t="s">
        <v>314</v>
      </c>
      <c r="B179" s="165" t="s">
        <v>209</v>
      </c>
      <c r="C179" s="165" t="s">
        <v>206</v>
      </c>
      <c r="D179" s="165" t="s">
        <v>210</v>
      </c>
      <c r="E179" s="165">
        <v>31.01</v>
      </c>
      <c r="F179" s="165"/>
      <c r="G179" s="165" t="s">
        <v>307</v>
      </c>
      <c r="H179" s="165" t="s">
        <v>209</v>
      </c>
      <c r="I179" s="165" t="s">
        <v>206</v>
      </c>
      <c r="J179" s="165" t="s">
        <v>210</v>
      </c>
      <c r="K179" s="165">
        <v>30.87</v>
      </c>
      <c r="L179" s="165">
        <f>AVERAGE(K179:K181)</f>
        <v>31.343333333333334</v>
      </c>
    </row>
    <row r="180" spans="1:12" x14ac:dyDescent="0.25">
      <c r="A180" s="165" t="s">
        <v>315</v>
      </c>
      <c r="B180" s="165" t="s">
        <v>205</v>
      </c>
      <c r="C180" s="165" t="s">
        <v>206</v>
      </c>
      <c r="D180" s="165" t="s">
        <v>809</v>
      </c>
      <c r="E180" s="165">
        <v>27.34</v>
      </c>
      <c r="F180" s="165"/>
      <c r="G180" s="165" t="s">
        <v>308</v>
      </c>
      <c r="H180" s="165" t="s">
        <v>209</v>
      </c>
      <c r="I180" s="165" t="s">
        <v>206</v>
      </c>
      <c r="J180" s="165" t="s">
        <v>210</v>
      </c>
      <c r="K180" s="165">
        <v>31.4</v>
      </c>
      <c r="L180" s="165"/>
    </row>
    <row r="181" spans="1:12" x14ac:dyDescent="0.25">
      <c r="A181" s="165" t="s">
        <v>315</v>
      </c>
      <c r="B181" s="165" t="s">
        <v>209</v>
      </c>
      <c r="C181" s="165" t="s">
        <v>206</v>
      </c>
      <c r="D181" s="165" t="s">
        <v>210</v>
      </c>
      <c r="E181" s="165">
        <v>31.98</v>
      </c>
      <c r="F181" s="165"/>
      <c r="G181" s="165" t="s">
        <v>309</v>
      </c>
      <c r="H181" s="165" t="s">
        <v>209</v>
      </c>
      <c r="I181" s="165" t="s">
        <v>206</v>
      </c>
      <c r="J181" s="165" t="s">
        <v>210</v>
      </c>
      <c r="K181" s="165">
        <v>31.76</v>
      </c>
      <c r="L181" s="165"/>
    </row>
    <row r="182" spans="1:12" x14ac:dyDescent="0.25">
      <c r="A182" s="165" t="s">
        <v>316</v>
      </c>
      <c r="B182" s="165" t="s">
        <v>205</v>
      </c>
      <c r="C182" s="165" t="s">
        <v>206</v>
      </c>
      <c r="D182" s="165" t="s">
        <v>809</v>
      </c>
      <c r="E182" s="165">
        <v>30.69</v>
      </c>
      <c r="F182" s="165"/>
      <c r="G182" s="165" t="s">
        <v>310</v>
      </c>
      <c r="H182" s="165" t="s">
        <v>209</v>
      </c>
      <c r="I182" s="165" t="s">
        <v>206</v>
      </c>
      <c r="J182" s="165" t="s">
        <v>210</v>
      </c>
      <c r="K182" s="165">
        <v>30.44</v>
      </c>
      <c r="L182" s="165">
        <f>AVERAGE(K182:K184)</f>
        <v>30.973333333333333</v>
      </c>
    </row>
    <row r="183" spans="1:12" x14ac:dyDescent="0.25">
      <c r="A183" s="165" t="s">
        <v>316</v>
      </c>
      <c r="B183" s="165" t="s">
        <v>209</v>
      </c>
      <c r="C183" s="165" t="s">
        <v>206</v>
      </c>
      <c r="D183" s="165" t="s">
        <v>210</v>
      </c>
      <c r="E183" s="165">
        <v>31.49</v>
      </c>
      <c r="F183" s="165"/>
      <c r="G183" s="165" t="s">
        <v>311</v>
      </c>
      <c r="H183" s="165" t="s">
        <v>209</v>
      </c>
      <c r="I183" s="165" t="s">
        <v>206</v>
      </c>
      <c r="J183" s="165" t="s">
        <v>210</v>
      </c>
      <c r="K183" s="165">
        <v>31.29</v>
      </c>
      <c r="L183" s="165"/>
    </row>
    <row r="184" spans="1:12" x14ac:dyDescent="0.25">
      <c r="A184" s="165" t="s">
        <v>317</v>
      </c>
      <c r="B184" s="165" t="s">
        <v>205</v>
      </c>
      <c r="C184" s="165" t="s">
        <v>206</v>
      </c>
      <c r="D184" s="165" t="s">
        <v>809</v>
      </c>
      <c r="E184" s="165">
        <v>30.82</v>
      </c>
      <c r="F184" s="165"/>
      <c r="G184" s="165" t="s">
        <v>312</v>
      </c>
      <c r="H184" s="165" t="s">
        <v>209</v>
      </c>
      <c r="I184" s="165" t="s">
        <v>206</v>
      </c>
      <c r="J184" s="165" t="s">
        <v>210</v>
      </c>
      <c r="K184" s="165">
        <v>31.19</v>
      </c>
      <c r="L184" s="165"/>
    </row>
    <row r="185" spans="1:12" x14ac:dyDescent="0.25">
      <c r="A185" s="165" t="s">
        <v>317</v>
      </c>
      <c r="B185" s="165" t="s">
        <v>209</v>
      </c>
      <c r="C185" s="165" t="s">
        <v>206</v>
      </c>
      <c r="D185" s="165" t="s">
        <v>210</v>
      </c>
      <c r="E185" s="165">
        <v>31.32</v>
      </c>
      <c r="F185" s="165"/>
      <c r="G185" s="165" t="s">
        <v>313</v>
      </c>
      <c r="H185" s="165" t="s">
        <v>209</v>
      </c>
      <c r="I185" s="165" t="s">
        <v>206</v>
      </c>
      <c r="J185" s="165" t="s">
        <v>210</v>
      </c>
      <c r="K185" s="165">
        <v>31.2</v>
      </c>
      <c r="L185" s="165">
        <f>AVERAGE(K185:K187)</f>
        <v>31.396666666666665</v>
      </c>
    </row>
    <row r="186" spans="1:12" x14ac:dyDescent="0.25">
      <c r="A186" s="165" t="s">
        <v>318</v>
      </c>
      <c r="B186" s="165" t="s">
        <v>205</v>
      </c>
      <c r="C186" s="165" t="s">
        <v>206</v>
      </c>
      <c r="D186" s="165" t="s">
        <v>809</v>
      </c>
      <c r="E186" s="165">
        <v>32.659999999999997</v>
      </c>
      <c r="F186" s="165"/>
      <c r="G186" s="165" t="s">
        <v>314</v>
      </c>
      <c r="H186" s="165" t="s">
        <v>209</v>
      </c>
      <c r="I186" s="165" t="s">
        <v>206</v>
      </c>
      <c r="J186" s="165" t="s">
        <v>210</v>
      </c>
      <c r="K186" s="165">
        <v>31.01</v>
      </c>
      <c r="L186" s="165"/>
    </row>
    <row r="187" spans="1:12" x14ac:dyDescent="0.25">
      <c r="A187" s="165" t="s">
        <v>318</v>
      </c>
      <c r="B187" s="165" t="s">
        <v>209</v>
      </c>
      <c r="C187" s="165" t="s">
        <v>206</v>
      </c>
      <c r="D187" s="165" t="s">
        <v>210</v>
      </c>
      <c r="E187" s="165">
        <v>32.89</v>
      </c>
      <c r="F187" s="165"/>
      <c r="G187" s="165" t="s">
        <v>315</v>
      </c>
      <c r="H187" s="165" t="s">
        <v>209</v>
      </c>
      <c r="I187" s="165" t="s">
        <v>206</v>
      </c>
      <c r="J187" s="165" t="s">
        <v>210</v>
      </c>
      <c r="K187" s="165">
        <v>31.98</v>
      </c>
      <c r="L187" s="165"/>
    </row>
    <row r="188" spans="1:12" x14ac:dyDescent="0.25">
      <c r="A188" s="165" t="s">
        <v>319</v>
      </c>
      <c r="B188" s="165" t="s">
        <v>205</v>
      </c>
      <c r="C188" s="165" t="s">
        <v>206</v>
      </c>
      <c r="D188" s="165" t="s">
        <v>809</v>
      </c>
      <c r="E188" s="165" t="s">
        <v>220</v>
      </c>
      <c r="F188" s="165"/>
      <c r="G188" s="165" t="s">
        <v>316</v>
      </c>
      <c r="H188" s="165" t="s">
        <v>209</v>
      </c>
      <c r="I188" s="165" t="s">
        <v>206</v>
      </c>
      <c r="J188" s="165" t="s">
        <v>210</v>
      </c>
      <c r="K188" s="165">
        <v>31.49</v>
      </c>
      <c r="L188" s="165">
        <f>AVERAGE(K188:K190)</f>
        <v>31.900000000000002</v>
      </c>
    </row>
    <row r="189" spans="1:12" x14ac:dyDescent="0.25">
      <c r="A189" s="165" t="s">
        <v>319</v>
      </c>
      <c r="B189" s="165" t="s">
        <v>209</v>
      </c>
      <c r="C189" s="165" t="s">
        <v>206</v>
      </c>
      <c r="D189" s="165" t="s">
        <v>210</v>
      </c>
      <c r="E189" s="165" t="s">
        <v>220</v>
      </c>
      <c r="F189" s="165"/>
      <c r="G189" s="165" t="s">
        <v>317</v>
      </c>
      <c r="H189" s="165" t="s">
        <v>209</v>
      </c>
      <c r="I189" s="165" t="s">
        <v>206</v>
      </c>
      <c r="J189" s="165" t="s">
        <v>210</v>
      </c>
      <c r="K189" s="165">
        <v>31.32</v>
      </c>
      <c r="L189" s="165"/>
    </row>
    <row r="190" spans="1:12" x14ac:dyDescent="0.25">
      <c r="A190" s="165" t="s">
        <v>321</v>
      </c>
      <c r="B190" s="165" t="s">
        <v>205</v>
      </c>
      <c r="C190" s="165" t="s">
        <v>206</v>
      </c>
      <c r="D190" s="165" t="s">
        <v>809</v>
      </c>
      <c r="E190" s="165" t="s">
        <v>220</v>
      </c>
      <c r="F190" s="165"/>
      <c r="G190" s="165" t="s">
        <v>318</v>
      </c>
      <c r="H190" s="165" t="s">
        <v>209</v>
      </c>
      <c r="I190" s="165" t="s">
        <v>206</v>
      </c>
      <c r="J190" s="165" t="s">
        <v>210</v>
      </c>
      <c r="K190" s="165">
        <v>32.89</v>
      </c>
      <c r="L190" s="165"/>
    </row>
    <row r="191" spans="1:12" x14ac:dyDescent="0.25">
      <c r="A191" s="165" t="s">
        <v>321</v>
      </c>
      <c r="B191" s="165" t="s">
        <v>209</v>
      </c>
      <c r="C191" s="165" t="s">
        <v>206</v>
      </c>
      <c r="D191" s="165" t="s">
        <v>210</v>
      </c>
      <c r="E191" s="165" t="s">
        <v>220</v>
      </c>
      <c r="F191" s="165"/>
      <c r="G191" s="165" t="s">
        <v>319</v>
      </c>
      <c r="H191" s="165" t="s">
        <v>209</v>
      </c>
      <c r="I191" s="165" t="s">
        <v>206</v>
      </c>
      <c r="J191" s="165" t="s">
        <v>210</v>
      </c>
      <c r="K191" s="165" t="s">
        <v>220</v>
      </c>
      <c r="L191" s="165" t="e">
        <f>AVERAGE(K191:K193)</f>
        <v>#DIV/0!</v>
      </c>
    </row>
    <row r="192" spans="1:12" x14ac:dyDescent="0.25">
      <c r="A192" s="165" t="s">
        <v>322</v>
      </c>
      <c r="B192" s="165" t="s">
        <v>205</v>
      </c>
      <c r="C192" s="165" t="s">
        <v>206</v>
      </c>
      <c r="D192" s="165" t="s">
        <v>809</v>
      </c>
      <c r="E192" s="165" t="s">
        <v>220</v>
      </c>
      <c r="F192" s="165"/>
      <c r="G192" s="165" t="s">
        <v>321</v>
      </c>
      <c r="H192" s="165" t="s">
        <v>209</v>
      </c>
      <c r="I192" s="165" t="s">
        <v>206</v>
      </c>
      <c r="J192" s="165" t="s">
        <v>210</v>
      </c>
      <c r="K192" s="165" t="s">
        <v>220</v>
      </c>
      <c r="L192" s="165"/>
    </row>
    <row r="193" spans="1:11" x14ac:dyDescent="0.25">
      <c r="A193" s="165" t="s">
        <v>322</v>
      </c>
      <c r="B193" s="165" t="s">
        <v>209</v>
      </c>
      <c r="C193" s="165" t="s">
        <v>206</v>
      </c>
      <c r="D193" s="165" t="s">
        <v>210</v>
      </c>
      <c r="E193" s="165" t="s">
        <v>220</v>
      </c>
      <c r="F193" s="165"/>
      <c r="G193" s="165" t="s">
        <v>322</v>
      </c>
      <c r="H193" s="165" t="s">
        <v>209</v>
      </c>
      <c r="I193" s="165" t="s">
        <v>206</v>
      </c>
      <c r="J193" s="165" t="s">
        <v>210</v>
      </c>
      <c r="K193" s="165" t="s">
        <v>220</v>
      </c>
    </row>
  </sheetData>
  <sortState xmlns:xlrd2="http://schemas.microsoft.com/office/spreadsheetml/2017/richdata2" ref="U2:X37">
    <sortCondition ref="U2:U37"/>
  </sortState>
  <mergeCells count="2">
    <mergeCell ref="P59:S59"/>
    <mergeCell ref="T59:W59"/>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A9AAF-9393-4BF8-AE93-38D152523577}">
  <sheetPr codeName="Sheet21"/>
  <dimension ref="A1:AQ193"/>
  <sheetViews>
    <sheetView topLeftCell="A58" zoomScale="70" zoomScaleNormal="70" workbookViewId="0">
      <selection activeCell="O82" sqref="O82"/>
    </sheetView>
  </sheetViews>
  <sheetFormatPr defaultColWidth="9.140625" defaultRowHeight="15" x14ac:dyDescent="0.25"/>
  <cols>
    <col min="1" max="17" width="9.140625" style="76"/>
    <col min="18" max="18" width="13.28515625" style="76" customWidth="1"/>
    <col min="19" max="24" width="9.140625" style="76"/>
    <col min="25" max="25" width="13.140625" style="76" customWidth="1"/>
    <col min="26" max="26" width="9.140625" style="76"/>
    <col min="27" max="27" width="17.85546875" style="76" customWidth="1"/>
    <col min="28" max="16384" width="9.140625" style="76"/>
  </cols>
  <sheetData>
    <row r="1" spans="1:43" x14ac:dyDescent="0.25">
      <c r="A1" s="165" t="s">
        <v>198</v>
      </c>
      <c r="B1" s="165" t="s">
        <v>199</v>
      </c>
      <c r="C1" s="165" t="s">
        <v>200</v>
      </c>
      <c r="D1" s="165" t="s">
        <v>201</v>
      </c>
      <c r="E1" s="165" t="s">
        <v>202</v>
      </c>
      <c r="F1" s="165"/>
      <c r="G1" s="165" t="s">
        <v>198</v>
      </c>
      <c r="H1" s="165" t="s">
        <v>199</v>
      </c>
      <c r="I1" s="165" t="s">
        <v>200</v>
      </c>
      <c r="J1" s="165" t="s">
        <v>201</v>
      </c>
      <c r="K1" s="165" t="s">
        <v>202</v>
      </c>
      <c r="L1" s="165" t="s">
        <v>203</v>
      </c>
      <c r="M1" s="165" t="s">
        <v>723</v>
      </c>
      <c r="N1" s="165"/>
      <c r="O1" s="107" t="s">
        <v>724</v>
      </c>
      <c r="P1" s="107" t="s">
        <v>725</v>
      </c>
      <c r="Q1" s="107" t="s">
        <v>343</v>
      </c>
      <c r="R1" s="107" t="s">
        <v>726</v>
      </c>
      <c r="S1" s="118" t="s">
        <v>203</v>
      </c>
      <c r="T1" s="118" t="s">
        <v>727</v>
      </c>
      <c r="U1" s="118" t="s">
        <v>737</v>
      </c>
      <c r="V1" s="118" t="s">
        <v>942</v>
      </c>
      <c r="W1" s="118" t="s">
        <v>943</v>
      </c>
      <c r="X1" s="107" t="s">
        <v>724</v>
      </c>
      <c r="Y1" s="107" t="s">
        <v>725</v>
      </c>
      <c r="Z1" s="107" t="s">
        <v>343</v>
      </c>
      <c r="AA1" s="107" t="s">
        <v>726</v>
      </c>
      <c r="AB1" s="118" t="s">
        <v>203</v>
      </c>
      <c r="AC1" s="118" t="s">
        <v>727</v>
      </c>
      <c r="AD1" s="118" t="s">
        <v>737</v>
      </c>
      <c r="AE1" s="118" t="s">
        <v>944</v>
      </c>
      <c r="AF1" s="118" t="s">
        <v>943</v>
      </c>
      <c r="AG1" s="165"/>
      <c r="AH1" s="165"/>
      <c r="AI1" s="107" t="s">
        <v>726</v>
      </c>
      <c r="AJ1" s="118" t="s">
        <v>942</v>
      </c>
      <c r="AK1" s="118" t="s">
        <v>943</v>
      </c>
      <c r="AL1" s="118" t="s">
        <v>737</v>
      </c>
      <c r="AM1" s="165"/>
      <c r="AN1" s="107" t="s">
        <v>726</v>
      </c>
      <c r="AO1" s="118" t="s">
        <v>944</v>
      </c>
      <c r="AP1" s="118" t="s">
        <v>943</v>
      </c>
      <c r="AQ1" s="118" t="s">
        <v>737</v>
      </c>
    </row>
    <row r="2" spans="1:43" x14ac:dyDescent="0.25">
      <c r="A2" s="165" t="s">
        <v>204</v>
      </c>
      <c r="B2" s="165" t="s">
        <v>205</v>
      </c>
      <c r="C2" s="165" t="s">
        <v>206</v>
      </c>
      <c r="D2" s="165" t="s">
        <v>809</v>
      </c>
      <c r="E2" s="165">
        <v>35.130000000000003</v>
      </c>
      <c r="F2" s="165"/>
      <c r="G2" s="165" t="s">
        <v>204</v>
      </c>
      <c r="H2" s="165" t="s">
        <v>205</v>
      </c>
      <c r="I2" s="165" t="s">
        <v>206</v>
      </c>
      <c r="J2" s="165" t="s">
        <v>809</v>
      </c>
      <c r="K2" s="165">
        <v>35.130000000000003</v>
      </c>
      <c r="L2" s="165">
        <f>AVERAGE(K2:K5)</f>
        <v>36.07</v>
      </c>
      <c r="M2" s="165">
        <f>STDEV(K2:K5)</f>
        <v>0.63895748424027754</v>
      </c>
      <c r="N2" s="165"/>
      <c r="O2" s="107">
        <v>500</v>
      </c>
      <c r="P2" s="107">
        <v>500</v>
      </c>
      <c r="Q2" s="107">
        <v>50</v>
      </c>
      <c r="R2" s="107" t="str">
        <f>O2&amp;"_"&amp;P2&amp;"_"&amp;Q2</f>
        <v>500_500_50</v>
      </c>
      <c r="S2" s="165">
        <v>36.07</v>
      </c>
      <c r="T2" s="165">
        <v>0.63895748424027754</v>
      </c>
      <c r="U2" s="165">
        <f>2*T2</f>
        <v>1.2779149684805551</v>
      </c>
      <c r="V2" s="165">
        <f>AVERAGE(S2:S4)</f>
        <v>36.220833333333331</v>
      </c>
      <c r="W2" s="165">
        <f>STDEV(S2:S4)</f>
        <v>1.2033607453018185</v>
      </c>
      <c r="X2" s="107">
        <v>500</v>
      </c>
      <c r="Y2" s="107">
        <v>500</v>
      </c>
      <c r="Z2" s="107">
        <v>50</v>
      </c>
      <c r="AA2" s="107" t="str">
        <f t="shared" ref="AA2:AA19" si="0">X2&amp;"_"&amp;Y2&amp;"_"&amp;Z2</f>
        <v>500_500_50</v>
      </c>
      <c r="AB2" s="165">
        <v>36.07</v>
      </c>
      <c r="AC2" s="165">
        <v>0.63895748424027754</v>
      </c>
      <c r="AD2" s="165">
        <f>2*AC2</f>
        <v>1.2779149684805551</v>
      </c>
      <c r="AE2" s="165">
        <f>AVERAGE(AB2:AB7)</f>
        <v>34.412916666666668</v>
      </c>
      <c r="AF2" s="165">
        <f>STDEV(AB2:AB7)</f>
        <v>0.8312812650761876</v>
      </c>
      <c r="AG2" s="165"/>
      <c r="AH2" s="165"/>
      <c r="AI2" s="107" t="s">
        <v>945</v>
      </c>
      <c r="AJ2" s="165">
        <v>36.220833333333331</v>
      </c>
      <c r="AK2" s="165">
        <v>1.2033607453018185</v>
      </c>
      <c r="AL2" s="165">
        <f>2*AK2</f>
        <v>2.4067214906036369</v>
      </c>
      <c r="AM2" s="165"/>
      <c r="AN2" s="107" t="s">
        <v>945</v>
      </c>
      <c r="AO2" s="165">
        <v>34.412916666666668</v>
      </c>
      <c r="AP2" s="165">
        <v>0.8312812650761876</v>
      </c>
      <c r="AQ2" s="165">
        <f>2*AP2</f>
        <v>1.6625625301523752</v>
      </c>
    </row>
    <row r="3" spans="1:43" x14ac:dyDescent="0.25">
      <c r="A3" s="165" t="s">
        <v>204</v>
      </c>
      <c r="B3" s="165" t="s">
        <v>946</v>
      </c>
      <c r="C3" s="165" t="s">
        <v>206</v>
      </c>
      <c r="D3" s="165" t="s">
        <v>210</v>
      </c>
      <c r="E3" s="165">
        <v>23.22</v>
      </c>
      <c r="F3" s="165"/>
      <c r="G3" s="165" t="s">
        <v>211</v>
      </c>
      <c r="H3" s="165" t="s">
        <v>205</v>
      </c>
      <c r="I3" s="165" t="s">
        <v>206</v>
      </c>
      <c r="J3" s="165" t="s">
        <v>809</v>
      </c>
      <c r="K3" s="165">
        <v>36.35</v>
      </c>
      <c r="L3" s="165"/>
      <c r="M3" s="165"/>
      <c r="N3" s="165"/>
      <c r="O3" s="107">
        <v>400</v>
      </c>
      <c r="P3" s="107">
        <v>400</v>
      </c>
      <c r="Q3" s="107">
        <v>50</v>
      </c>
      <c r="R3" s="107" t="str">
        <f t="shared" ref="R3:R19" si="1">O3&amp;"_"&amp;P3&amp;"_"&amp;Q3</f>
        <v>400_400_50</v>
      </c>
      <c r="S3" s="165">
        <v>37.492500000000007</v>
      </c>
      <c r="T3" s="165">
        <v>0.7746558375605691</v>
      </c>
      <c r="U3" s="165">
        <f t="shared" ref="U3:U19" si="2">2*T3</f>
        <v>1.5493116751211382</v>
      </c>
      <c r="V3" s="165"/>
      <c r="W3" s="165"/>
      <c r="X3" s="107">
        <v>500</v>
      </c>
      <c r="Y3" s="107">
        <v>500</v>
      </c>
      <c r="Z3" s="107">
        <v>100</v>
      </c>
      <c r="AA3" s="107" t="str">
        <f t="shared" si="0"/>
        <v>500_500_100</v>
      </c>
      <c r="AB3" s="165">
        <v>34.414999999999999</v>
      </c>
      <c r="AC3" s="165">
        <v>0.46306946923040876</v>
      </c>
      <c r="AD3" s="165">
        <f t="shared" ref="AD3:AD19" si="3">2*AC3</f>
        <v>0.92613893846081752</v>
      </c>
      <c r="AE3" s="165"/>
      <c r="AF3" s="165"/>
      <c r="AG3" s="165"/>
      <c r="AH3" s="165"/>
      <c r="AI3" s="107" t="s">
        <v>947</v>
      </c>
      <c r="AJ3" s="165">
        <v>34.677500000000002</v>
      </c>
      <c r="AK3" s="165">
        <v>0.99993437284653752</v>
      </c>
      <c r="AL3" s="165">
        <f t="shared" ref="AL3:AL7" si="4">2*AK3</f>
        <v>1.999868745693075</v>
      </c>
      <c r="AM3" s="165"/>
      <c r="AN3" s="107" t="s">
        <v>948</v>
      </c>
      <c r="AO3" s="165">
        <v>35.256666666666668</v>
      </c>
      <c r="AP3" s="165">
        <v>1.2745142865682879</v>
      </c>
      <c r="AQ3" s="165">
        <f t="shared" ref="AQ3:AQ4" si="5">2*AP3</f>
        <v>2.5490285731365758</v>
      </c>
    </row>
    <row r="4" spans="1:43" x14ac:dyDescent="0.25">
      <c r="A4" s="165" t="s">
        <v>211</v>
      </c>
      <c r="B4" s="165" t="s">
        <v>205</v>
      </c>
      <c r="C4" s="165" t="s">
        <v>206</v>
      </c>
      <c r="D4" s="165" t="s">
        <v>809</v>
      </c>
      <c r="E4" s="165">
        <v>36.35</v>
      </c>
      <c r="F4" s="165"/>
      <c r="G4" s="165" t="s">
        <v>212</v>
      </c>
      <c r="H4" s="165" t="s">
        <v>205</v>
      </c>
      <c r="I4" s="165" t="s">
        <v>206</v>
      </c>
      <c r="J4" s="165" t="s">
        <v>809</v>
      </c>
      <c r="K4" s="165">
        <v>36.549999999999997</v>
      </c>
      <c r="L4" s="165"/>
      <c r="M4" s="165"/>
      <c r="N4" s="165"/>
      <c r="O4" s="107">
        <v>300</v>
      </c>
      <c r="P4" s="107">
        <v>300</v>
      </c>
      <c r="Q4" s="107">
        <v>50</v>
      </c>
      <c r="R4" s="107" t="str">
        <f t="shared" si="1"/>
        <v>300_300_50</v>
      </c>
      <c r="S4" s="165">
        <v>35.099999999999994</v>
      </c>
      <c r="T4" s="165">
        <v>0.47060245076568186</v>
      </c>
      <c r="U4" s="165">
        <f t="shared" si="2"/>
        <v>0.94120490153136371</v>
      </c>
      <c r="V4" s="165"/>
      <c r="W4" s="165"/>
      <c r="X4" s="107">
        <v>500</v>
      </c>
      <c r="Y4" s="107">
        <v>500</v>
      </c>
      <c r="Z4" s="107">
        <v>200</v>
      </c>
      <c r="AA4" s="107" t="str">
        <f t="shared" si="0"/>
        <v>500_500_200</v>
      </c>
      <c r="AB4" s="165">
        <v>34.11</v>
      </c>
      <c r="AC4" s="165">
        <v>0.68837974016284564</v>
      </c>
      <c r="AD4" s="165">
        <f t="shared" si="3"/>
        <v>1.3767594803256913</v>
      </c>
      <c r="AE4" s="165"/>
      <c r="AF4" s="165"/>
      <c r="AG4" s="165"/>
      <c r="AH4" s="165"/>
      <c r="AI4" s="107" t="s">
        <v>949</v>
      </c>
      <c r="AJ4" s="165">
        <v>34.166666666666664</v>
      </c>
      <c r="AK4" s="165">
        <v>0.85890312802628099</v>
      </c>
      <c r="AL4" s="165">
        <f t="shared" si="4"/>
        <v>1.717806256052562</v>
      </c>
      <c r="AM4" s="165"/>
      <c r="AN4" s="107" t="s">
        <v>950</v>
      </c>
      <c r="AO4" s="165">
        <v>33.428750000000001</v>
      </c>
      <c r="AP4" s="165">
        <v>0.97609649881556149</v>
      </c>
      <c r="AQ4" s="165">
        <f t="shared" si="5"/>
        <v>1.952192997631123</v>
      </c>
    </row>
    <row r="5" spans="1:43" x14ac:dyDescent="0.25">
      <c r="A5" s="165" t="s">
        <v>211</v>
      </c>
      <c r="B5" s="165" t="s">
        <v>946</v>
      </c>
      <c r="C5" s="165" t="s">
        <v>206</v>
      </c>
      <c r="D5" s="165" t="s">
        <v>210</v>
      </c>
      <c r="E5" s="165">
        <v>23.58</v>
      </c>
      <c r="F5" s="165"/>
      <c r="G5" s="165" t="s">
        <v>213</v>
      </c>
      <c r="H5" s="165" t="s">
        <v>205</v>
      </c>
      <c r="I5" s="165" t="s">
        <v>206</v>
      </c>
      <c r="J5" s="165" t="s">
        <v>809</v>
      </c>
      <c r="K5" s="165">
        <v>36.25</v>
      </c>
      <c r="L5" s="165"/>
      <c r="M5" s="165"/>
      <c r="N5" s="165"/>
      <c r="O5" s="107">
        <v>500</v>
      </c>
      <c r="P5" s="107">
        <v>500</v>
      </c>
      <c r="Q5" s="107">
        <v>100</v>
      </c>
      <c r="R5" s="107" t="str">
        <f t="shared" si="1"/>
        <v>500_500_100</v>
      </c>
      <c r="S5" s="165">
        <v>34.414999999999999</v>
      </c>
      <c r="T5" s="165">
        <v>0.46306946923040876</v>
      </c>
      <c r="U5" s="165">
        <f t="shared" si="2"/>
        <v>0.92613893846081752</v>
      </c>
      <c r="V5" s="165">
        <f>AVERAGE(S5:S7)</f>
        <v>34.677500000000002</v>
      </c>
      <c r="W5" s="165">
        <f>STDEV(S5:S7)</f>
        <v>0.99993437284653752</v>
      </c>
      <c r="X5" s="107">
        <v>500</v>
      </c>
      <c r="Y5" s="107">
        <v>500</v>
      </c>
      <c r="Z5" s="107">
        <v>400</v>
      </c>
      <c r="AA5" s="107" t="str">
        <f t="shared" si="0"/>
        <v>500_500_400</v>
      </c>
      <c r="AB5" s="165">
        <v>33.982500000000002</v>
      </c>
      <c r="AC5" s="165">
        <v>0.22485180304665736</v>
      </c>
      <c r="AD5" s="165">
        <f t="shared" si="3"/>
        <v>0.44970360609331472</v>
      </c>
      <c r="AE5" s="165"/>
      <c r="AF5" s="165"/>
      <c r="AG5" s="165"/>
      <c r="AH5" s="165"/>
      <c r="AI5" s="107" t="s">
        <v>951</v>
      </c>
      <c r="AJ5" s="165">
        <v>34.069166666666668</v>
      </c>
      <c r="AK5" s="165">
        <v>0.8956503689126335</v>
      </c>
      <c r="AL5" s="165">
        <f t="shared" si="4"/>
        <v>1.791300737825267</v>
      </c>
      <c r="AM5" s="165"/>
      <c r="AN5" s="165"/>
      <c r="AO5" s="165"/>
      <c r="AP5" s="165"/>
      <c r="AQ5" s="165"/>
    </row>
    <row r="6" spans="1:43" x14ac:dyDescent="0.25">
      <c r="A6" s="165" t="s">
        <v>212</v>
      </c>
      <c r="B6" s="165" t="s">
        <v>205</v>
      </c>
      <c r="C6" s="165" t="s">
        <v>206</v>
      </c>
      <c r="D6" s="165" t="s">
        <v>809</v>
      </c>
      <c r="E6" s="165">
        <v>36.549999999999997</v>
      </c>
      <c r="F6" s="165"/>
      <c r="G6" s="165" t="s">
        <v>214</v>
      </c>
      <c r="H6" s="165" t="s">
        <v>205</v>
      </c>
      <c r="I6" s="165" t="s">
        <v>206</v>
      </c>
      <c r="J6" s="165" t="s">
        <v>809</v>
      </c>
      <c r="K6" s="165">
        <v>36.54</v>
      </c>
      <c r="L6" s="165">
        <f>AVERAGE(K6:K9)</f>
        <v>37.492500000000007</v>
      </c>
      <c r="M6" s="165">
        <f>STDEV(K6:K9)</f>
        <v>0.7746558375605691</v>
      </c>
      <c r="N6" s="165"/>
      <c r="O6" s="107">
        <v>400</v>
      </c>
      <c r="P6" s="107">
        <v>400</v>
      </c>
      <c r="Q6" s="107">
        <v>100</v>
      </c>
      <c r="R6" s="107" t="str">
        <f t="shared" si="1"/>
        <v>400_400_100</v>
      </c>
      <c r="S6" s="165">
        <v>35.782499999999999</v>
      </c>
      <c r="T6" s="165">
        <v>0.77620336682255353</v>
      </c>
      <c r="U6" s="165">
        <f t="shared" si="2"/>
        <v>1.5524067336451071</v>
      </c>
      <c r="V6" s="165"/>
      <c r="W6" s="165"/>
      <c r="X6" s="107">
        <v>500</v>
      </c>
      <c r="Y6" s="107">
        <v>500</v>
      </c>
      <c r="Z6" s="107">
        <v>600</v>
      </c>
      <c r="AA6" s="107" t="str">
        <f t="shared" si="0"/>
        <v>500_500_600</v>
      </c>
      <c r="AB6" s="165">
        <v>33.907499999999999</v>
      </c>
      <c r="AC6" s="165">
        <v>0.48985542084714395</v>
      </c>
      <c r="AD6" s="165">
        <f t="shared" si="3"/>
        <v>0.9797108416942879</v>
      </c>
      <c r="AE6" s="165"/>
      <c r="AF6" s="165"/>
      <c r="AG6" s="165"/>
      <c r="AH6" s="165"/>
      <c r="AI6" s="107" t="s">
        <v>952</v>
      </c>
      <c r="AJ6" s="165">
        <v>33.547500000000007</v>
      </c>
      <c r="AK6" s="165">
        <v>0.61705449516229804</v>
      </c>
      <c r="AL6" s="165">
        <f t="shared" si="4"/>
        <v>1.2341089903245961</v>
      </c>
      <c r="AM6" s="165"/>
      <c r="AN6" s="165"/>
      <c r="AO6" s="165"/>
      <c r="AP6" s="165"/>
      <c r="AQ6" s="165"/>
    </row>
    <row r="7" spans="1:43" x14ac:dyDescent="0.25">
      <c r="A7" s="165" t="s">
        <v>212</v>
      </c>
      <c r="B7" s="165" t="s">
        <v>946</v>
      </c>
      <c r="C7" s="165" t="s">
        <v>206</v>
      </c>
      <c r="D7" s="165" t="s">
        <v>210</v>
      </c>
      <c r="E7" s="165">
        <v>23.09</v>
      </c>
      <c r="F7" s="165"/>
      <c r="G7" s="165" t="s">
        <v>215</v>
      </c>
      <c r="H7" s="165" t="s">
        <v>205</v>
      </c>
      <c r="I7" s="165" t="s">
        <v>206</v>
      </c>
      <c r="J7" s="165" t="s">
        <v>809</v>
      </c>
      <c r="K7" s="165">
        <v>37.700000000000003</v>
      </c>
      <c r="L7" s="165"/>
      <c r="M7" s="165"/>
      <c r="N7" s="165"/>
      <c r="O7" s="107">
        <v>300</v>
      </c>
      <c r="P7" s="107">
        <v>300</v>
      </c>
      <c r="Q7" s="107">
        <v>100</v>
      </c>
      <c r="R7" s="107" t="str">
        <f t="shared" si="1"/>
        <v>300_300_100</v>
      </c>
      <c r="S7" s="165">
        <v>33.835000000000001</v>
      </c>
      <c r="T7" s="165">
        <v>0.52798358560344094</v>
      </c>
      <c r="U7" s="165">
        <f t="shared" si="2"/>
        <v>1.0559671712068819</v>
      </c>
      <c r="V7" s="165"/>
      <c r="W7" s="165"/>
      <c r="X7" s="107">
        <v>500</v>
      </c>
      <c r="Y7" s="107">
        <v>500</v>
      </c>
      <c r="Z7" s="107">
        <v>800</v>
      </c>
      <c r="AA7" s="107" t="str">
        <f t="shared" si="0"/>
        <v>500_500_800</v>
      </c>
      <c r="AB7" s="165">
        <v>33.9925</v>
      </c>
      <c r="AC7" s="165">
        <v>0.43721657486117066</v>
      </c>
      <c r="AD7" s="165">
        <f t="shared" si="3"/>
        <v>0.87443314972234132</v>
      </c>
      <c r="AE7" s="165"/>
      <c r="AF7" s="165"/>
      <c r="AG7" s="165"/>
      <c r="AH7" s="165"/>
      <c r="AI7" s="107" t="s">
        <v>953</v>
      </c>
      <c r="AJ7" s="165">
        <v>33.515000000000008</v>
      </c>
      <c r="AK7" s="165">
        <v>1.1110721173713283</v>
      </c>
      <c r="AL7" s="165">
        <f t="shared" si="4"/>
        <v>2.2221442347426565</v>
      </c>
      <c r="AM7" s="165"/>
      <c r="AN7" s="165"/>
      <c r="AO7" s="165"/>
      <c r="AP7" s="165"/>
      <c r="AQ7" s="165"/>
    </row>
    <row r="8" spans="1:43" x14ac:dyDescent="0.25">
      <c r="A8" s="165" t="s">
        <v>213</v>
      </c>
      <c r="B8" s="165" t="s">
        <v>205</v>
      </c>
      <c r="C8" s="165" t="s">
        <v>206</v>
      </c>
      <c r="D8" s="165" t="s">
        <v>809</v>
      </c>
      <c r="E8" s="165">
        <v>36.25</v>
      </c>
      <c r="F8" s="165"/>
      <c r="G8" s="165" t="s">
        <v>216</v>
      </c>
      <c r="H8" s="165" t="s">
        <v>205</v>
      </c>
      <c r="I8" s="165" t="s">
        <v>206</v>
      </c>
      <c r="J8" s="165" t="s">
        <v>809</v>
      </c>
      <c r="K8" s="165">
        <v>38.4</v>
      </c>
      <c r="L8" s="165"/>
      <c r="M8" s="165"/>
      <c r="N8" s="165"/>
      <c r="O8" s="107">
        <v>500</v>
      </c>
      <c r="P8" s="107">
        <v>500</v>
      </c>
      <c r="Q8" s="107">
        <v>200</v>
      </c>
      <c r="R8" s="107" t="str">
        <f t="shared" si="1"/>
        <v>500_500_200</v>
      </c>
      <c r="S8" s="165">
        <v>34.11</v>
      </c>
      <c r="T8" s="165">
        <v>0.68837974016284564</v>
      </c>
      <c r="U8" s="165">
        <f t="shared" si="2"/>
        <v>1.3767594803256913</v>
      </c>
      <c r="V8" s="165">
        <f>AVERAGE(S8:S10)</f>
        <v>34.166666666666664</v>
      </c>
      <c r="W8" s="165">
        <f>STDEV(S8:S10)</f>
        <v>0.85890312802628099</v>
      </c>
      <c r="X8" s="107">
        <v>400</v>
      </c>
      <c r="Y8" s="107">
        <v>400</v>
      </c>
      <c r="Z8" s="107">
        <v>50</v>
      </c>
      <c r="AA8" s="107" t="str">
        <f t="shared" si="0"/>
        <v>400_400_50</v>
      </c>
      <c r="AB8" s="165">
        <v>37.492500000000007</v>
      </c>
      <c r="AC8" s="165">
        <v>0.7746558375605691</v>
      </c>
      <c r="AD8" s="165">
        <f t="shared" si="3"/>
        <v>1.5493116751211382</v>
      </c>
      <c r="AE8" s="165">
        <f>AVERAGE(AB8:AB13)</f>
        <v>35.256666666666668</v>
      </c>
      <c r="AF8" s="165">
        <f>STDEV(AB8:AB13)</f>
        <v>1.2745142865682879</v>
      </c>
      <c r="AG8" s="165"/>
      <c r="AH8" s="165"/>
      <c r="AI8" s="165"/>
      <c r="AJ8" s="165"/>
      <c r="AK8" s="165"/>
      <c r="AL8" s="165"/>
      <c r="AM8" s="165"/>
      <c r="AN8" s="165"/>
      <c r="AO8" s="165"/>
      <c r="AP8" s="165"/>
      <c r="AQ8" s="165"/>
    </row>
    <row r="9" spans="1:43" x14ac:dyDescent="0.25">
      <c r="A9" s="165" t="s">
        <v>213</v>
      </c>
      <c r="B9" s="165" t="s">
        <v>946</v>
      </c>
      <c r="C9" s="165" t="s">
        <v>206</v>
      </c>
      <c r="D9" s="165" t="s">
        <v>210</v>
      </c>
      <c r="E9" s="165">
        <v>24.28</v>
      </c>
      <c r="F9" s="165"/>
      <c r="G9" s="165" t="s">
        <v>217</v>
      </c>
      <c r="H9" s="165" t="s">
        <v>205</v>
      </c>
      <c r="I9" s="165" t="s">
        <v>206</v>
      </c>
      <c r="J9" s="165" t="s">
        <v>809</v>
      </c>
      <c r="K9" s="165">
        <v>37.33</v>
      </c>
      <c r="L9" s="165"/>
      <c r="M9" s="165"/>
      <c r="N9" s="165"/>
      <c r="O9" s="107">
        <v>400</v>
      </c>
      <c r="P9" s="107">
        <v>400</v>
      </c>
      <c r="Q9" s="107">
        <v>200</v>
      </c>
      <c r="R9" s="107" t="str">
        <f t="shared" si="1"/>
        <v>400_400_200</v>
      </c>
      <c r="S9" s="165">
        <v>35.052499999999995</v>
      </c>
      <c r="T9" s="165">
        <v>0.41274487681052285</v>
      </c>
      <c r="U9" s="165">
        <f t="shared" si="2"/>
        <v>0.82548975362104571</v>
      </c>
      <c r="V9" s="165"/>
      <c r="W9" s="165"/>
      <c r="X9" s="107">
        <v>400</v>
      </c>
      <c r="Y9" s="107">
        <v>400</v>
      </c>
      <c r="Z9" s="107">
        <v>100</v>
      </c>
      <c r="AA9" s="107" t="str">
        <f t="shared" si="0"/>
        <v>400_400_100</v>
      </c>
      <c r="AB9" s="165">
        <v>35.782499999999999</v>
      </c>
      <c r="AC9" s="165">
        <v>0.77620336682255353</v>
      </c>
      <c r="AD9" s="165">
        <f t="shared" si="3"/>
        <v>1.5524067336451071</v>
      </c>
      <c r="AE9" s="165"/>
      <c r="AF9" s="165"/>
      <c r="AG9" s="165"/>
      <c r="AH9" s="165"/>
      <c r="AI9" s="165"/>
      <c r="AJ9" s="165"/>
      <c r="AK9" s="165"/>
      <c r="AL9" s="165"/>
      <c r="AM9" s="165"/>
      <c r="AN9" s="165"/>
      <c r="AO9" s="165"/>
      <c r="AP9" s="165"/>
      <c r="AQ9" s="165"/>
    </row>
    <row r="10" spans="1:43" x14ac:dyDescent="0.25">
      <c r="A10" s="165" t="s">
        <v>214</v>
      </c>
      <c r="B10" s="165" t="s">
        <v>205</v>
      </c>
      <c r="C10" s="165" t="s">
        <v>206</v>
      </c>
      <c r="D10" s="165" t="s">
        <v>809</v>
      </c>
      <c r="E10" s="165">
        <v>36.54</v>
      </c>
      <c r="F10" s="165"/>
      <c r="G10" s="165" t="s">
        <v>218</v>
      </c>
      <c r="H10" s="165" t="s">
        <v>205</v>
      </c>
      <c r="I10" s="165" t="s">
        <v>206</v>
      </c>
      <c r="J10" s="165" t="s">
        <v>809</v>
      </c>
      <c r="K10" s="165">
        <v>34.729999999999997</v>
      </c>
      <c r="L10" s="165">
        <f>AVERAGE(K10:K13)</f>
        <v>35.099999999999994</v>
      </c>
      <c r="M10" s="165">
        <f>STDEV(K10:K13)</f>
        <v>0.47060245076568186</v>
      </c>
      <c r="N10" s="165"/>
      <c r="O10" s="107">
        <v>300</v>
      </c>
      <c r="P10" s="107">
        <v>300</v>
      </c>
      <c r="Q10" s="107">
        <v>200</v>
      </c>
      <c r="R10" s="107" t="str">
        <f t="shared" si="1"/>
        <v>300_300_200</v>
      </c>
      <c r="S10" s="165">
        <v>33.337499999999999</v>
      </c>
      <c r="T10" s="165">
        <v>0.46807228786445915</v>
      </c>
      <c r="U10" s="165">
        <f t="shared" si="2"/>
        <v>0.93614457572891829</v>
      </c>
      <c r="V10" s="165"/>
      <c r="W10" s="165"/>
      <c r="X10" s="107">
        <v>400</v>
      </c>
      <c r="Y10" s="107">
        <v>400</v>
      </c>
      <c r="Z10" s="107">
        <v>200</v>
      </c>
      <c r="AA10" s="107" t="str">
        <f t="shared" si="0"/>
        <v>400_400_200</v>
      </c>
      <c r="AB10" s="165">
        <v>35.052499999999995</v>
      </c>
      <c r="AC10" s="165">
        <v>0.41274487681052285</v>
      </c>
      <c r="AD10" s="165">
        <f t="shared" si="3"/>
        <v>0.82548975362104571</v>
      </c>
      <c r="AE10" s="165"/>
      <c r="AF10" s="165"/>
      <c r="AG10" s="165"/>
      <c r="AH10" s="165"/>
      <c r="AI10" s="165"/>
      <c r="AJ10" s="165"/>
      <c r="AK10" s="165"/>
      <c r="AL10" s="165"/>
      <c r="AM10" s="165"/>
      <c r="AN10" s="165"/>
      <c r="AO10" s="165"/>
      <c r="AP10" s="165"/>
      <c r="AQ10" s="165"/>
    </row>
    <row r="11" spans="1:43" x14ac:dyDescent="0.25">
      <c r="A11" s="165" t="s">
        <v>214</v>
      </c>
      <c r="B11" s="165" t="s">
        <v>946</v>
      </c>
      <c r="C11" s="165" t="s">
        <v>206</v>
      </c>
      <c r="D11" s="165" t="s">
        <v>210</v>
      </c>
      <c r="E11" s="165">
        <v>23.15</v>
      </c>
      <c r="F11" s="165"/>
      <c r="G11" s="165" t="s">
        <v>219</v>
      </c>
      <c r="H11" s="165" t="s">
        <v>205</v>
      </c>
      <c r="I11" s="165" t="s">
        <v>206</v>
      </c>
      <c r="J11" s="165" t="s">
        <v>809</v>
      </c>
      <c r="K11" s="165">
        <v>35.729999999999997</v>
      </c>
      <c r="L11" s="165"/>
      <c r="M11" s="165"/>
      <c r="N11" s="165"/>
      <c r="O11" s="107">
        <v>500</v>
      </c>
      <c r="P11" s="107">
        <v>500</v>
      </c>
      <c r="Q11" s="107">
        <v>400</v>
      </c>
      <c r="R11" s="107" t="str">
        <f t="shared" si="1"/>
        <v>500_500_400</v>
      </c>
      <c r="S11" s="165">
        <v>33.982500000000002</v>
      </c>
      <c r="T11" s="165">
        <v>0.22485180304665736</v>
      </c>
      <c r="U11" s="165">
        <f t="shared" si="2"/>
        <v>0.44970360609331472</v>
      </c>
      <c r="V11" s="165">
        <f>AVERAGE(S11:S13)</f>
        <v>34.069166666666668</v>
      </c>
      <c r="W11" s="165">
        <f>STDEV(S11:S13)</f>
        <v>0.8956503689126335</v>
      </c>
      <c r="X11" s="107">
        <v>400</v>
      </c>
      <c r="Y11" s="107">
        <v>400</v>
      </c>
      <c r="Z11" s="107">
        <v>400</v>
      </c>
      <c r="AA11" s="107" t="str">
        <f t="shared" si="0"/>
        <v>400_400_400</v>
      </c>
      <c r="AB11" s="165">
        <v>35.005000000000003</v>
      </c>
      <c r="AC11" s="165">
        <v>0.73396185186970009</v>
      </c>
      <c r="AD11" s="165">
        <f t="shared" si="3"/>
        <v>1.4679237037394002</v>
      </c>
      <c r="AE11" s="165"/>
      <c r="AF11" s="165"/>
      <c r="AG11" s="165"/>
      <c r="AH11" s="165"/>
      <c r="AI11" s="165"/>
      <c r="AJ11" s="165"/>
      <c r="AK11" s="165"/>
      <c r="AL11" s="165"/>
      <c r="AM11" s="165"/>
      <c r="AN11" s="165"/>
      <c r="AO11" s="165"/>
      <c r="AP11" s="165"/>
      <c r="AQ11" s="165"/>
    </row>
    <row r="12" spans="1:43" x14ac:dyDescent="0.25">
      <c r="A12" s="165" t="s">
        <v>215</v>
      </c>
      <c r="B12" s="165" t="s">
        <v>205</v>
      </c>
      <c r="C12" s="165" t="s">
        <v>206</v>
      </c>
      <c r="D12" s="165" t="s">
        <v>809</v>
      </c>
      <c r="E12" s="165">
        <v>37.700000000000003</v>
      </c>
      <c r="F12" s="165"/>
      <c r="G12" s="165" t="s">
        <v>221</v>
      </c>
      <c r="H12" s="165" t="s">
        <v>205</v>
      </c>
      <c r="I12" s="165" t="s">
        <v>206</v>
      </c>
      <c r="J12" s="165" t="s">
        <v>809</v>
      </c>
      <c r="K12" s="165">
        <v>35.19</v>
      </c>
      <c r="L12" s="165"/>
      <c r="M12" s="165"/>
      <c r="N12" s="165"/>
      <c r="O12" s="107">
        <v>400</v>
      </c>
      <c r="P12" s="107">
        <v>400</v>
      </c>
      <c r="Q12" s="107">
        <v>400</v>
      </c>
      <c r="R12" s="107" t="str">
        <f t="shared" si="1"/>
        <v>400_400_400</v>
      </c>
      <c r="S12" s="165">
        <v>35.005000000000003</v>
      </c>
      <c r="T12" s="165">
        <v>0.73396185186970009</v>
      </c>
      <c r="U12" s="165">
        <f t="shared" si="2"/>
        <v>1.4679237037394002</v>
      </c>
      <c r="V12" s="165"/>
      <c r="W12" s="165"/>
      <c r="X12" s="107">
        <v>400</v>
      </c>
      <c r="Y12" s="107">
        <v>400</v>
      </c>
      <c r="Z12" s="107">
        <v>600</v>
      </c>
      <c r="AA12" s="107" t="str">
        <f t="shared" si="0"/>
        <v>400_400_600</v>
      </c>
      <c r="AB12" s="165">
        <v>33.9</v>
      </c>
      <c r="AC12" s="165">
        <v>0.60348985078458506</v>
      </c>
      <c r="AD12" s="165">
        <f t="shared" si="3"/>
        <v>1.2069797015691701</v>
      </c>
      <c r="AE12" s="165"/>
      <c r="AF12" s="165"/>
      <c r="AG12" s="165"/>
      <c r="AH12" s="165"/>
      <c r="AI12" s="165"/>
      <c r="AJ12" s="165"/>
      <c r="AK12" s="165"/>
      <c r="AL12" s="165"/>
      <c r="AM12" s="165"/>
      <c r="AN12" s="165"/>
      <c r="AO12" s="165"/>
      <c r="AP12" s="165"/>
      <c r="AQ12" s="165"/>
    </row>
    <row r="13" spans="1:43" x14ac:dyDescent="0.25">
      <c r="A13" s="165" t="s">
        <v>215</v>
      </c>
      <c r="B13" s="165" t="s">
        <v>946</v>
      </c>
      <c r="C13" s="165" t="s">
        <v>206</v>
      </c>
      <c r="D13" s="165" t="s">
        <v>210</v>
      </c>
      <c r="E13" s="165">
        <v>23.3</v>
      </c>
      <c r="F13" s="165"/>
      <c r="G13" s="165" t="s">
        <v>222</v>
      </c>
      <c r="H13" s="165" t="s">
        <v>205</v>
      </c>
      <c r="I13" s="165" t="s">
        <v>206</v>
      </c>
      <c r="J13" s="165" t="s">
        <v>809</v>
      </c>
      <c r="K13" s="165">
        <v>34.75</v>
      </c>
      <c r="L13" s="165"/>
      <c r="M13" s="165"/>
      <c r="N13" s="165"/>
      <c r="O13" s="107">
        <v>300</v>
      </c>
      <c r="P13" s="107">
        <v>300</v>
      </c>
      <c r="Q13" s="107">
        <v>400</v>
      </c>
      <c r="R13" s="107" t="str">
        <f t="shared" si="1"/>
        <v>300_300_400</v>
      </c>
      <c r="S13" s="165">
        <v>33.22</v>
      </c>
      <c r="T13" s="165">
        <v>0.42031734043061819</v>
      </c>
      <c r="U13" s="165">
        <f t="shared" si="2"/>
        <v>0.84063468086123638</v>
      </c>
      <c r="V13" s="165"/>
      <c r="W13" s="165"/>
      <c r="X13" s="107">
        <v>400</v>
      </c>
      <c r="Y13" s="107">
        <v>400</v>
      </c>
      <c r="Z13" s="107">
        <v>800</v>
      </c>
      <c r="AA13" s="107" t="str">
        <f t="shared" si="0"/>
        <v>400_400_800</v>
      </c>
      <c r="AB13" s="165">
        <v>34.307500000000005</v>
      </c>
      <c r="AC13" s="165">
        <v>0.30761176830543857</v>
      </c>
      <c r="AD13" s="165">
        <f t="shared" si="3"/>
        <v>0.61522353661087714</v>
      </c>
      <c r="AE13" s="165"/>
      <c r="AF13" s="165"/>
      <c r="AG13" s="165"/>
      <c r="AH13" s="165"/>
      <c r="AI13" s="165"/>
      <c r="AJ13" s="165"/>
      <c r="AK13" s="165"/>
      <c r="AL13" s="165"/>
      <c r="AM13" s="165"/>
      <c r="AN13" s="165"/>
      <c r="AO13" s="165"/>
      <c r="AP13" s="165"/>
      <c r="AQ13" s="165"/>
    </row>
    <row r="14" spans="1:43" x14ac:dyDescent="0.25">
      <c r="A14" s="165" t="s">
        <v>216</v>
      </c>
      <c r="B14" s="165" t="s">
        <v>205</v>
      </c>
      <c r="C14" s="165" t="s">
        <v>206</v>
      </c>
      <c r="D14" s="165" t="s">
        <v>809</v>
      </c>
      <c r="E14" s="165">
        <v>38.4</v>
      </c>
      <c r="F14" s="165"/>
      <c r="G14" s="165" t="s">
        <v>223</v>
      </c>
      <c r="H14" s="165" t="s">
        <v>205</v>
      </c>
      <c r="I14" s="165" t="s">
        <v>206</v>
      </c>
      <c r="J14" s="165" t="s">
        <v>809</v>
      </c>
      <c r="K14" s="165">
        <v>33.96</v>
      </c>
      <c r="L14" s="165">
        <f>AVERAGE(K14:K17)</f>
        <v>34.414999999999999</v>
      </c>
      <c r="M14" s="165">
        <f>STDEV(K14:K17)</f>
        <v>0.46306946923040876</v>
      </c>
      <c r="N14" s="165"/>
      <c r="O14" s="107">
        <v>500</v>
      </c>
      <c r="P14" s="107">
        <v>500</v>
      </c>
      <c r="Q14" s="107">
        <v>600</v>
      </c>
      <c r="R14" s="107" t="str">
        <f t="shared" si="1"/>
        <v>500_500_600</v>
      </c>
      <c r="S14" s="165">
        <v>33.907499999999999</v>
      </c>
      <c r="T14" s="165">
        <v>0.48985542084714395</v>
      </c>
      <c r="U14" s="165">
        <f t="shared" si="2"/>
        <v>0.9797108416942879</v>
      </c>
      <c r="V14" s="165">
        <f>AVERAGE(S14:S16)</f>
        <v>33.547500000000007</v>
      </c>
      <c r="W14" s="165">
        <f>STDEV(S14:S16)</f>
        <v>0.61705449516229804</v>
      </c>
      <c r="X14" s="107">
        <v>300</v>
      </c>
      <c r="Y14" s="107">
        <v>300</v>
      </c>
      <c r="Z14" s="107">
        <v>50</v>
      </c>
      <c r="AA14" s="107" t="str">
        <f t="shared" si="0"/>
        <v>300_300_50</v>
      </c>
      <c r="AB14" s="165">
        <v>35.099999999999994</v>
      </c>
      <c r="AC14" s="165">
        <v>0.47060245076568186</v>
      </c>
      <c r="AD14" s="165">
        <f t="shared" si="3"/>
        <v>0.94120490153136371</v>
      </c>
      <c r="AE14" s="165">
        <f>AVERAGE(AB14:AB19)</f>
        <v>33.428750000000001</v>
      </c>
      <c r="AF14" s="165">
        <f>STDEV(AB14:AB19)</f>
        <v>0.97609649881556149</v>
      </c>
      <c r="AG14" s="165"/>
      <c r="AH14" s="165"/>
      <c r="AI14" s="165"/>
      <c r="AJ14" s="165"/>
      <c r="AK14" s="165"/>
      <c r="AL14" s="165"/>
      <c r="AM14" s="165"/>
      <c r="AN14" s="165"/>
      <c r="AO14" s="165"/>
      <c r="AP14" s="165"/>
      <c r="AQ14" s="165"/>
    </row>
    <row r="15" spans="1:43" x14ac:dyDescent="0.25">
      <c r="A15" s="165" t="s">
        <v>216</v>
      </c>
      <c r="B15" s="165" t="s">
        <v>946</v>
      </c>
      <c r="C15" s="165" t="s">
        <v>206</v>
      </c>
      <c r="D15" s="165" t="s">
        <v>210</v>
      </c>
      <c r="E15" s="165">
        <v>23.72</v>
      </c>
      <c r="F15" s="165"/>
      <c r="G15" s="165" t="s">
        <v>234</v>
      </c>
      <c r="H15" s="165" t="s">
        <v>205</v>
      </c>
      <c r="I15" s="165" t="s">
        <v>206</v>
      </c>
      <c r="J15" s="165" t="s">
        <v>809</v>
      </c>
      <c r="K15" s="165">
        <v>34.92</v>
      </c>
      <c r="L15" s="165"/>
      <c r="M15" s="165"/>
      <c r="N15" s="165"/>
      <c r="O15" s="107">
        <v>400</v>
      </c>
      <c r="P15" s="107">
        <v>400</v>
      </c>
      <c r="Q15" s="107">
        <v>600</v>
      </c>
      <c r="R15" s="107" t="str">
        <f t="shared" si="1"/>
        <v>400_400_600</v>
      </c>
      <c r="S15" s="165">
        <v>33.9</v>
      </c>
      <c r="T15" s="165">
        <v>0.60348985078458506</v>
      </c>
      <c r="U15" s="165">
        <f t="shared" si="2"/>
        <v>1.2069797015691701</v>
      </c>
      <c r="V15" s="165"/>
      <c r="W15" s="165"/>
      <c r="X15" s="107">
        <v>300</v>
      </c>
      <c r="Y15" s="107">
        <v>300</v>
      </c>
      <c r="Z15" s="107">
        <v>100</v>
      </c>
      <c r="AA15" s="107" t="str">
        <f t="shared" si="0"/>
        <v>300_300_100</v>
      </c>
      <c r="AB15" s="165">
        <v>33.835000000000001</v>
      </c>
      <c r="AC15" s="165">
        <v>0.52798358560344094</v>
      </c>
      <c r="AD15" s="165">
        <f t="shared" si="3"/>
        <v>1.0559671712068819</v>
      </c>
      <c r="AE15" s="165"/>
      <c r="AF15" s="165"/>
      <c r="AG15" s="165"/>
      <c r="AH15" s="165"/>
      <c r="AI15" s="165"/>
      <c r="AJ15" s="165"/>
      <c r="AK15" s="165"/>
      <c r="AL15" s="165"/>
      <c r="AM15" s="165"/>
      <c r="AN15" s="165"/>
      <c r="AO15" s="165"/>
      <c r="AP15" s="165"/>
      <c r="AQ15" s="165"/>
    </row>
    <row r="16" spans="1:43" x14ac:dyDescent="0.25">
      <c r="A16" s="165" t="s">
        <v>217</v>
      </c>
      <c r="B16" s="165" t="s">
        <v>205</v>
      </c>
      <c r="C16" s="165" t="s">
        <v>206</v>
      </c>
      <c r="D16" s="165" t="s">
        <v>809</v>
      </c>
      <c r="E16" s="165">
        <v>37.33</v>
      </c>
      <c r="F16" s="165"/>
      <c r="G16" s="165" t="s">
        <v>235</v>
      </c>
      <c r="H16" s="165" t="s">
        <v>205</v>
      </c>
      <c r="I16" s="165" t="s">
        <v>206</v>
      </c>
      <c r="J16" s="165" t="s">
        <v>809</v>
      </c>
      <c r="K16" s="165">
        <v>34.090000000000003</v>
      </c>
      <c r="L16" s="165"/>
      <c r="M16" s="165"/>
      <c r="N16" s="165"/>
      <c r="O16" s="107">
        <v>300</v>
      </c>
      <c r="P16" s="107">
        <v>300</v>
      </c>
      <c r="Q16" s="107">
        <v>600</v>
      </c>
      <c r="R16" s="107" t="str">
        <f t="shared" si="1"/>
        <v>300_300_600</v>
      </c>
      <c r="S16" s="165">
        <v>32.835000000000001</v>
      </c>
      <c r="T16" s="165">
        <v>0.28524842973567227</v>
      </c>
      <c r="U16" s="165">
        <f t="shared" si="2"/>
        <v>0.57049685947134454</v>
      </c>
      <c r="V16" s="165"/>
      <c r="W16" s="165"/>
      <c r="X16" s="107">
        <v>300</v>
      </c>
      <c r="Y16" s="107">
        <v>300</v>
      </c>
      <c r="Z16" s="107">
        <v>200</v>
      </c>
      <c r="AA16" s="107" t="str">
        <f t="shared" si="0"/>
        <v>300_300_200</v>
      </c>
      <c r="AB16" s="165">
        <v>33.337499999999999</v>
      </c>
      <c r="AC16" s="165">
        <v>0.46807228786445915</v>
      </c>
      <c r="AD16" s="165">
        <f t="shared" si="3"/>
        <v>0.93614457572891829</v>
      </c>
      <c r="AE16" s="165"/>
      <c r="AF16" s="165"/>
      <c r="AG16" s="165"/>
      <c r="AH16" s="165"/>
      <c r="AI16" s="165"/>
      <c r="AJ16" s="165"/>
      <c r="AK16" s="165"/>
      <c r="AL16" s="165"/>
      <c r="AM16" s="165"/>
      <c r="AN16" s="165"/>
      <c r="AO16" s="165"/>
      <c r="AP16" s="165"/>
      <c r="AQ16" s="165"/>
    </row>
    <row r="17" spans="1:30" x14ac:dyDescent="0.25">
      <c r="A17" s="165" t="s">
        <v>217</v>
      </c>
      <c r="B17" s="165" t="s">
        <v>946</v>
      </c>
      <c r="C17" s="165" t="s">
        <v>206</v>
      </c>
      <c r="D17" s="165" t="s">
        <v>210</v>
      </c>
      <c r="E17" s="165">
        <v>23.91</v>
      </c>
      <c r="F17" s="165"/>
      <c r="G17" s="165" t="s">
        <v>236</v>
      </c>
      <c r="H17" s="165" t="s">
        <v>205</v>
      </c>
      <c r="I17" s="165" t="s">
        <v>206</v>
      </c>
      <c r="J17" s="165" t="s">
        <v>809</v>
      </c>
      <c r="K17" s="165">
        <v>34.69</v>
      </c>
      <c r="L17" s="165"/>
      <c r="M17" s="165"/>
      <c r="N17" s="165"/>
      <c r="O17" s="107">
        <v>500</v>
      </c>
      <c r="P17" s="107">
        <v>500</v>
      </c>
      <c r="Q17" s="107">
        <v>800</v>
      </c>
      <c r="R17" s="107" t="str">
        <f t="shared" si="1"/>
        <v>500_500_800</v>
      </c>
      <c r="S17" s="165">
        <v>33.9925</v>
      </c>
      <c r="T17" s="165">
        <v>0.43721657486117066</v>
      </c>
      <c r="U17" s="165">
        <f t="shared" si="2"/>
        <v>0.87443314972234132</v>
      </c>
      <c r="V17" s="165">
        <f>AVERAGE(S17:S19)</f>
        <v>33.515000000000008</v>
      </c>
      <c r="W17" s="165">
        <f>STDEV(S17:S19)</f>
        <v>1.1110721173713283</v>
      </c>
      <c r="X17" s="107">
        <v>300</v>
      </c>
      <c r="Y17" s="107">
        <v>300</v>
      </c>
      <c r="Z17" s="107">
        <v>400</v>
      </c>
      <c r="AA17" s="107" t="str">
        <f t="shared" si="0"/>
        <v>300_300_400</v>
      </c>
      <c r="AB17" s="165">
        <v>33.22</v>
      </c>
      <c r="AC17" s="165">
        <v>0.42031734043061819</v>
      </c>
      <c r="AD17" s="165">
        <f t="shared" si="3"/>
        <v>0.84063468086123638</v>
      </c>
    </row>
    <row r="18" spans="1:30" x14ac:dyDescent="0.25">
      <c r="A18" s="165" t="s">
        <v>218</v>
      </c>
      <c r="B18" s="165" t="s">
        <v>205</v>
      </c>
      <c r="C18" s="165" t="s">
        <v>206</v>
      </c>
      <c r="D18" s="165" t="s">
        <v>809</v>
      </c>
      <c r="E18" s="165">
        <v>34.729999999999997</v>
      </c>
      <c r="F18" s="165"/>
      <c r="G18" s="165" t="s">
        <v>237</v>
      </c>
      <c r="H18" s="165" t="s">
        <v>205</v>
      </c>
      <c r="I18" s="165" t="s">
        <v>206</v>
      </c>
      <c r="J18" s="165" t="s">
        <v>809</v>
      </c>
      <c r="K18" s="165">
        <v>34.69</v>
      </c>
      <c r="L18" s="165">
        <f>AVERAGE(K18:K21)</f>
        <v>35.782499999999999</v>
      </c>
      <c r="M18" s="165">
        <f>STDEV(K18:K21)</f>
        <v>0.77620336682255353</v>
      </c>
      <c r="N18" s="165"/>
      <c r="O18" s="107">
        <v>400</v>
      </c>
      <c r="P18" s="107">
        <v>400</v>
      </c>
      <c r="Q18" s="107">
        <v>800</v>
      </c>
      <c r="R18" s="107" t="str">
        <f t="shared" si="1"/>
        <v>400_400_800</v>
      </c>
      <c r="S18" s="165">
        <v>34.307500000000005</v>
      </c>
      <c r="T18" s="165">
        <v>0.30761176830543857</v>
      </c>
      <c r="U18" s="165">
        <f t="shared" si="2"/>
        <v>0.61522353661087714</v>
      </c>
      <c r="V18" s="165"/>
      <c r="W18" s="165"/>
      <c r="X18" s="107">
        <v>300</v>
      </c>
      <c r="Y18" s="107">
        <v>300</v>
      </c>
      <c r="Z18" s="107">
        <v>600</v>
      </c>
      <c r="AA18" s="107" t="str">
        <f t="shared" si="0"/>
        <v>300_300_600</v>
      </c>
      <c r="AB18" s="165">
        <v>32.835000000000001</v>
      </c>
      <c r="AC18" s="165">
        <v>0.28524842973567227</v>
      </c>
      <c r="AD18" s="165">
        <f t="shared" si="3"/>
        <v>0.57049685947134454</v>
      </c>
    </row>
    <row r="19" spans="1:30" x14ac:dyDescent="0.25">
      <c r="A19" s="165" t="s">
        <v>218</v>
      </c>
      <c r="B19" s="165" t="s">
        <v>946</v>
      </c>
      <c r="C19" s="165" t="s">
        <v>206</v>
      </c>
      <c r="D19" s="165" t="s">
        <v>210</v>
      </c>
      <c r="E19" s="165">
        <v>22.75</v>
      </c>
      <c r="F19" s="165"/>
      <c r="G19" s="165" t="s">
        <v>238</v>
      </c>
      <c r="H19" s="165" t="s">
        <v>205</v>
      </c>
      <c r="I19" s="165" t="s">
        <v>206</v>
      </c>
      <c r="J19" s="165" t="s">
        <v>809</v>
      </c>
      <c r="K19" s="165">
        <v>35.869999999999997</v>
      </c>
      <c r="L19" s="165"/>
      <c r="M19" s="165"/>
      <c r="N19" s="165"/>
      <c r="O19" s="107">
        <v>300</v>
      </c>
      <c r="P19" s="107">
        <v>300</v>
      </c>
      <c r="Q19" s="107">
        <v>800</v>
      </c>
      <c r="R19" s="107" t="str">
        <f t="shared" si="1"/>
        <v>300_300_800</v>
      </c>
      <c r="S19" s="165">
        <v>32.244999999999997</v>
      </c>
      <c r="T19" s="165">
        <v>0.3196352087406315</v>
      </c>
      <c r="U19" s="165">
        <f t="shared" si="2"/>
        <v>0.63927041748126301</v>
      </c>
      <c r="V19" s="165"/>
      <c r="W19" s="165"/>
      <c r="X19" s="107">
        <v>300</v>
      </c>
      <c r="Y19" s="107">
        <v>300</v>
      </c>
      <c r="Z19" s="107">
        <v>800</v>
      </c>
      <c r="AA19" s="107" t="str">
        <f t="shared" si="0"/>
        <v>300_300_800</v>
      </c>
      <c r="AB19" s="165">
        <v>32.244999999999997</v>
      </c>
      <c r="AC19" s="165">
        <v>0.3196352087406315</v>
      </c>
      <c r="AD19" s="165">
        <f t="shared" si="3"/>
        <v>0.63927041748126301</v>
      </c>
    </row>
    <row r="20" spans="1:30" x14ac:dyDescent="0.25">
      <c r="A20" s="165" t="s">
        <v>219</v>
      </c>
      <c r="B20" s="165" t="s">
        <v>205</v>
      </c>
      <c r="C20" s="165" t="s">
        <v>206</v>
      </c>
      <c r="D20" s="165" t="s">
        <v>809</v>
      </c>
      <c r="E20" s="165">
        <v>35.729999999999997</v>
      </c>
      <c r="F20" s="165"/>
      <c r="G20" s="165" t="s">
        <v>239</v>
      </c>
      <c r="H20" s="165" t="s">
        <v>205</v>
      </c>
      <c r="I20" s="165" t="s">
        <v>206</v>
      </c>
      <c r="J20" s="165" t="s">
        <v>809</v>
      </c>
      <c r="K20" s="165">
        <v>36.51</v>
      </c>
      <c r="L20" s="165"/>
      <c r="M20" s="165"/>
      <c r="N20" s="165"/>
      <c r="O20" s="165"/>
      <c r="P20" s="165"/>
      <c r="Q20" s="165"/>
      <c r="R20" s="165"/>
      <c r="S20" s="165"/>
      <c r="T20" s="165"/>
      <c r="U20" s="165"/>
      <c r="V20" s="165"/>
      <c r="W20" s="165"/>
      <c r="X20" s="165"/>
      <c r="Y20" s="165"/>
      <c r="Z20" s="165"/>
      <c r="AA20" s="165"/>
      <c r="AB20" s="165"/>
      <c r="AC20" s="165"/>
      <c r="AD20" s="165"/>
    </row>
    <row r="21" spans="1:30" x14ac:dyDescent="0.25">
      <c r="A21" s="165" t="s">
        <v>219</v>
      </c>
      <c r="B21" s="165" t="s">
        <v>946</v>
      </c>
      <c r="C21" s="165" t="s">
        <v>206</v>
      </c>
      <c r="D21" s="165" t="s">
        <v>210</v>
      </c>
      <c r="E21" s="165">
        <v>23.96</v>
      </c>
      <c r="F21" s="165"/>
      <c r="G21" s="165" t="s">
        <v>242</v>
      </c>
      <c r="H21" s="165" t="s">
        <v>205</v>
      </c>
      <c r="I21" s="165" t="s">
        <v>206</v>
      </c>
      <c r="J21" s="165" t="s">
        <v>809</v>
      </c>
      <c r="K21" s="165">
        <v>36.06</v>
      </c>
      <c r="L21" s="165"/>
      <c r="M21" s="165"/>
      <c r="N21" s="165"/>
      <c r="O21" s="165"/>
      <c r="P21" s="165"/>
      <c r="Q21" s="165"/>
      <c r="R21" s="165"/>
      <c r="S21" s="165"/>
      <c r="T21" s="165"/>
      <c r="U21" s="165"/>
      <c r="V21" s="165"/>
      <c r="W21" s="165"/>
      <c r="X21" s="165"/>
      <c r="Y21" s="165"/>
      <c r="Z21" s="165"/>
      <c r="AA21" s="165"/>
      <c r="AB21" s="165"/>
      <c r="AC21" s="165"/>
      <c r="AD21" s="165"/>
    </row>
    <row r="22" spans="1:30" x14ac:dyDescent="0.25">
      <c r="A22" s="165" t="s">
        <v>221</v>
      </c>
      <c r="B22" s="165" t="s">
        <v>205</v>
      </c>
      <c r="C22" s="165" t="s">
        <v>206</v>
      </c>
      <c r="D22" s="165" t="s">
        <v>809</v>
      </c>
      <c r="E22" s="165">
        <v>35.19</v>
      </c>
      <c r="F22" s="165"/>
      <c r="G22" s="165" t="s">
        <v>243</v>
      </c>
      <c r="H22" s="165" t="s">
        <v>205</v>
      </c>
      <c r="I22" s="165" t="s">
        <v>206</v>
      </c>
      <c r="J22" s="165" t="s">
        <v>809</v>
      </c>
      <c r="K22" s="165">
        <v>33.06</v>
      </c>
      <c r="L22" s="165">
        <f>AVERAGE(K22:K25)</f>
        <v>33.835000000000001</v>
      </c>
      <c r="M22" s="165">
        <f>STDEV(K22:K25)</f>
        <v>0.52798358560344094</v>
      </c>
      <c r="N22" s="165"/>
      <c r="O22" s="165"/>
      <c r="P22" s="165"/>
      <c r="Q22" s="165"/>
      <c r="R22" s="165"/>
      <c r="S22" s="165"/>
      <c r="T22" s="165"/>
      <c r="U22" s="165"/>
      <c r="V22" s="165"/>
      <c r="W22" s="165"/>
      <c r="X22" s="165"/>
      <c r="Y22" s="165"/>
      <c r="Z22" s="165"/>
      <c r="AA22" s="165"/>
      <c r="AB22" s="165"/>
      <c r="AC22" s="165"/>
      <c r="AD22" s="165"/>
    </row>
    <row r="23" spans="1:30" x14ac:dyDescent="0.25">
      <c r="A23" s="165" t="s">
        <v>221</v>
      </c>
      <c r="B23" s="165" t="s">
        <v>946</v>
      </c>
      <c r="C23" s="165" t="s">
        <v>206</v>
      </c>
      <c r="D23" s="165" t="s">
        <v>210</v>
      </c>
      <c r="E23" s="165">
        <v>23.36</v>
      </c>
      <c r="F23" s="165"/>
      <c r="G23" s="165" t="s">
        <v>244</v>
      </c>
      <c r="H23" s="165" t="s">
        <v>205</v>
      </c>
      <c r="I23" s="165" t="s">
        <v>206</v>
      </c>
      <c r="J23" s="165" t="s">
        <v>809</v>
      </c>
      <c r="K23" s="165">
        <v>33.979999999999997</v>
      </c>
      <c r="L23" s="165"/>
      <c r="M23" s="165"/>
      <c r="N23" s="165"/>
      <c r="O23" s="165"/>
      <c r="P23" s="165"/>
      <c r="Q23" s="165"/>
      <c r="R23" s="165"/>
      <c r="S23" s="165"/>
      <c r="T23" s="165"/>
      <c r="U23" s="165"/>
      <c r="V23" s="165"/>
      <c r="W23" s="165"/>
      <c r="X23" s="165"/>
      <c r="Y23" s="165"/>
      <c r="Z23" s="165"/>
      <c r="AA23" s="165"/>
      <c r="AB23" s="165"/>
      <c r="AC23" s="165"/>
      <c r="AD23" s="165"/>
    </row>
    <row r="24" spans="1:30" x14ac:dyDescent="0.25">
      <c r="A24" s="165" t="s">
        <v>222</v>
      </c>
      <c r="B24" s="165" t="s">
        <v>205</v>
      </c>
      <c r="C24" s="165" t="s">
        <v>206</v>
      </c>
      <c r="D24" s="165" t="s">
        <v>809</v>
      </c>
      <c r="E24" s="165">
        <v>34.75</v>
      </c>
      <c r="F24" s="165"/>
      <c r="G24" s="165" t="s">
        <v>245</v>
      </c>
      <c r="H24" s="165" t="s">
        <v>205</v>
      </c>
      <c r="I24" s="165" t="s">
        <v>206</v>
      </c>
      <c r="J24" s="165" t="s">
        <v>809</v>
      </c>
      <c r="K24" s="165">
        <v>34.24</v>
      </c>
      <c r="L24" s="165"/>
      <c r="M24" s="165"/>
      <c r="N24" s="165"/>
      <c r="O24" s="165"/>
      <c r="P24" s="165"/>
      <c r="Q24" s="165"/>
      <c r="R24" s="165"/>
      <c r="S24" s="165"/>
      <c r="T24" s="165"/>
      <c r="U24" s="165"/>
      <c r="V24" s="165"/>
      <c r="W24" s="165"/>
      <c r="X24" s="165"/>
      <c r="Y24" s="165"/>
      <c r="Z24" s="165"/>
      <c r="AA24" s="165"/>
      <c r="AB24" s="165"/>
      <c r="AC24" s="165"/>
      <c r="AD24" s="165"/>
    </row>
    <row r="25" spans="1:30" x14ac:dyDescent="0.25">
      <c r="A25" s="165" t="s">
        <v>222</v>
      </c>
      <c r="B25" s="165" t="s">
        <v>946</v>
      </c>
      <c r="C25" s="165" t="s">
        <v>206</v>
      </c>
      <c r="D25" s="165" t="s">
        <v>210</v>
      </c>
      <c r="E25" s="165">
        <v>23.24</v>
      </c>
      <c r="F25" s="165"/>
      <c r="G25" s="165" t="s">
        <v>247</v>
      </c>
      <c r="H25" s="165" t="s">
        <v>205</v>
      </c>
      <c r="I25" s="165" t="s">
        <v>206</v>
      </c>
      <c r="J25" s="165" t="s">
        <v>809</v>
      </c>
      <c r="K25" s="165">
        <v>34.06</v>
      </c>
      <c r="L25" s="165"/>
      <c r="M25" s="165"/>
      <c r="N25" s="165"/>
      <c r="O25" s="165"/>
      <c r="P25" s="165"/>
      <c r="Q25" s="165"/>
      <c r="R25" s="165"/>
      <c r="S25" s="165"/>
      <c r="T25" s="165"/>
      <c r="U25" s="165"/>
      <c r="V25" s="165"/>
      <c r="W25" s="165"/>
      <c r="X25" s="165"/>
      <c r="Y25" s="165"/>
      <c r="Z25" s="165"/>
      <c r="AA25" s="165"/>
      <c r="AB25" s="165"/>
      <c r="AC25" s="165"/>
      <c r="AD25" s="165"/>
    </row>
    <row r="26" spans="1:30" x14ac:dyDescent="0.25">
      <c r="A26" s="165" t="s">
        <v>223</v>
      </c>
      <c r="B26" s="165" t="s">
        <v>205</v>
      </c>
      <c r="C26" s="165" t="s">
        <v>206</v>
      </c>
      <c r="D26" s="165" t="s">
        <v>809</v>
      </c>
      <c r="E26" s="165">
        <v>33.96</v>
      </c>
      <c r="F26" s="165"/>
      <c r="G26" s="165" t="s">
        <v>248</v>
      </c>
      <c r="H26" s="165" t="s">
        <v>205</v>
      </c>
      <c r="I26" s="165" t="s">
        <v>206</v>
      </c>
      <c r="J26" s="165" t="s">
        <v>809</v>
      </c>
      <c r="K26" s="165">
        <v>33.19</v>
      </c>
      <c r="L26" s="165">
        <f>AVERAGE(K26:K29)</f>
        <v>34.11</v>
      </c>
      <c r="M26" s="165">
        <f>STDEV(K26:K29)</f>
        <v>0.68837974016284564</v>
      </c>
      <c r="N26" s="165"/>
      <c r="O26" s="165"/>
      <c r="P26" s="165"/>
      <c r="Q26" s="165"/>
      <c r="R26" s="165"/>
      <c r="S26" s="165"/>
      <c r="T26" s="165"/>
      <c r="U26" s="165"/>
      <c r="V26" s="165"/>
      <c r="W26" s="165"/>
      <c r="X26" s="165"/>
      <c r="Y26" s="165"/>
      <c r="Z26" s="165"/>
      <c r="AA26" s="165"/>
      <c r="AB26" s="165"/>
      <c r="AC26" s="165"/>
      <c r="AD26" s="165"/>
    </row>
    <row r="27" spans="1:30" x14ac:dyDescent="0.25">
      <c r="A27" s="165" t="s">
        <v>223</v>
      </c>
      <c r="B27" s="165" t="s">
        <v>946</v>
      </c>
      <c r="C27" s="165" t="s">
        <v>206</v>
      </c>
      <c r="D27" s="165" t="s">
        <v>210</v>
      </c>
      <c r="E27" s="165">
        <v>22.73</v>
      </c>
      <c r="F27" s="165"/>
      <c r="G27" s="165" t="s">
        <v>249</v>
      </c>
      <c r="H27" s="165" t="s">
        <v>205</v>
      </c>
      <c r="I27" s="165" t="s">
        <v>206</v>
      </c>
      <c r="J27" s="165" t="s">
        <v>809</v>
      </c>
      <c r="K27" s="165">
        <v>33.99</v>
      </c>
      <c r="L27" s="165"/>
      <c r="M27" s="165"/>
      <c r="N27" s="165"/>
      <c r="O27" s="165"/>
      <c r="P27" s="165"/>
      <c r="Q27" s="165"/>
      <c r="R27" s="165"/>
      <c r="S27" s="165"/>
      <c r="T27" s="165"/>
      <c r="U27" s="165"/>
      <c r="V27" s="165"/>
      <c r="W27" s="165"/>
      <c r="X27" s="165"/>
      <c r="Y27" s="165"/>
      <c r="Z27" s="165"/>
      <c r="AA27" s="165"/>
      <c r="AB27" s="165"/>
      <c r="AC27" s="165"/>
      <c r="AD27" s="165"/>
    </row>
    <row r="28" spans="1:30" x14ac:dyDescent="0.25">
      <c r="A28" s="165" t="s">
        <v>234</v>
      </c>
      <c r="B28" s="165" t="s">
        <v>205</v>
      </c>
      <c r="C28" s="165" t="s">
        <v>206</v>
      </c>
      <c r="D28" s="165" t="s">
        <v>809</v>
      </c>
      <c r="E28" s="165">
        <v>34.92</v>
      </c>
      <c r="F28" s="165"/>
      <c r="G28" s="165" t="s">
        <v>250</v>
      </c>
      <c r="H28" s="165" t="s">
        <v>205</v>
      </c>
      <c r="I28" s="165" t="s">
        <v>206</v>
      </c>
      <c r="J28" s="165" t="s">
        <v>809</v>
      </c>
      <c r="K28" s="165">
        <v>34.53</v>
      </c>
      <c r="L28" s="165"/>
      <c r="M28" s="165"/>
      <c r="N28" s="165"/>
      <c r="O28" s="165"/>
      <c r="P28" s="165"/>
      <c r="Q28" s="165"/>
      <c r="R28" s="165"/>
      <c r="S28" s="165"/>
      <c r="T28" s="165"/>
      <c r="U28" s="165"/>
      <c r="V28" s="165"/>
      <c r="W28" s="165"/>
      <c r="X28" s="165"/>
      <c r="Y28" s="165"/>
      <c r="Z28" s="165"/>
      <c r="AA28" s="165"/>
      <c r="AB28" s="165"/>
      <c r="AC28" s="165"/>
      <c r="AD28" s="165"/>
    </row>
    <row r="29" spans="1:30" x14ac:dyDescent="0.25">
      <c r="A29" s="165" t="s">
        <v>234</v>
      </c>
      <c r="B29" s="165" t="s">
        <v>946</v>
      </c>
      <c r="C29" s="165" t="s">
        <v>206</v>
      </c>
      <c r="D29" s="165" t="s">
        <v>210</v>
      </c>
      <c r="E29" s="165">
        <v>23.35</v>
      </c>
      <c r="F29" s="165"/>
      <c r="G29" s="165" t="s">
        <v>251</v>
      </c>
      <c r="H29" s="165" t="s">
        <v>205</v>
      </c>
      <c r="I29" s="165" t="s">
        <v>206</v>
      </c>
      <c r="J29" s="165" t="s">
        <v>809</v>
      </c>
      <c r="K29" s="165">
        <v>34.729999999999997</v>
      </c>
      <c r="L29" s="165"/>
      <c r="M29" s="165"/>
      <c r="N29" s="165"/>
      <c r="O29" s="165"/>
      <c r="P29" s="165"/>
      <c r="Q29" s="165"/>
      <c r="R29" s="165"/>
      <c r="S29" s="165"/>
      <c r="T29" s="165"/>
      <c r="U29" s="165"/>
      <c r="V29" s="165"/>
      <c r="W29" s="165"/>
      <c r="X29" s="165"/>
      <c r="Y29" s="165"/>
      <c r="Z29" s="165"/>
      <c r="AA29" s="165"/>
      <c r="AB29" s="165"/>
      <c r="AC29" s="165"/>
      <c r="AD29" s="165"/>
    </row>
    <row r="30" spans="1:30" x14ac:dyDescent="0.25">
      <c r="A30" s="165" t="s">
        <v>235</v>
      </c>
      <c r="B30" s="165" t="s">
        <v>205</v>
      </c>
      <c r="C30" s="165" t="s">
        <v>206</v>
      </c>
      <c r="D30" s="165" t="s">
        <v>809</v>
      </c>
      <c r="E30" s="165">
        <v>34.090000000000003</v>
      </c>
      <c r="F30" s="165"/>
      <c r="G30" s="165" t="s">
        <v>252</v>
      </c>
      <c r="H30" s="165" t="s">
        <v>205</v>
      </c>
      <c r="I30" s="165" t="s">
        <v>206</v>
      </c>
      <c r="J30" s="165" t="s">
        <v>809</v>
      </c>
      <c r="K30" s="165">
        <v>34.68</v>
      </c>
      <c r="L30" s="165">
        <f>AVERAGE(K30:K33)</f>
        <v>35.052499999999995</v>
      </c>
      <c r="M30" s="165">
        <f>STDEV(K30:K33)</f>
        <v>0.41274487681052285</v>
      </c>
      <c r="N30" s="165"/>
      <c r="O30" s="165"/>
      <c r="P30" s="165"/>
      <c r="Q30" s="165"/>
      <c r="R30" s="165"/>
      <c r="S30" s="165"/>
      <c r="T30" s="165"/>
      <c r="U30" s="165"/>
      <c r="V30" s="165"/>
      <c r="W30" s="165"/>
      <c r="X30" s="165"/>
      <c r="Y30" s="165"/>
      <c r="Z30" s="165"/>
      <c r="AA30" s="165"/>
      <c r="AB30" s="165"/>
      <c r="AC30" s="165"/>
      <c r="AD30" s="165"/>
    </row>
    <row r="31" spans="1:30" x14ac:dyDescent="0.25">
      <c r="A31" s="165" t="s">
        <v>235</v>
      </c>
      <c r="B31" s="165" t="s">
        <v>946</v>
      </c>
      <c r="C31" s="165" t="s">
        <v>206</v>
      </c>
      <c r="D31" s="165" t="s">
        <v>210</v>
      </c>
      <c r="E31" s="165">
        <v>23.26</v>
      </c>
      <c r="F31" s="165"/>
      <c r="G31" s="165" t="s">
        <v>253</v>
      </c>
      <c r="H31" s="165" t="s">
        <v>205</v>
      </c>
      <c r="I31" s="165" t="s">
        <v>206</v>
      </c>
      <c r="J31" s="165" t="s">
        <v>809</v>
      </c>
      <c r="K31" s="165">
        <v>34.9</v>
      </c>
      <c r="L31" s="165"/>
      <c r="M31" s="165"/>
      <c r="N31" s="165"/>
      <c r="O31" s="165"/>
      <c r="P31" s="165"/>
      <c r="Q31" s="165"/>
      <c r="R31" s="165"/>
      <c r="S31" s="165"/>
      <c r="T31" s="165"/>
      <c r="U31" s="165"/>
      <c r="V31" s="165"/>
      <c r="W31" s="165"/>
      <c r="X31" s="165"/>
      <c r="Y31" s="165"/>
      <c r="Z31" s="165"/>
      <c r="AA31" s="165"/>
      <c r="AB31" s="165"/>
      <c r="AC31" s="165"/>
      <c r="AD31" s="165"/>
    </row>
    <row r="32" spans="1:30" x14ac:dyDescent="0.25">
      <c r="A32" s="165" t="s">
        <v>236</v>
      </c>
      <c r="B32" s="165" t="s">
        <v>205</v>
      </c>
      <c r="C32" s="165" t="s">
        <v>206</v>
      </c>
      <c r="D32" s="165" t="s">
        <v>809</v>
      </c>
      <c r="E32" s="165">
        <v>34.69</v>
      </c>
      <c r="F32" s="165"/>
      <c r="G32" s="165" t="s">
        <v>254</v>
      </c>
      <c r="H32" s="165" t="s">
        <v>205</v>
      </c>
      <c r="I32" s="165" t="s">
        <v>206</v>
      </c>
      <c r="J32" s="165" t="s">
        <v>809</v>
      </c>
      <c r="K32" s="165">
        <v>34.99</v>
      </c>
      <c r="L32" s="165"/>
      <c r="M32" s="165"/>
      <c r="N32" s="165"/>
      <c r="O32" s="165"/>
      <c r="P32" s="165"/>
      <c r="Q32" s="165"/>
      <c r="R32" s="165"/>
      <c r="S32" s="165"/>
      <c r="T32" s="165"/>
      <c r="U32" s="165"/>
      <c r="V32" s="165"/>
      <c r="W32" s="165"/>
      <c r="X32" s="165"/>
      <c r="Y32" s="165"/>
      <c r="Z32" s="165"/>
      <c r="AA32" s="165"/>
      <c r="AB32" s="165"/>
      <c r="AC32" s="165"/>
      <c r="AD32" s="165"/>
    </row>
    <row r="33" spans="1:13" x14ac:dyDescent="0.25">
      <c r="A33" s="165" t="s">
        <v>236</v>
      </c>
      <c r="B33" s="165" t="s">
        <v>946</v>
      </c>
      <c r="C33" s="165" t="s">
        <v>206</v>
      </c>
      <c r="D33" s="165" t="s">
        <v>210</v>
      </c>
      <c r="E33" s="165">
        <v>23.57</v>
      </c>
      <c r="F33" s="165"/>
      <c r="G33" s="165" t="s">
        <v>255</v>
      </c>
      <c r="H33" s="165" t="s">
        <v>205</v>
      </c>
      <c r="I33" s="165" t="s">
        <v>206</v>
      </c>
      <c r="J33" s="165" t="s">
        <v>809</v>
      </c>
      <c r="K33" s="165">
        <v>35.64</v>
      </c>
      <c r="L33" s="165"/>
      <c r="M33" s="165"/>
    </row>
    <row r="34" spans="1:13" x14ac:dyDescent="0.25">
      <c r="A34" s="165" t="s">
        <v>237</v>
      </c>
      <c r="B34" s="165" t="s">
        <v>205</v>
      </c>
      <c r="C34" s="165" t="s">
        <v>206</v>
      </c>
      <c r="D34" s="165" t="s">
        <v>809</v>
      </c>
      <c r="E34" s="165">
        <v>34.69</v>
      </c>
      <c r="F34" s="165"/>
      <c r="G34" s="165" t="s">
        <v>256</v>
      </c>
      <c r="H34" s="165" t="s">
        <v>205</v>
      </c>
      <c r="I34" s="165" t="s">
        <v>206</v>
      </c>
      <c r="J34" s="165" t="s">
        <v>809</v>
      </c>
      <c r="K34" s="165">
        <v>32.76</v>
      </c>
      <c r="L34" s="165">
        <f>AVERAGE(K34:K37)</f>
        <v>33.337499999999999</v>
      </c>
      <c r="M34" s="165">
        <f>STDEV(K34:K37)</f>
        <v>0.46807228786445915</v>
      </c>
    </row>
    <row r="35" spans="1:13" x14ac:dyDescent="0.25">
      <c r="A35" s="165" t="s">
        <v>237</v>
      </c>
      <c r="B35" s="165" t="s">
        <v>946</v>
      </c>
      <c r="C35" s="165" t="s">
        <v>206</v>
      </c>
      <c r="D35" s="165" t="s">
        <v>210</v>
      </c>
      <c r="E35" s="165">
        <v>23.63</v>
      </c>
      <c r="F35" s="165"/>
      <c r="G35" s="165" t="s">
        <v>257</v>
      </c>
      <c r="H35" s="165" t="s">
        <v>205</v>
      </c>
      <c r="I35" s="165" t="s">
        <v>206</v>
      </c>
      <c r="J35" s="165" t="s">
        <v>809</v>
      </c>
      <c r="K35" s="165">
        <v>33.56</v>
      </c>
      <c r="L35" s="165"/>
      <c r="M35" s="165"/>
    </row>
    <row r="36" spans="1:13" x14ac:dyDescent="0.25">
      <c r="A36" s="165" t="s">
        <v>238</v>
      </c>
      <c r="B36" s="165" t="s">
        <v>205</v>
      </c>
      <c r="C36" s="165" t="s">
        <v>206</v>
      </c>
      <c r="D36" s="165" t="s">
        <v>809</v>
      </c>
      <c r="E36" s="165">
        <v>35.869999999999997</v>
      </c>
      <c r="F36" s="165"/>
      <c r="G36" s="165" t="s">
        <v>258</v>
      </c>
      <c r="H36" s="165" t="s">
        <v>205</v>
      </c>
      <c r="I36" s="165" t="s">
        <v>206</v>
      </c>
      <c r="J36" s="165" t="s">
        <v>809</v>
      </c>
      <c r="K36" s="165">
        <v>33.19</v>
      </c>
      <c r="L36" s="165"/>
      <c r="M36" s="165"/>
    </row>
    <row r="37" spans="1:13" x14ac:dyDescent="0.25">
      <c r="A37" s="165" t="s">
        <v>238</v>
      </c>
      <c r="B37" s="165" t="s">
        <v>946</v>
      </c>
      <c r="C37" s="165" t="s">
        <v>206</v>
      </c>
      <c r="D37" s="165" t="s">
        <v>210</v>
      </c>
      <c r="E37" s="165">
        <v>23.26</v>
      </c>
      <c r="F37" s="165"/>
      <c r="G37" s="165" t="s">
        <v>259</v>
      </c>
      <c r="H37" s="165" t="s">
        <v>205</v>
      </c>
      <c r="I37" s="165" t="s">
        <v>206</v>
      </c>
      <c r="J37" s="165" t="s">
        <v>809</v>
      </c>
      <c r="K37" s="165">
        <v>33.840000000000003</v>
      </c>
      <c r="L37" s="165"/>
      <c r="M37" s="165"/>
    </row>
    <row r="38" spans="1:13" x14ac:dyDescent="0.25">
      <c r="A38" s="165" t="s">
        <v>239</v>
      </c>
      <c r="B38" s="165" t="s">
        <v>205</v>
      </c>
      <c r="C38" s="165" t="s">
        <v>206</v>
      </c>
      <c r="D38" s="165" t="s">
        <v>809</v>
      </c>
      <c r="E38" s="165">
        <v>36.51</v>
      </c>
      <c r="F38" s="165"/>
      <c r="G38" s="165" t="s">
        <v>260</v>
      </c>
      <c r="H38" s="165" t="s">
        <v>205</v>
      </c>
      <c r="I38" s="165" t="s">
        <v>206</v>
      </c>
      <c r="J38" s="165" t="s">
        <v>809</v>
      </c>
      <c r="K38" s="165">
        <v>33.700000000000003</v>
      </c>
      <c r="L38" s="165">
        <f>AVERAGE(K38:K41)</f>
        <v>33.982500000000002</v>
      </c>
      <c r="M38" s="165">
        <f>STDEV(K38:K41)</f>
        <v>0.22485180304665736</v>
      </c>
    </row>
    <row r="39" spans="1:13" x14ac:dyDescent="0.25">
      <c r="A39" s="165" t="s">
        <v>239</v>
      </c>
      <c r="B39" s="165" t="s">
        <v>946</v>
      </c>
      <c r="C39" s="165" t="s">
        <v>206</v>
      </c>
      <c r="D39" s="165" t="s">
        <v>210</v>
      </c>
      <c r="E39" s="165">
        <v>23.48</v>
      </c>
      <c r="F39" s="165"/>
      <c r="G39" s="165" t="s">
        <v>261</v>
      </c>
      <c r="H39" s="165" t="s">
        <v>205</v>
      </c>
      <c r="I39" s="165" t="s">
        <v>206</v>
      </c>
      <c r="J39" s="165" t="s">
        <v>809</v>
      </c>
      <c r="K39" s="165">
        <v>34.090000000000003</v>
      </c>
      <c r="L39" s="165"/>
      <c r="M39" s="165"/>
    </row>
    <row r="40" spans="1:13" x14ac:dyDescent="0.25">
      <c r="A40" s="165" t="s">
        <v>242</v>
      </c>
      <c r="B40" s="165" t="s">
        <v>205</v>
      </c>
      <c r="C40" s="165" t="s">
        <v>206</v>
      </c>
      <c r="D40" s="165" t="s">
        <v>809</v>
      </c>
      <c r="E40" s="165">
        <v>36.06</v>
      </c>
      <c r="F40" s="165"/>
      <c r="G40" s="165" t="s">
        <v>262</v>
      </c>
      <c r="H40" s="165" t="s">
        <v>205</v>
      </c>
      <c r="I40" s="165" t="s">
        <v>206</v>
      </c>
      <c r="J40" s="165" t="s">
        <v>809</v>
      </c>
      <c r="K40" s="165">
        <v>33.92</v>
      </c>
      <c r="L40" s="165"/>
      <c r="M40" s="165"/>
    </row>
    <row r="41" spans="1:13" x14ac:dyDescent="0.25">
      <c r="A41" s="165" t="s">
        <v>242</v>
      </c>
      <c r="B41" s="165" t="s">
        <v>946</v>
      </c>
      <c r="C41" s="165" t="s">
        <v>206</v>
      </c>
      <c r="D41" s="165" t="s">
        <v>210</v>
      </c>
      <c r="E41" s="165">
        <v>23.2</v>
      </c>
      <c r="F41" s="165"/>
      <c r="G41" s="165" t="s">
        <v>263</v>
      </c>
      <c r="H41" s="165" t="s">
        <v>205</v>
      </c>
      <c r="I41" s="165" t="s">
        <v>206</v>
      </c>
      <c r="J41" s="165" t="s">
        <v>809</v>
      </c>
      <c r="K41" s="165">
        <v>34.22</v>
      </c>
      <c r="L41" s="165"/>
      <c r="M41" s="165"/>
    </row>
    <row r="42" spans="1:13" x14ac:dyDescent="0.25">
      <c r="A42" s="165" t="s">
        <v>243</v>
      </c>
      <c r="B42" s="165" t="s">
        <v>205</v>
      </c>
      <c r="C42" s="165" t="s">
        <v>206</v>
      </c>
      <c r="D42" s="165" t="s">
        <v>809</v>
      </c>
      <c r="E42" s="165">
        <v>33.06</v>
      </c>
      <c r="F42" s="165"/>
      <c r="G42" s="165" t="s">
        <v>264</v>
      </c>
      <c r="H42" s="165" t="s">
        <v>205</v>
      </c>
      <c r="I42" s="165" t="s">
        <v>206</v>
      </c>
      <c r="J42" s="165" t="s">
        <v>809</v>
      </c>
      <c r="K42" s="165">
        <v>34.25</v>
      </c>
      <c r="L42" s="165">
        <f>AVERAGE(K42:K45)</f>
        <v>35.005000000000003</v>
      </c>
      <c r="M42" s="165">
        <f>STDEV(K42:K45)</f>
        <v>0.73396185186970009</v>
      </c>
    </row>
    <row r="43" spans="1:13" x14ac:dyDescent="0.25">
      <c r="A43" s="165" t="s">
        <v>243</v>
      </c>
      <c r="B43" s="165" t="s">
        <v>946</v>
      </c>
      <c r="C43" s="165" t="s">
        <v>206</v>
      </c>
      <c r="D43" s="165" t="s">
        <v>210</v>
      </c>
      <c r="E43" s="165">
        <v>22.58</v>
      </c>
      <c r="F43" s="165"/>
      <c r="G43" s="165" t="s">
        <v>265</v>
      </c>
      <c r="H43" s="165" t="s">
        <v>205</v>
      </c>
      <c r="I43" s="165" t="s">
        <v>206</v>
      </c>
      <c r="J43" s="165" t="s">
        <v>809</v>
      </c>
      <c r="K43" s="165">
        <v>34.520000000000003</v>
      </c>
      <c r="L43" s="165"/>
      <c r="M43" s="165"/>
    </row>
    <row r="44" spans="1:13" x14ac:dyDescent="0.25">
      <c r="A44" s="165" t="s">
        <v>244</v>
      </c>
      <c r="B44" s="165" t="s">
        <v>205</v>
      </c>
      <c r="C44" s="165" t="s">
        <v>206</v>
      </c>
      <c r="D44" s="165" t="s">
        <v>809</v>
      </c>
      <c r="E44" s="165">
        <v>33.979999999999997</v>
      </c>
      <c r="F44" s="165"/>
      <c r="G44" s="165" t="s">
        <v>266</v>
      </c>
      <c r="H44" s="165" t="s">
        <v>205</v>
      </c>
      <c r="I44" s="165" t="s">
        <v>206</v>
      </c>
      <c r="J44" s="165" t="s">
        <v>809</v>
      </c>
      <c r="K44" s="165">
        <v>35.479999999999997</v>
      </c>
      <c r="L44" s="165"/>
      <c r="M44" s="165"/>
    </row>
    <row r="45" spans="1:13" x14ac:dyDescent="0.25">
      <c r="A45" s="165" t="s">
        <v>244</v>
      </c>
      <c r="B45" s="165" t="s">
        <v>946</v>
      </c>
      <c r="C45" s="165" t="s">
        <v>206</v>
      </c>
      <c r="D45" s="165" t="s">
        <v>210</v>
      </c>
      <c r="E45" s="165">
        <v>22.9</v>
      </c>
      <c r="F45" s="165"/>
      <c r="G45" s="165" t="s">
        <v>267</v>
      </c>
      <c r="H45" s="165" t="s">
        <v>205</v>
      </c>
      <c r="I45" s="165" t="s">
        <v>206</v>
      </c>
      <c r="J45" s="165" t="s">
        <v>809</v>
      </c>
      <c r="K45" s="165">
        <v>35.770000000000003</v>
      </c>
      <c r="L45" s="165"/>
      <c r="M45" s="165"/>
    </row>
    <row r="46" spans="1:13" x14ac:dyDescent="0.25">
      <c r="A46" s="165" t="s">
        <v>245</v>
      </c>
      <c r="B46" s="165" t="s">
        <v>205</v>
      </c>
      <c r="C46" s="165" t="s">
        <v>206</v>
      </c>
      <c r="D46" s="165" t="s">
        <v>809</v>
      </c>
      <c r="E46" s="165">
        <v>34.24</v>
      </c>
      <c r="F46" s="165"/>
      <c r="G46" s="165" t="s">
        <v>268</v>
      </c>
      <c r="H46" s="165" t="s">
        <v>205</v>
      </c>
      <c r="I46" s="165" t="s">
        <v>206</v>
      </c>
      <c r="J46" s="165" t="s">
        <v>809</v>
      </c>
      <c r="K46" s="165">
        <v>32.729999999999997</v>
      </c>
      <c r="L46" s="165">
        <f>AVERAGE(K46:K49)</f>
        <v>33.22</v>
      </c>
      <c r="M46" s="165">
        <f>STDEV(K46:K49)</f>
        <v>0.42031734043061819</v>
      </c>
    </row>
    <row r="47" spans="1:13" x14ac:dyDescent="0.25">
      <c r="A47" s="165" t="s">
        <v>245</v>
      </c>
      <c r="B47" s="165" t="s">
        <v>946</v>
      </c>
      <c r="C47" s="165" t="s">
        <v>206</v>
      </c>
      <c r="D47" s="165" t="s">
        <v>210</v>
      </c>
      <c r="E47" s="165">
        <v>23.11</v>
      </c>
      <c r="F47" s="165"/>
      <c r="G47" s="165" t="s">
        <v>270</v>
      </c>
      <c r="H47" s="165" t="s">
        <v>205</v>
      </c>
      <c r="I47" s="165" t="s">
        <v>206</v>
      </c>
      <c r="J47" s="165" t="s">
        <v>809</v>
      </c>
      <c r="K47" s="165">
        <v>33.01</v>
      </c>
      <c r="L47" s="165"/>
      <c r="M47" s="165"/>
    </row>
    <row r="48" spans="1:13" x14ac:dyDescent="0.25">
      <c r="A48" s="165" t="s">
        <v>247</v>
      </c>
      <c r="B48" s="165" t="s">
        <v>205</v>
      </c>
      <c r="C48" s="165" t="s">
        <v>206</v>
      </c>
      <c r="D48" s="165" t="s">
        <v>809</v>
      </c>
      <c r="E48" s="165">
        <v>34.06</v>
      </c>
      <c r="F48" s="165"/>
      <c r="G48" s="165" t="s">
        <v>272</v>
      </c>
      <c r="H48" s="165" t="s">
        <v>205</v>
      </c>
      <c r="I48" s="165" t="s">
        <v>206</v>
      </c>
      <c r="J48" s="165" t="s">
        <v>809</v>
      </c>
      <c r="K48" s="165">
        <v>33.549999999999997</v>
      </c>
      <c r="L48" s="165"/>
      <c r="M48" s="165"/>
    </row>
    <row r="49" spans="1:13" x14ac:dyDescent="0.25">
      <c r="A49" s="165" t="s">
        <v>247</v>
      </c>
      <c r="B49" s="165" t="s">
        <v>946</v>
      </c>
      <c r="C49" s="165" t="s">
        <v>206</v>
      </c>
      <c r="D49" s="165" t="s">
        <v>210</v>
      </c>
      <c r="E49" s="165">
        <v>24.02</v>
      </c>
      <c r="F49" s="165"/>
      <c r="G49" s="165" t="s">
        <v>273</v>
      </c>
      <c r="H49" s="165" t="s">
        <v>205</v>
      </c>
      <c r="I49" s="165" t="s">
        <v>206</v>
      </c>
      <c r="J49" s="165" t="s">
        <v>809</v>
      </c>
      <c r="K49" s="165">
        <v>33.590000000000003</v>
      </c>
      <c r="L49" s="165"/>
      <c r="M49" s="165"/>
    </row>
    <row r="50" spans="1:13" x14ac:dyDescent="0.25">
      <c r="A50" s="165" t="s">
        <v>248</v>
      </c>
      <c r="B50" s="165" t="s">
        <v>205</v>
      </c>
      <c r="C50" s="165" t="s">
        <v>206</v>
      </c>
      <c r="D50" s="165" t="s">
        <v>809</v>
      </c>
      <c r="E50" s="165">
        <v>33.19</v>
      </c>
      <c r="F50" s="165"/>
      <c r="G50" s="165" t="s">
        <v>274</v>
      </c>
      <c r="H50" s="165" t="s">
        <v>205</v>
      </c>
      <c r="I50" s="165" t="s">
        <v>206</v>
      </c>
      <c r="J50" s="165" t="s">
        <v>809</v>
      </c>
      <c r="K50" s="165">
        <v>33.46</v>
      </c>
      <c r="L50" s="165">
        <f>AVERAGE(K50:K53)</f>
        <v>33.907499999999999</v>
      </c>
      <c r="M50" s="165">
        <f>STDEV(K50:K53)</f>
        <v>0.48985542084714395</v>
      </c>
    </row>
    <row r="51" spans="1:13" x14ac:dyDescent="0.25">
      <c r="A51" s="165" t="s">
        <v>248</v>
      </c>
      <c r="B51" s="165" t="s">
        <v>946</v>
      </c>
      <c r="C51" s="165" t="s">
        <v>206</v>
      </c>
      <c r="D51" s="165" t="s">
        <v>210</v>
      </c>
      <c r="E51" s="165">
        <v>22.5</v>
      </c>
      <c r="F51" s="165"/>
      <c r="G51" s="165" t="s">
        <v>275</v>
      </c>
      <c r="H51" s="165" t="s">
        <v>205</v>
      </c>
      <c r="I51" s="165" t="s">
        <v>206</v>
      </c>
      <c r="J51" s="165" t="s">
        <v>809</v>
      </c>
      <c r="K51" s="165">
        <v>33.65</v>
      </c>
      <c r="L51" s="165"/>
      <c r="M51" s="165"/>
    </row>
    <row r="52" spans="1:13" x14ac:dyDescent="0.25">
      <c r="A52" s="165" t="s">
        <v>249</v>
      </c>
      <c r="B52" s="165" t="s">
        <v>205</v>
      </c>
      <c r="C52" s="165" t="s">
        <v>206</v>
      </c>
      <c r="D52" s="165" t="s">
        <v>809</v>
      </c>
      <c r="E52" s="165">
        <v>33.99</v>
      </c>
      <c r="F52" s="165"/>
      <c r="G52" s="165" t="s">
        <v>276</v>
      </c>
      <c r="H52" s="165" t="s">
        <v>205</v>
      </c>
      <c r="I52" s="165" t="s">
        <v>206</v>
      </c>
      <c r="J52" s="165" t="s">
        <v>809</v>
      </c>
      <c r="K52" s="165">
        <v>33.94</v>
      </c>
      <c r="L52" s="165"/>
      <c r="M52" s="165"/>
    </row>
    <row r="53" spans="1:13" x14ac:dyDescent="0.25">
      <c r="A53" s="165" t="s">
        <v>249</v>
      </c>
      <c r="B53" s="165" t="s">
        <v>946</v>
      </c>
      <c r="C53" s="165" t="s">
        <v>206</v>
      </c>
      <c r="D53" s="165" t="s">
        <v>210</v>
      </c>
      <c r="E53" s="165">
        <v>23.45</v>
      </c>
      <c r="F53" s="165"/>
      <c r="G53" s="165" t="s">
        <v>277</v>
      </c>
      <c r="H53" s="165" t="s">
        <v>205</v>
      </c>
      <c r="I53" s="165" t="s">
        <v>206</v>
      </c>
      <c r="J53" s="165" t="s">
        <v>809</v>
      </c>
      <c r="K53" s="165">
        <v>34.58</v>
      </c>
      <c r="L53" s="165"/>
      <c r="M53" s="165"/>
    </row>
    <row r="54" spans="1:13" x14ac:dyDescent="0.25">
      <c r="A54" s="165" t="s">
        <v>250</v>
      </c>
      <c r="B54" s="165" t="s">
        <v>205</v>
      </c>
      <c r="C54" s="165" t="s">
        <v>206</v>
      </c>
      <c r="D54" s="165" t="s">
        <v>809</v>
      </c>
      <c r="E54" s="165">
        <v>34.53</v>
      </c>
      <c r="F54" s="165"/>
      <c r="G54" s="165" t="s">
        <v>278</v>
      </c>
      <c r="H54" s="165" t="s">
        <v>205</v>
      </c>
      <c r="I54" s="165" t="s">
        <v>206</v>
      </c>
      <c r="J54" s="165" t="s">
        <v>809</v>
      </c>
      <c r="K54" s="165">
        <v>33.369999999999997</v>
      </c>
      <c r="L54" s="165">
        <f>AVERAGE(K54:K57)</f>
        <v>33.9</v>
      </c>
      <c r="M54" s="165">
        <f>STDEV(K54:K57)</f>
        <v>0.60348985078458506</v>
      </c>
    </row>
    <row r="55" spans="1:13" x14ac:dyDescent="0.25">
      <c r="A55" s="165" t="s">
        <v>250</v>
      </c>
      <c r="B55" s="165" t="s">
        <v>946</v>
      </c>
      <c r="C55" s="165" t="s">
        <v>206</v>
      </c>
      <c r="D55" s="165" t="s">
        <v>210</v>
      </c>
      <c r="E55" s="165">
        <v>23.23</v>
      </c>
      <c r="F55" s="165"/>
      <c r="G55" s="165" t="s">
        <v>279</v>
      </c>
      <c r="H55" s="165" t="s">
        <v>205</v>
      </c>
      <c r="I55" s="165" t="s">
        <v>206</v>
      </c>
      <c r="J55" s="165" t="s">
        <v>809</v>
      </c>
      <c r="K55" s="165">
        <v>33.4</v>
      </c>
      <c r="L55" s="165"/>
      <c r="M55" s="165"/>
    </row>
    <row r="56" spans="1:13" x14ac:dyDescent="0.25">
      <c r="A56" s="165" t="s">
        <v>251</v>
      </c>
      <c r="B56" s="165" t="s">
        <v>205</v>
      </c>
      <c r="C56" s="165" t="s">
        <v>206</v>
      </c>
      <c r="D56" s="165" t="s">
        <v>809</v>
      </c>
      <c r="E56" s="165">
        <v>34.729999999999997</v>
      </c>
      <c r="F56" s="165"/>
      <c r="G56" s="165" t="s">
        <v>280</v>
      </c>
      <c r="H56" s="165" t="s">
        <v>205</v>
      </c>
      <c r="I56" s="165" t="s">
        <v>206</v>
      </c>
      <c r="J56" s="165" t="s">
        <v>809</v>
      </c>
      <c r="K56" s="165">
        <v>34.29</v>
      </c>
      <c r="L56" s="165"/>
      <c r="M56" s="165"/>
    </row>
    <row r="57" spans="1:13" x14ac:dyDescent="0.25">
      <c r="A57" s="165" t="s">
        <v>251</v>
      </c>
      <c r="B57" s="165" t="s">
        <v>946</v>
      </c>
      <c r="C57" s="165" t="s">
        <v>206</v>
      </c>
      <c r="D57" s="165" t="s">
        <v>210</v>
      </c>
      <c r="E57" s="165">
        <v>23.33</v>
      </c>
      <c r="F57" s="165"/>
      <c r="G57" s="165" t="s">
        <v>281</v>
      </c>
      <c r="H57" s="165" t="s">
        <v>205</v>
      </c>
      <c r="I57" s="165" t="s">
        <v>206</v>
      </c>
      <c r="J57" s="165" t="s">
        <v>809</v>
      </c>
      <c r="K57" s="165">
        <v>34.54</v>
      </c>
      <c r="L57" s="165"/>
      <c r="M57" s="165"/>
    </row>
    <row r="58" spans="1:13" x14ac:dyDescent="0.25">
      <c r="A58" s="165" t="s">
        <v>252</v>
      </c>
      <c r="B58" s="165" t="s">
        <v>205</v>
      </c>
      <c r="C58" s="165" t="s">
        <v>206</v>
      </c>
      <c r="D58" s="165" t="s">
        <v>809</v>
      </c>
      <c r="E58" s="165">
        <v>34.68</v>
      </c>
      <c r="F58" s="165"/>
      <c r="G58" s="165" t="s">
        <v>282</v>
      </c>
      <c r="H58" s="165" t="s">
        <v>205</v>
      </c>
      <c r="I58" s="165" t="s">
        <v>206</v>
      </c>
      <c r="J58" s="165" t="s">
        <v>809</v>
      </c>
      <c r="K58" s="165">
        <v>32.43</v>
      </c>
      <c r="L58" s="165">
        <f>AVERAGE(K58:K61)</f>
        <v>32.835000000000001</v>
      </c>
      <c r="M58" s="165">
        <f>STDEV(K58:K61)</f>
        <v>0.28524842973567227</v>
      </c>
    </row>
    <row r="59" spans="1:13" x14ac:dyDescent="0.25">
      <c r="A59" s="165" t="s">
        <v>252</v>
      </c>
      <c r="B59" s="165" t="s">
        <v>946</v>
      </c>
      <c r="C59" s="165" t="s">
        <v>206</v>
      </c>
      <c r="D59" s="165" t="s">
        <v>210</v>
      </c>
      <c r="E59" s="165">
        <v>23.28</v>
      </c>
      <c r="F59" s="165"/>
      <c r="G59" s="165" t="s">
        <v>283</v>
      </c>
      <c r="H59" s="165" t="s">
        <v>205</v>
      </c>
      <c r="I59" s="165" t="s">
        <v>206</v>
      </c>
      <c r="J59" s="165" t="s">
        <v>809</v>
      </c>
      <c r="K59" s="165">
        <v>32.9</v>
      </c>
      <c r="L59" s="165"/>
      <c r="M59" s="165"/>
    </row>
    <row r="60" spans="1:13" x14ac:dyDescent="0.25">
      <c r="A60" s="165" t="s">
        <v>253</v>
      </c>
      <c r="B60" s="165" t="s">
        <v>205</v>
      </c>
      <c r="C60" s="165" t="s">
        <v>206</v>
      </c>
      <c r="D60" s="165" t="s">
        <v>809</v>
      </c>
      <c r="E60" s="165">
        <v>34.9</v>
      </c>
      <c r="F60" s="165"/>
      <c r="G60" s="165" t="s">
        <v>284</v>
      </c>
      <c r="H60" s="165" t="s">
        <v>205</v>
      </c>
      <c r="I60" s="165" t="s">
        <v>206</v>
      </c>
      <c r="J60" s="165" t="s">
        <v>809</v>
      </c>
      <c r="K60" s="165">
        <v>32.909999999999997</v>
      </c>
      <c r="L60" s="165"/>
      <c r="M60" s="165"/>
    </row>
    <row r="61" spans="1:13" x14ac:dyDescent="0.25">
      <c r="A61" s="165" t="s">
        <v>253</v>
      </c>
      <c r="B61" s="165" t="s">
        <v>946</v>
      </c>
      <c r="C61" s="165" t="s">
        <v>206</v>
      </c>
      <c r="D61" s="165" t="s">
        <v>210</v>
      </c>
      <c r="E61" s="165">
        <v>22.77</v>
      </c>
      <c r="F61" s="165"/>
      <c r="G61" s="165" t="s">
        <v>285</v>
      </c>
      <c r="H61" s="165" t="s">
        <v>205</v>
      </c>
      <c r="I61" s="165" t="s">
        <v>206</v>
      </c>
      <c r="J61" s="165" t="s">
        <v>809</v>
      </c>
      <c r="K61" s="165">
        <v>33.1</v>
      </c>
      <c r="L61" s="165"/>
      <c r="M61" s="165"/>
    </row>
    <row r="62" spans="1:13" x14ac:dyDescent="0.25">
      <c r="A62" s="165" t="s">
        <v>254</v>
      </c>
      <c r="B62" s="165" t="s">
        <v>205</v>
      </c>
      <c r="C62" s="165" t="s">
        <v>206</v>
      </c>
      <c r="D62" s="165" t="s">
        <v>809</v>
      </c>
      <c r="E62" s="165">
        <v>34.99</v>
      </c>
      <c r="F62" s="165"/>
      <c r="G62" s="165" t="s">
        <v>286</v>
      </c>
      <c r="H62" s="165" t="s">
        <v>205</v>
      </c>
      <c r="I62" s="165" t="s">
        <v>206</v>
      </c>
      <c r="J62" s="165" t="s">
        <v>809</v>
      </c>
      <c r="K62" s="165">
        <v>33.36</v>
      </c>
      <c r="L62" s="165">
        <f>AVERAGE(K62:K65)</f>
        <v>33.9925</v>
      </c>
      <c r="M62" s="165">
        <f>STDEV(K62:K65)</f>
        <v>0.43721657486117066</v>
      </c>
    </row>
    <row r="63" spans="1:13" x14ac:dyDescent="0.25">
      <c r="A63" s="165" t="s">
        <v>254</v>
      </c>
      <c r="B63" s="165" t="s">
        <v>946</v>
      </c>
      <c r="C63" s="165" t="s">
        <v>206</v>
      </c>
      <c r="D63" s="165" t="s">
        <v>210</v>
      </c>
      <c r="E63" s="165">
        <v>23.27</v>
      </c>
      <c r="F63" s="165"/>
      <c r="G63" s="165" t="s">
        <v>287</v>
      </c>
      <c r="H63" s="165" t="s">
        <v>205</v>
      </c>
      <c r="I63" s="165" t="s">
        <v>206</v>
      </c>
      <c r="J63" s="165" t="s">
        <v>809</v>
      </c>
      <c r="K63" s="165">
        <v>34.29</v>
      </c>
      <c r="L63" s="165"/>
      <c r="M63" s="165"/>
    </row>
    <row r="64" spans="1:13" x14ac:dyDescent="0.25">
      <c r="A64" s="165" t="s">
        <v>255</v>
      </c>
      <c r="B64" s="165" t="s">
        <v>205</v>
      </c>
      <c r="C64" s="165" t="s">
        <v>206</v>
      </c>
      <c r="D64" s="165" t="s">
        <v>809</v>
      </c>
      <c r="E64" s="165">
        <v>35.64</v>
      </c>
      <c r="F64" s="165"/>
      <c r="G64" s="165" t="s">
        <v>288</v>
      </c>
      <c r="H64" s="165" t="s">
        <v>205</v>
      </c>
      <c r="I64" s="165" t="s">
        <v>206</v>
      </c>
      <c r="J64" s="165" t="s">
        <v>809</v>
      </c>
      <c r="K64" s="165">
        <v>34.04</v>
      </c>
      <c r="L64" s="165"/>
      <c r="M64" s="165"/>
    </row>
    <row r="65" spans="1:33" x14ac:dyDescent="0.25">
      <c r="A65" s="165" t="s">
        <v>255</v>
      </c>
      <c r="B65" s="165" t="s">
        <v>946</v>
      </c>
      <c r="C65" s="165" t="s">
        <v>206</v>
      </c>
      <c r="D65" s="165" t="s">
        <v>210</v>
      </c>
      <c r="E65" s="165">
        <v>23.52</v>
      </c>
      <c r="F65" s="165"/>
      <c r="G65" s="165" t="s">
        <v>289</v>
      </c>
      <c r="H65" s="165" t="s">
        <v>205</v>
      </c>
      <c r="I65" s="165" t="s">
        <v>206</v>
      </c>
      <c r="J65" s="165" t="s">
        <v>809</v>
      </c>
      <c r="K65" s="165">
        <v>34.28</v>
      </c>
      <c r="L65" s="165"/>
      <c r="M65" s="165"/>
      <c r="N65" s="165"/>
      <c r="O65" s="165"/>
      <c r="P65" s="165"/>
      <c r="Q65" s="165"/>
      <c r="R65" s="165"/>
      <c r="S65" s="165"/>
      <c r="T65" s="165"/>
      <c r="U65" s="165"/>
      <c r="V65" s="165"/>
      <c r="W65" s="165"/>
      <c r="X65" s="165"/>
      <c r="Y65" s="165"/>
      <c r="Z65" s="165"/>
      <c r="AA65" s="165"/>
      <c r="AB65" s="165"/>
      <c r="AC65" s="165"/>
      <c r="AD65" s="165"/>
      <c r="AE65" s="165"/>
      <c r="AF65" s="165"/>
      <c r="AG65" s="165"/>
    </row>
    <row r="66" spans="1:33" x14ac:dyDescent="0.25">
      <c r="A66" s="165" t="s">
        <v>256</v>
      </c>
      <c r="B66" s="165" t="s">
        <v>205</v>
      </c>
      <c r="C66" s="165" t="s">
        <v>206</v>
      </c>
      <c r="D66" s="165" t="s">
        <v>809</v>
      </c>
      <c r="E66" s="165">
        <v>32.76</v>
      </c>
      <c r="F66" s="165"/>
      <c r="G66" s="165" t="s">
        <v>290</v>
      </c>
      <c r="H66" s="165" t="s">
        <v>205</v>
      </c>
      <c r="I66" s="165" t="s">
        <v>206</v>
      </c>
      <c r="J66" s="165" t="s">
        <v>809</v>
      </c>
      <c r="K66" s="165">
        <v>34.130000000000003</v>
      </c>
      <c r="L66" s="165">
        <f>AVERAGE(K66:K69)</f>
        <v>34.307500000000005</v>
      </c>
      <c r="M66" s="165">
        <f>STDEV(K66:K69)</f>
        <v>0.30761176830543857</v>
      </c>
      <c r="N66" s="165"/>
      <c r="O66" s="165"/>
      <c r="P66" s="165"/>
      <c r="Q66" s="165"/>
      <c r="R66" s="165"/>
      <c r="S66" s="165"/>
      <c r="T66" s="165"/>
      <c r="U66" s="165"/>
      <c r="V66" s="165"/>
      <c r="W66" s="165"/>
      <c r="X66" s="165"/>
      <c r="Y66" s="165"/>
      <c r="Z66" s="165"/>
      <c r="AA66" s="165"/>
      <c r="AB66" s="165"/>
      <c r="AC66" s="165"/>
      <c r="AD66" s="165"/>
      <c r="AE66" s="165"/>
      <c r="AF66" s="165"/>
      <c r="AG66" s="165"/>
    </row>
    <row r="67" spans="1:33" x14ac:dyDescent="0.25">
      <c r="A67" s="165" t="s">
        <v>256</v>
      </c>
      <c r="B67" s="165" t="s">
        <v>946</v>
      </c>
      <c r="C67" s="165" t="s">
        <v>206</v>
      </c>
      <c r="D67" s="165" t="s">
        <v>210</v>
      </c>
      <c r="E67" s="165">
        <v>22.88</v>
      </c>
      <c r="F67" s="165"/>
      <c r="G67" s="165" t="s">
        <v>291</v>
      </c>
      <c r="H67" s="165" t="s">
        <v>205</v>
      </c>
      <c r="I67" s="165" t="s">
        <v>206</v>
      </c>
      <c r="J67" s="165" t="s">
        <v>809</v>
      </c>
      <c r="K67" s="165">
        <v>34.1</v>
      </c>
      <c r="L67" s="165"/>
      <c r="M67" s="165"/>
      <c r="N67" s="165"/>
      <c r="O67" s="165"/>
      <c r="P67" s="165"/>
      <c r="Q67" s="165"/>
      <c r="R67" s="165"/>
      <c r="S67" s="165"/>
      <c r="T67" s="165"/>
      <c r="U67" s="165"/>
      <c r="V67" s="165"/>
      <c r="W67" s="165"/>
      <c r="X67" s="165"/>
      <c r="Y67" s="165"/>
      <c r="Z67" s="165"/>
      <c r="AA67" s="165"/>
      <c r="AB67" s="165"/>
      <c r="AC67" s="165"/>
      <c r="AD67" s="165"/>
      <c r="AE67" s="165"/>
      <c r="AF67" s="165"/>
      <c r="AG67" s="165"/>
    </row>
    <row r="68" spans="1:33" x14ac:dyDescent="0.25">
      <c r="A68" s="165" t="s">
        <v>257</v>
      </c>
      <c r="B68" s="165" t="s">
        <v>205</v>
      </c>
      <c r="C68" s="165" t="s">
        <v>206</v>
      </c>
      <c r="D68" s="165" t="s">
        <v>809</v>
      </c>
      <c r="E68" s="165">
        <v>33.56</v>
      </c>
      <c r="F68" s="165"/>
      <c r="G68" s="165" t="s">
        <v>292</v>
      </c>
      <c r="H68" s="165" t="s">
        <v>205</v>
      </c>
      <c r="I68" s="165" t="s">
        <v>206</v>
      </c>
      <c r="J68" s="165" t="s">
        <v>809</v>
      </c>
      <c r="K68" s="165">
        <v>34.76</v>
      </c>
      <c r="L68" s="165"/>
      <c r="M68" s="165"/>
      <c r="N68" s="165"/>
      <c r="O68" s="165"/>
      <c r="P68" s="165"/>
      <c r="Q68" s="165"/>
      <c r="R68" s="165"/>
      <c r="S68" s="165"/>
      <c r="T68" s="165"/>
      <c r="U68" s="165"/>
      <c r="V68" s="165"/>
      <c r="W68" s="165"/>
      <c r="X68" s="165"/>
      <c r="Y68" s="165"/>
      <c r="Z68" s="165"/>
      <c r="AA68" s="165"/>
      <c r="AB68" s="165"/>
      <c r="AC68" s="165"/>
      <c r="AD68" s="165"/>
      <c r="AE68" s="165"/>
      <c r="AF68" s="165"/>
      <c r="AG68" s="165"/>
    </row>
    <row r="69" spans="1:33" x14ac:dyDescent="0.25">
      <c r="A69" s="165" t="s">
        <v>257</v>
      </c>
      <c r="B69" s="165" t="s">
        <v>946</v>
      </c>
      <c r="C69" s="165" t="s">
        <v>206</v>
      </c>
      <c r="D69" s="165" t="s">
        <v>210</v>
      </c>
      <c r="E69" s="165">
        <v>23.52</v>
      </c>
      <c r="F69" s="165"/>
      <c r="G69" s="165" t="s">
        <v>293</v>
      </c>
      <c r="H69" s="165" t="s">
        <v>205</v>
      </c>
      <c r="I69" s="165" t="s">
        <v>206</v>
      </c>
      <c r="J69" s="165" t="s">
        <v>809</v>
      </c>
      <c r="K69" s="165">
        <v>34.24</v>
      </c>
      <c r="L69" s="165"/>
      <c r="M69" s="165"/>
      <c r="N69" s="165"/>
      <c r="O69" s="165"/>
      <c r="P69" s="165"/>
      <c r="Q69" s="165"/>
      <c r="R69" s="165"/>
      <c r="S69" s="165"/>
      <c r="T69" s="165"/>
      <c r="U69" s="165"/>
      <c r="V69" s="165"/>
      <c r="W69" s="165"/>
      <c r="X69" s="165"/>
      <c r="Y69" s="165"/>
      <c r="Z69" s="165"/>
      <c r="AA69" s="165"/>
      <c r="AB69" s="165"/>
      <c r="AC69" s="165"/>
      <c r="AD69" s="165"/>
      <c r="AE69" s="165"/>
      <c r="AF69" s="165"/>
      <c r="AG69" s="165"/>
    </row>
    <row r="70" spans="1:33" x14ac:dyDescent="0.25">
      <c r="A70" s="165" t="s">
        <v>258</v>
      </c>
      <c r="B70" s="165" t="s">
        <v>205</v>
      </c>
      <c r="C70" s="165" t="s">
        <v>206</v>
      </c>
      <c r="D70" s="165" t="s">
        <v>809</v>
      </c>
      <c r="E70" s="165">
        <v>33.19</v>
      </c>
      <c r="F70" s="165"/>
      <c r="G70" s="165" t="s">
        <v>294</v>
      </c>
      <c r="H70" s="165" t="s">
        <v>205</v>
      </c>
      <c r="I70" s="165" t="s">
        <v>206</v>
      </c>
      <c r="J70" s="165" t="s">
        <v>809</v>
      </c>
      <c r="K70" s="165">
        <v>32.08</v>
      </c>
      <c r="L70" s="165">
        <f>AVERAGE(K70:K73)</f>
        <v>32.244999999999997</v>
      </c>
      <c r="M70" s="165">
        <f>STDEV(K70:K73)</f>
        <v>0.3196352087406315</v>
      </c>
      <c r="N70" s="165"/>
      <c r="O70" s="165"/>
      <c r="P70" s="165"/>
      <c r="Q70" s="165"/>
      <c r="R70" s="165"/>
      <c r="S70" s="165"/>
      <c r="T70" s="165"/>
      <c r="U70" s="165"/>
      <c r="V70" s="165"/>
      <c r="W70" s="165"/>
      <c r="X70" s="165"/>
      <c r="Y70" s="165"/>
      <c r="Z70" s="165"/>
      <c r="AA70" s="165"/>
      <c r="AB70" s="165"/>
      <c r="AC70" s="165"/>
      <c r="AD70" s="165"/>
      <c r="AE70" s="165"/>
      <c r="AF70" s="165"/>
      <c r="AG70" s="165"/>
    </row>
    <row r="71" spans="1:33" x14ac:dyDescent="0.25">
      <c r="A71" s="165" t="s">
        <v>258</v>
      </c>
      <c r="B71" s="165" t="s">
        <v>946</v>
      </c>
      <c r="C71" s="165" t="s">
        <v>206</v>
      </c>
      <c r="D71" s="165" t="s">
        <v>210</v>
      </c>
      <c r="E71" s="165">
        <v>22.87</v>
      </c>
      <c r="F71" s="165"/>
      <c r="G71" s="165" t="s">
        <v>295</v>
      </c>
      <c r="H71" s="165" t="s">
        <v>205</v>
      </c>
      <c r="I71" s="165" t="s">
        <v>206</v>
      </c>
      <c r="J71" s="165" t="s">
        <v>809</v>
      </c>
      <c r="K71" s="165">
        <v>31.91</v>
      </c>
      <c r="L71" s="165"/>
      <c r="M71" s="165"/>
      <c r="N71" s="165"/>
      <c r="O71" s="165"/>
      <c r="P71" s="165"/>
      <c r="Q71" s="165"/>
      <c r="R71" s="165"/>
      <c r="S71" s="165"/>
      <c r="T71" s="165"/>
      <c r="U71" s="165"/>
      <c r="V71" s="165"/>
      <c r="W71" s="165"/>
      <c r="X71" s="165"/>
      <c r="Y71" s="165"/>
      <c r="Z71" s="165"/>
      <c r="AA71" s="165"/>
      <c r="AB71" s="165"/>
      <c r="AC71" s="165"/>
      <c r="AD71" s="165"/>
      <c r="AE71" s="165"/>
      <c r="AF71" s="165"/>
      <c r="AG71" s="165"/>
    </row>
    <row r="72" spans="1:33" x14ac:dyDescent="0.25">
      <c r="A72" s="165" t="s">
        <v>259</v>
      </c>
      <c r="B72" s="165" t="s">
        <v>205</v>
      </c>
      <c r="C72" s="165" t="s">
        <v>206</v>
      </c>
      <c r="D72" s="165" t="s">
        <v>809</v>
      </c>
      <c r="E72" s="165">
        <v>33.840000000000003</v>
      </c>
      <c r="F72" s="165"/>
      <c r="G72" s="165" t="s">
        <v>296</v>
      </c>
      <c r="H72" s="165" t="s">
        <v>205</v>
      </c>
      <c r="I72" s="165" t="s">
        <v>206</v>
      </c>
      <c r="J72" s="165" t="s">
        <v>809</v>
      </c>
      <c r="K72" s="165">
        <v>32.64</v>
      </c>
      <c r="L72" s="165"/>
      <c r="M72" s="165"/>
      <c r="N72" s="165"/>
      <c r="O72" s="165"/>
      <c r="P72" s="165"/>
      <c r="Q72" s="165"/>
      <c r="R72" s="165"/>
      <c r="S72" s="165"/>
      <c r="T72" s="165"/>
      <c r="U72" s="165"/>
      <c r="V72" s="165"/>
      <c r="W72" s="165"/>
      <c r="X72" s="165"/>
      <c r="Y72" s="165"/>
      <c r="Z72" s="165"/>
      <c r="AA72" s="165"/>
      <c r="AB72" s="165"/>
      <c r="AC72" s="165"/>
      <c r="AD72" s="165"/>
      <c r="AE72" s="165"/>
      <c r="AF72" s="165"/>
      <c r="AG72" s="165"/>
    </row>
    <row r="73" spans="1:33" x14ac:dyDescent="0.25">
      <c r="A73" s="165" t="s">
        <v>259</v>
      </c>
      <c r="B73" s="165" t="s">
        <v>946</v>
      </c>
      <c r="C73" s="165" t="s">
        <v>206</v>
      </c>
      <c r="D73" s="165" t="s">
        <v>210</v>
      </c>
      <c r="E73" s="165">
        <v>23.41</v>
      </c>
      <c r="F73" s="165"/>
      <c r="G73" s="165" t="s">
        <v>297</v>
      </c>
      <c r="H73" s="165" t="s">
        <v>205</v>
      </c>
      <c r="I73" s="165" t="s">
        <v>206</v>
      </c>
      <c r="J73" s="165" t="s">
        <v>809</v>
      </c>
      <c r="K73" s="165">
        <v>32.35</v>
      </c>
      <c r="L73" s="165"/>
      <c r="M73" s="165"/>
      <c r="N73" s="165"/>
      <c r="O73" s="165"/>
      <c r="P73" s="165"/>
      <c r="Q73" s="165"/>
      <c r="R73" s="165"/>
      <c r="S73" s="165"/>
      <c r="T73" s="165"/>
      <c r="U73" s="165"/>
      <c r="V73" s="165"/>
      <c r="W73" s="165"/>
      <c r="X73" s="165"/>
      <c r="Y73" s="165"/>
      <c r="Z73" s="165"/>
      <c r="AA73" s="165"/>
      <c r="AB73" s="165" t="s">
        <v>954</v>
      </c>
      <c r="AC73" s="165"/>
      <c r="AD73" s="165"/>
      <c r="AE73" s="165"/>
      <c r="AF73" s="165"/>
      <c r="AG73" s="165"/>
    </row>
    <row r="74" spans="1:33" ht="45" x14ac:dyDescent="0.25">
      <c r="A74" s="165" t="s">
        <v>260</v>
      </c>
      <c r="B74" s="165" t="s">
        <v>205</v>
      </c>
      <c r="C74" s="165" t="s">
        <v>206</v>
      </c>
      <c r="D74" s="165" t="s">
        <v>809</v>
      </c>
      <c r="E74" s="165">
        <v>33.700000000000003</v>
      </c>
      <c r="F74" s="165"/>
      <c r="G74" s="165" t="s">
        <v>298</v>
      </c>
      <c r="H74" s="165" t="s">
        <v>205</v>
      </c>
      <c r="I74" s="165" t="s">
        <v>206</v>
      </c>
      <c r="J74" s="165" t="s">
        <v>809</v>
      </c>
      <c r="K74" s="165">
        <v>12.48</v>
      </c>
      <c r="L74" s="165">
        <f>AVERAGE(K74:K76)</f>
        <v>11.956666666666669</v>
      </c>
      <c r="M74" s="165">
        <f>STDEV(K74:K76)</f>
        <v>0.69356566620135818</v>
      </c>
      <c r="N74" s="165"/>
      <c r="O74" s="165" t="s">
        <v>554</v>
      </c>
      <c r="P74" s="90" t="s">
        <v>20</v>
      </c>
      <c r="Q74" s="90" t="s">
        <v>21</v>
      </c>
      <c r="R74" s="90" t="s">
        <v>22</v>
      </c>
      <c r="S74" s="90" t="s">
        <v>23</v>
      </c>
      <c r="T74" s="90" t="s">
        <v>25</v>
      </c>
      <c r="U74" s="90" t="s">
        <v>224</v>
      </c>
      <c r="V74" s="90" t="s">
        <v>555</v>
      </c>
      <c r="W74" s="90" t="s">
        <v>556</v>
      </c>
      <c r="X74" s="90"/>
      <c r="Y74" s="90"/>
      <c r="Z74" s="90"/>
      <c r="AA74" s="90"/>
      <c r="AB74" s="90" t="s">
        <v>20</v>
      </c>
      <c r="AC74" s="90" t="s">
        <v>21</v>
      </c>
      <c r="AD74" s="90" t="s">
        <v>22</v>
      </c>
      <c r="AE74" s="90" t="s">
        <v>23</v>
      </c>
      <c r="AF74" s="90" t="s">
        <v>24</v>
      </c>
      <c r="AG74" s="90" t="s">
        <v>888</v>
      </c>
    </row>
    <row r="75" spans="1:33" x14ac:dyDescent="0.25">
      <c r="A75" s="165" t="s">
        <v>260</v>
      </c>
      <c r="B75" s="165" t="s">
        <v>946</v>
      </c>
      <c r="C75" s="165" t="s">
        <v>206</v>
      </c>
      <c r="D75" s="165" t="s">
        <v>210</v>
      </c>
      <c r="E75" s="165">
        <v>22.99</v>
      </c>
      <c r="F75" s="165"/>
      <c r="G75" s="165" t="s">
        <v>299</v>
      </c>
      <c r="H75" s="165" t="s">
        <v>205</v>
      </c>
      <c r="I75" s="165" t="s">
        <v>206</v>
      </c>
      <c r="J75" s="165" t="s">
        <v>809</v>
      </c>
      <c r="K75" s="165">
        <v>12.22</v>
      </c>
      <c r="L75" s="165"/>
      <c r="M75" s="165"/>
      <c r="N75" s="165"/>
      <c r="O75" s="165"/>
      <c r="P75" s="89" t="s">
        <v>29</v>
      </c>
      <c r="Q75" s="84">
        <v>100</v>
      </c>
      <c r="R75" s="165">
        <f>Q75*1000000</f>
        <v>100000000</v>
      </c>
      <c r="S75" s="89"/>
      <c r="T75" s="89"/>
      <c r="U75" s="165"/>
      <c r="V75" s="165"/>
      <c r="W75" s="165"/>
      <c r="X75" s="89"/>
      <c r="Y75" s="165"/>
      <c r="Z75" s="165"/>
      <c r="AA75" s="165"/>
      <c r="AB75" s="89" t="s">
        <v>29</v>
      </c>
      <c r="AC75" s="84">
        <v>100</v>
      </c>
      <c r="AD75" s="165">
        <f>AC75*1000000</f>
        <v>100000000</v>
      </c>
      <c r="AE75" s="89"/>
      <c r="AF75" s="89"/>
      <c r="AG75" s="89"/>
    </row>
    <row r="76" spans="1:33" x14ac:dyDescent="0.25">
      <c r="A76" s="165" t="s">
        <v>261</v>
      </c>
      <c r="B76" s="165" t="s">
        <v>205</v>
      </c>
      <c r="C76" s="165" t="s">
        <v>206</v>
      </c>
      <c r="D76" s="165" t="s">
        <v>809</v>
      </c>
      <c r="E76" s="165">
        <v>34.090000000000003</v>
      </c>
      <c r="F76" s="165"/>
      <c r="G76" s="165" t="s">
        <v>300</v>
      </c>
      <c r="H76" s="165" t="s">
        <v>205</v>
      </c>
      <c r="I76" s="165" t="s">
        <v>206</v>
      </c>
      <c r="J76" s="165" t="s">
        <v>809</v>
      </c>
      <c r="K76" s="165">
        <v>11.17</v>
      </c>
      <c r="L76" s="165"/>
      <c r="M76" s="165"/>
      <c r="N76" s="165"/>
      <c r="O76" s="165" t="s">
        <v>558</v>
      </c>
      <c r="P76" s="165"/>
      <c r="Q76" s="165">
        <v>0.01</v>
      </c>
      <c r="R76" s="165">
        <v>10000</v>
      </c>
      <c r="S76" s="165">
        <v>6022000000000.002</v>
      </c>
      <c r="T76" s="165">
        <v>12044000000.000004</v>
      </c>
      <c r="U76" s="165">
        <f t="shared" ref="U76:U82" si="6">LOG(T76)</f>
        <v>10.080770746840722</v>
      </c>
      <c r="V76" s="165">
        <v>11.956666666666669</v>
      </c>
      <c r="W76" s="165">
        <v>0.69356566620135818</v>
      </c>
      <c r="X76" s="89"/>
      <c r="Y76" s="165"/>
      <c r="Z76" s="165"/>
      <c r="AA76" s="165"/>
      <c r="AB76" s="165" t="s">
        <v>744</v>
      </c>
      <c r="AC76" s="165">
        <f>AC75/100</f>
        <v>1</v>
      </c>
      <c r="AD76" s="165">
        <f t="shared" ref="AD76:AD84" si="7">AC76*1000000</f>
        <v>1000000</v>
      </c>
      <c r="AE76" s="89">
        <f>AC75*0.00001/1000000*6.022E+23</f>
        <v>602200000000000.13</v>
      </c>
      <c r="AF76" s="89">
        <f>AE76/1000*2</f>
        <v>1204400000000.0002</v>
      </c>
      <c r="AG76" s="89"/>
    </row>
    <row r="77" spans="1:33" x14ac:dyDescent="0.25">
      <c r="A77" s="165" t="s">
        <v>261</v>
      </c>
      <c r="B77" s="165" t="s">
        <v>946</v>
      </c>
      <c r="C77" s="165" t="s">
        <v>206</v>
      </c>
      <c r="D77" s="165" t="s">
        <v>210</v>
      </c>
      <c r="E77" s="165">
        <v>23.77</v>
      </c>
      <c r="F77" s="165"/>
      <c r="G77" s="165" t="s">
        <v>301</v>
      </c>
      <c r="H77" s="165" t="s">
        <v>205</v>
      </c>
      <c r="I77" s="165" t="s">
        <v>206</v>
      </c>
      <c r="J77" s="165" t="s">
        <v>809</v>
      </c>
      <c r="K77" s="165">
        <v>15.69</v>
      </c>
      <c r="L77" s="165">
        <f>AVERAGE(K77:K79)</f>
        <v>15.706666666666669</v>
      </c>
      <c r="M77" s="165">
        <f>STDEV(K77:K79)</f>
        <v>8.6216781042517163E-2</v>
      </c>
      <c r="N77" s="165"/>
      <c r="O77" s="165" t="s">
        <v>559</v>
      </c>
      <c r="P77" s="165"/>
      <c r="Q77" s="165">
        <v>1E-3</v>
      </c>
      <c r="R77" s="165">
        <v>1000</v>
      </c>
      <c r="S77" s="165">
        <v>602200000000.00024</v>
      </c>
      <c r="T77" s="165">
        <v>1204400000.0000005</v>
      </c>
      <c r="U77" s="165">
        <f t="shared" si="6"/>
        <v>9.0807707468407219</v>
      </c>
      <c r="V77" s="165">
        <v>15.706666666666669</v>
      </c>
      <c r="W77" s="165">
        <v>8.6216781042517163E-2</v>
      </c>
      <c r="X77" s="89"/>
      <c r="Y77" s="165"/>
      <c r="Z77" s="165"/>
      <c r="AA77" s="165"/>
      <c r="AB77" s="165" t="s">
        <v>30</v>
      </c>
      <c r="AC77" s="165">
        <f t="shared" ref="AC77:AC84" si="8">AC76/10</f>
        <v>0.1</v>
      </c>
      <c r="AD77" s="165">
        <f t="shared" si="7"/>
        <v>100000</v>
      </c>
      <c r="AE77" s="165">
        <f t="shared" ref="AE77:AE84" si="9">AE76/10</f>
        <v>60220000000000.016</v>
      </c>
      <c r="AF77" s="165">
        <f t="shared" ref="AF77:AF84" si="10">AE77/1000*2</f>
        <v>120440000000.00003</v>
      </c>
      <c r="AG77" s="165">
        <f>LOG(AF77)</f>
        <v>11.080770746840722</v>
      </c>
    </row>
    <row r="78" spans="1:33" x14ac:dyDescent="0.25">
      <c r="A78" s="165" t="s">
        <v>262</v>
      </c>
      <c r="B78" s="165" t="s">
        <v>205</v>
      </c>
      <c r="C78" s="165" t="s">
        <v>206</v>
      </c>
      <c r="D78" s="165" t="s">
        <v>809</v>
      </c>
      <c r="E78" s="165">
        <v>33.92</v>
      </c>
      <c r="F78" s="165"/>
      <c r="G78" s="165" t="s">
        <v>302</v>
      </c>
      <c r="H78" s="165" t="s">
        <v>205</v>
      </c>
      <c r="I78" s="165" t="s">
        <v>206</v>
      </c>
      <c r="J78" s="165" t="s">
        <v>809</v>
      </c>
      <c r="K78" s="165">
        <v>15.8</v>
      </c>
      <c r="L78" s="165"/>
      <c r="M78" s="165"/>
      <c r="N78" s="165"/>
      <c r="O78" s="165" t="s">
        <v>561</v>
      </c>
      <c r="P78" s="165"/>
      <c r="Q78" s="165">
        <v>1E-4</v>
      </c>
      <c r="R78" s="165">
        <v>100</v>
      </c>
      <c r="S78" s="165">
        <v>60220000000.000023</v>
      </c>
      <c r="T78" s="165">
        <v>120440000.00000004</v>
      </c>
      <c r="U78" s="165">
        <f t="shared" si="6"/>
        <v>8.0807707468407219</v>
      </c>
      <c r="V78" s="165">
        <v>20.23</v>
      </c>
      <c r="W78" s="165">
        <v>0.14000000000000057</v>
      </c>
      <c r="X78" s="89"/>
      <c r="Y78" s="165"/>
      <c r="Z78" s="165"/>
      <c r="AA78" s="165"/>
      <c r="AB78" s="165" t="s">
        <v>31</v>
      </c>
      <c r="AC78" s="165">
        <f t="shared" si="8"/>
        <v>0.01</v>
      </c>
      <c r="AD78" s="165">
        <f t="shared" si="7"/>
        <v>10000</v>
      </c>
      <c r="AE78" s="165">
        <f t="shared" si="9"/>
        <v>6022000000000.002</v>
      </c>
      <c r="AF78" s="165">
        <f t="shared" si="10"/>
        <v>12044000000.000004</v>
      </c>
      <c r="AG78" s="165">
        <f t="shared" ref="AG78:AG84" si="11">LOG(AF78)</f>
        <v>10.080770746840722</v>
      </c>
    </row>
    <row r="79" spans="1:33" x14ac:dyDescent="0.25">
      <c r="A79" s="165" t="s">
        <v>262</v>
      </c>
      <c r="B79" s="165" t="s">
        <v>946</v>
      </c>
      <c r="C79" s="165" t="s">
        <v>206</v>
      </c>
      <c r="D79" s="165" t="s">
        <v>210</v>
      </c>
      <c r="E79" s="165">
        <v>22.95</v>
      </c>
      <c r="F79" s="165"/>
      <c r="G79" s="165" t="s">
        <v>303</v>
      </c>
      <c r="H79" s="165" t="s">
        <v>205</v>
      </c>
      <c r="I79" s="165" t="s">
        <v>206</v>
      </c>
      <c r="J79" s="165" t="s">
        <v>809</v>
      </c>
      <c r="K79" s="165">
        <v>15.63</v>
      </c>
      <c r="L79" s="165"/>
      <c r="M79" s="165"/>
      <c r="N79" s="165"/>
      <c r="O79" s="165" t="s">
        <v>563</v>
      </c>
      <c r="P79" s="165"/>
      <c r="Q79" s="165">
        <v>1.0000000000000001E-5</v>
      </c>
      <c r="R79" s="165">
        <v>10</v>
      </c>
      <c r="S79" s="165">
        <v>6022000000.0000019</v>
      </c>
      <c r="T79" s="165">
        <v>12044000.000000004</v>
      </c>
      <c r="U79" s="165">
        <f t="shared" si="6"/>
        <v>7.0807707468407219</v>
      </c>
      <c r="V79" s="165">
        <v>23.49</v>
      </c>
      <c r="W79" s="165">
        <v>0.11135528725659997</v>
      </c>
      <c r="X79" s="89"/>
      <c r="Y79" s="165"/>
      <c r="Z79" s="165"/>
      <c r="AA79" s="165"/>
      <c r="AB79" s="165" t="s">
        <v>32</v>
      </c>
      <c r="AC79" s="165">
        <f t="shared" si="8"/>
        <v>1E-3</v>
      </c>
      <c r="AD79" s="165">
        <f t="shared" si="7"/>
        <v>1000</v>
      </c>
      <c r="AE79" s="165">
        <f t="shared" si="9"/>
        <v>602200000000.00024</v>
      </c>
      <c r="AF79" s="165">
        <f t="shared" si="10"/>
        <v>1204400000.0000005</v>
      </c>
      <c r="AG79" s="165">
        <f t="shared" si="11"/>
        <v>9.0807707468407219</v>
      </c>
    </row>
    <row r="80" spans="1:33" x14ac:dyDescent="0.25">
      <c r="A80" s="165" t="s">
        <v>263</v>
      </c>
      <c r="B80" s="165" t="s">
        <v>205</v>
      </c>
      <c r="C80" s="165" t="s">
        <v>206</v>
      </c>
      <c r="D80" s="165" t="s">
        <v>809</v>
      </c>
      <c r="E80" s="165">
        <v>34.22</v>
      </c>
      <c r="F80" s="165"/>
      <c r="G80" s="165" t="s">
        <v>304</v>
      </c>
      <c r="H80" s="165" t="s">
        <v>205</v>
      </c>
      <c r="I80" s="165" t="s">
        <v>206</v>
      </c>
      <c r="J80" s="165" t="s">
        <v>809</v>
      </c>
      <c r="K80" s="165">
        <v>20.37</v>
      </c>
      <c r="L80" s="165">
        <f>AVERAGE(K80:K82)</f>
        <v>20.23</v>
      </c>
      <c r="M80" s="165">
        <f>STDEV(K80:K82)</f>
        <v>0.14000000000000057</v>
      </c>
      <c r="N80" s="165"/>
      <c r="O80" s="165" t="s">
        <v>565</v>
      </c>
      <c r="P80" s="165"/>
      <c r="Q80" s="165">
        <v>1.0000000000000002E-6</v>
      </c>
      <c r="R80" s="165">
        <v>1.0000000000000002</v>
      </c>
      <c r="S80" s="165">
        <v>602200000.00000024</v>
      </c>
      <c r="T80" s="165">
        <v>1204400.0000000005</v>
      </c>
      <c r="U80" s="165">
        <f t="shared" si="6"/>
        <v>6.0807707468407219</v>
      </c>
      <c r="V80" s="165">
        <v>24.66333333333333</v>
      </c>
      <c r="W80" s="165">
        <v>0.11060440015358167</v>
      </c>
      <c r="X80" s="89"/>
      <c r="Y80" s="165"/>
      <c r="Z80" s="165"/>
      <c r="AA80" s="165"/>
      <c r="AB80" s="165" t="s">
        <v>33</v>
      </c>
      <c r="AC80" s="165">
        <f t="shared" si="8"/>
        <v>1E-4</v>
      </c>
      <c r="AD80" s="165">
        <f t="shared" si="7"/>
        <v>100</v>
      </c>
      <c r="AE80" s="165">
        <f t="shared" si="9"/>
        <v>60220000000.000023</v>
      </c>
      <c r="AF80" s="165">
        <f t="shared" si="10"/>
        <v>120440000.00000004</v>
      </c>
      <c r="AG80" s="165">
        <f t="shared" si="11"/>
        <v>8.0807707468407219</v>
      </c>
    </row>
    <row r="81" spans="1:33" x14ac:dyDescent="0.25">
      <c r="A81" s="165" t="s">
        <v>263</v>
      </c>
      <c r="B81" s="165" t="s">
        <v>946</v>
      </c>
      <c r="C81" s="165" t="s">
        <v>206</v>
      </c>
      <c r="D81" s="165" t="s">
        <v>210</v>
      </c>
      <c r="E81" s="165">
        <v>23.45</v>
      </c>
      <c r="F81" s="165"/>
      <c r="G81" s="165" t="s">
        <v>305</v>
      </c>
      <c r="H81" s="165" t="s">
        <v>205</v>
      </c>
      <c r="I81" s="165" t="s">
        <v>206</v>
      </c>
      <c r="J81" s="165" t="s">
        <v>809</v>
      </c>
      <c r="K81" s="165">
        <v>20.23</v>
      </c>
      <c r="L81" s="165"/>
      <c r="M81" s="165"/>
      <c r="N81" s="165"/>
      <c r="O81" s="165" t="s">
        <v>566</v>
      </c>
      <c r="P81" s="165"/>
      <c r="Q81" s="165">
        <v>1.0000000000000002E-7</v>
      </c>
      <c r="R81" s="165">
        <v>0.10000000000000002</v>
      </c>
      <c r="S81" s="165">
        <v>60220000.000000022</v>
      </c>
      <c r="T81" s="165">
        <v>120440.00000000004</v>
      </c>
      <c r="U81" s="165">
        <f t="shared" si="6"/>
        <v>5.0807707468407219</v>
      </c>
      <c r="V81" s="165">
        <v>28.376666666666665</v>
      </c>
      <c r="W81" s="165">
        <v>0.21126602503321176</v>
      </c>
      <c r="X81" s="89"/>
      <c r="Y81" s="165"/>
      <c r="Z81" s="165"/>
      <c r="AA81" s="165"/>
      <c r="AB81" s="165" t="s">
        <v>34</v>
      </c>
      <c r="AC81" s="165">
        <f t="shared" si="8"/>
        <v>1.0000000000000001E-5</v>
      </c>
      <c r="AD81" s="165">
        <f t="shared" si="7"/>
        <v>10</v>
      </c>
      <c r="AE81" s="165">
        <f t="shared" si="9"/>
        <v>6022000000.0000019</v>
      </c>
      <c r="AF81" s="165">
        <f t="shared" si="10"/>
        <v>12044000.000000004</v>
      </c>
      <c r="AG81" s="165">
        <f t="shared" si="11"/>
        <v>7.0807707468407219</v>
      </c>
    </row>
    <row r="82" spans="1:33" x14ac:dyDescent="0.25">
      <c r="A82" s="165" t="s">
        <v>264</v>
      </c>
      <c r="B82" s="165" t="s">
        <v>205</v>
      </c>
      <c r="C82" s="165" t="s">
        <v>206</v>
      </c>
      <c r="D82" s="165" t="s">
        <v>809</v>
      </c>
      <c r="E82" s="165">
        <v>34.25</v>
      </c>
      <c r="F82" s="165"/>
      <c r="G82" s="165" t="s">
        <v>306</v>
      </c>
      <c r="H82" s="165" t="s">
        <v>205</v>
      </c>
      <c r="I82" s="165" t="s">
        <v>206</v>
      </c>
      <c r="J82" s="165" t="s">
        <v>809</v>
      </c>
      <c r="K82" s="165">
        <v>20.09</v>
      </c>
      <c r="L82" s="165"/>
      <c r="M82" s="165"/>
      <c r="N82" s="165"/>
      <c r="O82" s="165" t="s">
        <v>940</v>
      </c>
      <c r="P82" s="165"/>
      <c r="Q82" s="165">
        <v>1.0000000000000002E-8</v>
      </c>
      <c r="R82" s="165">
        <v>1.0000000000000002E-2</v>
      </c>
      <c r="S82" s="165">
        <v>6022000.0000000019</v>
      </c>
      <c r="T82" s="165">
        <v>12044.000000000004</v>
      </c>
      <c r="U82" s="165">
        <f t="shared" si="6"/>
        <v>4.0807707468407219</v>
      </c>
      <c r="V82" s="165">
        <v>31.086666666666662</v>
      </c>
      <c r="W82" s="165">
        <v>2.5174259340312939</v>
      </c>
      <c r="X82" s="89"/>
      <c r="Y82" s="165"/>
      <c r="Z82" s="165"/>
      <c r="AA82" s="165"/>
      <c r="AB82" s="165" t="s">
        <v>35</v>
      </c>
      <c r="AC82" s="165">
        <f t="shared" si="8"/>
        <v>1.0000000000000002E-6</v>
      </c>
      <c r="AD82" s="165">
        <f t="shared" si="7"/>
        <v>1.0000000000000002</v>
      </c>
      <c r="AE82" s="165">
        <f t="shared" si="9"/>
        <v>602200000.00000024</v>
      </c>
      <c r="AF82" s="165">
        <f t="shared" si="10"/>
        <v>1204400.0000000005</v>
      </c>
      <c r="AG82" s="165">
        <f t="shared" si="11"/>
        <v>6.0807707468407219</v>
      </c>
    </row>
    <row r="83" spans="1:33" x14ac:dyDescent="0.25">
      <c r="A83" s="165" t="s">
        <v>264</v>
      </c>
      <c r="B83" s="165" t="s">
        <v>946</v>
      </c>
      <c r="C83" s="165" t="s">
        <v>206</v>
      </c>
      <c r="D83" s="165" t="s">
        <v>210</v>
      </c>
      <c r="E83" s="165">
        <v>22.69</v>
      </c>
      <c r="F83" s="165"/>
      <c r="G83" s="165" t="s">
        <v>307</v>
      </c>
      <c r="H83" s="165" t="s">
        <v>205</v>
      </c>
      <c r="I83" s="165" t="s">
        <v>206</v>
      </c>
      <c r="J83" s="165" t="s">
        <v>809</v>
      </c>
      <c r="K83" s="165">
        <v>23.39</v>
      </c>
      <c r="L83" s="165">
        <f>AVERAGE(K83:K85)</f>
        <v>23.49</v>
      </c>
      <c r="M83" s="165">
        <f>STDEV(K83:K85)</f>
        <v>0.11135528725659997</v>
      </c>
      <c r="N83" s="165"/>
      <c r="O83" s="165"/>
      <c r="P83" s="165"/>
      <c r="Q83" s="165"/>
      <c r="R83" s="165"/>
      <c r="S83" s="165"/>
      <c r="T83" s="165"/>
      <c r="U83" s="165"/>
      <c r="V83" s="165"/>
      <c r="W83" s="165"/>
      <c r="X83" s="165"/>
      <c r="Y83" s="165"/>
      <c r="Z83" s="165"/>
      <c r="AA83" s="165"/>
      <c r="AB83" s="165" t="s">
        <v>36</v>
      </c>
      <c r="AC83" s="165">
        <f t="shared" si="8"/>
        <v>1.0000000000000002E-7</v>
      </c>
      <c r="AD83" s="165">
        <f t="shared" si="7"/>
        <v>0.10000000000000002</v>
      </c>
      <c r="AE83" s="165">
        <f t="shared" si="9"/>
        <v>60220000.000000022</v>
      </c>
      <c r="AF83" s="165">
        <f t="shared" si="10"/>
        <v>120440.00000000004</v>
      </c>
      <c r="AG83" s="165">
        <f t="shared" si="11"/>
        <v>5.0807707468407219</v>
      </c>
    </row>
    <row r="84" spans="1:33" x14ac:dyDescent="0.25">
      <c r="A84" s="165" t="s">
        <v>265</v>
      </c>
      <c r="B84" s="165" t="s">
        <v>205</v>
      </c>
      <c r="C84" s="165" t="s">
        <v>206</v>
      </c>
      <c r="D84" s="165" t="s">
        <v>809</v>
      </c>
      <c r="E84" s="165">
        <v>34.520000000000003</v>
      </c>
      <c r="F84" s="165"/>
      <c r="G84" s="165" t="s">
        <v>308</v>
      </c>
      <c r="H84" s="165" t="s">
        <v>205</v>
      </c>
      <c r="I84" s="165" t="s">
        <v>206</v>
      </c>
      <c r="J84" s="165" t="s">
        <v>809</v>
      </c>
      <c r="K84" s="165">
        <v>23.47</v>
      </c>
      <c r="L84" s="165"/>
      <c r="M84" s="165"/>
      <c r="N84" s="165"/>
      <c r="O84" s="165"/>
      <c r="P84" s="165"/>
      <c r="Q84" s="165"/>
      <c r="R84" s="165"/>
      <c r="S84" s="165"/>
      <c r="T84" s="165"/>
      <c r="U84" s="165"/>
      <c r="V84" s="165"/>
      <c r="W84" s="165"/>
      <c r="X84" s="165"/>
      <c r="Y84" s="165"/>
      <c r="Z84" s="165"/>
      <c r="AA84" s="165"/>
      <c r="AB84" s="165" t="s">
        <v>37</v>
      </c>
      <c r="AC84" s="165">
        <f t="shared" si="8"/>
        <v>1.0000000000000002E-8</v>
      </c>
      <c r="AD84" s="165">
        <f t="shared" si="7"/>
        <v>1.0000000000000002E-2</v>
      </c>
      <c r="AE84" s="165">
        <f t="shared" si="9"/>
        <v>6022000.0000000019</v>
      </c>
      <c r="AF84" s="165">
        <f t="shared" si="10"/>
        <v>12044.000000000004</v>
      </c>
      <c r="AG84" s="165">
        <f t="shared" si="11"/>
        <v>4.0807707468407219</v>
      </c>
    </row>
    <row r="85" spans="1:33" x14ac:dyDescent="0.25">
      <c r="A85" s="165" t="s">
        <v>265</v>
      </c>
      <c r="B85" s="165" t="s">
        <v>946</v>
      </c>
      <c r="C85" s="165" t="s">
        <v>206</v>
      </c>
      <c r="D85" s="165" t="s">
        <v>210</v>
      </c>
      <c r="E85" s="165">
        <v>21.72</v>
      </c>
      <c r="F85" s="165"/>
      <c r="G85" s="165" t="s">
        <v>309</v>
      </c>
      <c r="H85" s="165" t="s">
        <v>205</v>
      </c>
      <c r="I85" s="165" t="s">
        <v>206</v>
      </c>
      <c r="J85" s="165" t="s">
        <v>809</v>
      </c>
      <c r="K85" s="165">
        <v>23.61</v>
      </c>
      <c r="L85" s="165"/>
      <c r="M85" s="165"/>
      <c r="N85" s="165"/>
      <c r="O85" s="165"/>
      <c r="P85" s="165"/>
      <c r="Q85" s="165"/>
      <c r="R85" s="165"/>
      <c r="S85" s="165"/>
      <c r="T85" s="165"/>
      <c r="U85" s="165"/>
      <c r="V85" s="165"/>
      <c r="W85" s="165"/>
      <c r="X85" s="165"/>
      <c r="Y85" s="165"/>
      <c r="Z85" s="165"/>
      <c r="AA85" s="165"/>
      <c r="AB85" s="165"/>
      <c r="AC85" s="165"/>
      <c r="AD85" s="165"/>
      <c r="AE85" s="165"/>
      <c r="AF85" s="165"/>
      <c r="AG85" s="165"/>
    </row>
    <row r="86" spans="1:33" x14ac:dyDescent="0.25">
      <c r="A86" s="165" t="s">
        <v>266</v>
      </c>
      <c r="B86" s="165" t="s">
        <v>205</v>
      </c>
      <c r="C86" s="165" t="s">
        <v>206</v>
      </c>
      <c r="D86" s="165" t="s">
        <v>809</v>
      </c>
      <c r="E86" s="165">
        <v>35.479999999999997</v>
      </c>
      <c r="F86" s="165"/>
      <c r="G86" s="165" t="s">
        <v>310</v>
      </c>
      <c r="H86" s="165" t="s">
        <v>205</v>
      </c>
      <c r="I86" s="165" t="s">
        <v>206</v>
      </c>
      <c r="J86" s="165" t="s">
        <v>809</v>
      </c>
      <c r="K86" s="165">
        <v>24.78</v>
      </c>
      <c r="L86" s="165">
        <f>AVERAGE(K86:K88)</f>
        <v>24.66333333333333</v>
      </c>
      <c r="M86" s="165">
        <f>STDEV(K86:K88)</f>
        <v>0.11060440015358167</v>
      </c>
      <c r="N86" s="165"/>
      <c r="O86" s="165"/>
      <c r="P86" s="165"/>
      <c r="Q86" s="165"/>
      <c r="R86" s="165"/>
      <c r="S86" s="165"/>
      <c r="T86" s="165"/>
      <c r="U86" s="165"/>
      <c r="V86" s="165"/>
      <c r="W86" s="165"/>
      <c r="X86" s="165"/>
      <c r="Y86" s="165" t="s">
        <v>568</v>
      </c>
      <c r="Z86" s="165" t="s">
        <v>240</v>
      </c>
      <c r="AA86" s="165"/>
      <c r="AB86" s="165"/>
      <c r="AC86" s="165"/>
      <c r="AD86" s="165"/>
      <c r="AE86" s="165"/>
      <c r="AF86" s="165"/>
      <c r="AG86" s="165"/>
    </row>
    <row r="87" spans="1:33" x14ac:dyDescent="0.25">
      <c r="A87" s="165" t="s">
        <v>266</v>
      </c>
      <c r="B87" s="165" t="s">
        <v>946</v>
      </c>
      <c r="C87" s="165" t="s">
        <v>206</v>
      </c>
      <c r="D87" s="165" t="s">
        <v>210</v>
      </c>
      <c r="E87" s="165">
        <v>23.03</v>
      </c>
      <c r="F87" s="165"/>
      <c r="G87" s="165" t="s">
        <v>311</v>
      </c>
      <c r="H87" s="165" t="s">
        <v>205</v>
      </c>
      <c r="I87" s="165" t="s">
        <v>206</v>
      </c>
      <c r="J87" s="165" t="s">
        <v>809</v>
      </c>
      <c r="K87" s="165">
        <v>24.65</v>
      </c>
      <c r="L87" s="165"/>
      <c r="M87" s="165"/>
      <c r="N87" s="165"/>
      <c r="O87" s="165"/>
      <c r="P87" s="165"/>
      <c r="Q87" s="165"/>
      <c r="R87" s="165"/>
      <c r="S87" s="165"/>
      <c r="T87" s="165"/>
      <c r="U87" s="165"/>
      <c r="V87" s="165"/>
      <c r="W87" s="165"/>
      <c r="X87" s="165"/>
      <c r="Y87" s="165">
        <f t="array" ref="Y87:Z87">LINEST(V76:V82,U76:U82)</f>
        <v>-3.1129761904761906</v>
      </c>
      <c r="Z87" s="165">
        <v>44.257985030849767</v>
      </c>
      <c r="AA87" s="165"/>
      <c r="AB87" s="165"/>
      <c r="AC87" s="165"/>
      <c r="AD87" s="165"/>
      <c r="AE87" s="165"/>
      <c r="AF87" s="165"/>
      <c r="AG87" s="165"/>
    </row>
    <row r="88" spans="1:33" x14ac:dyDescent="0.25">
      <c r="A88" s="165" t="s">
        <v>267</v>
      </c>
      <c r="B88" s="165" t="s">
        <v>205</v>
      </c>
      <c r="C88" s="165" t="s">
        <v>206</v>
      </c>
      <c r="D88" s="165" t="s">
        <v>809</v>
      </c>
      <c r="E88" s="165">
        <v>35.770000000000003</v>
      </c>
      <c r="F88" s="165"/>
      <c r="G88" s="165" t="s">
        <v>312</v>
      </c>
      <c r="H88" s="165" t="s">
        <v>205</v>
      </c>
      <c r="I88" s="165" t="s">
        <v>206</v>
      </c>
      <c r="J88" s="165" t="s">
        <v>809</v>
      </c>
      <c r="K88" s="165">
        <v>24.56</v>
      </c>
      <c r="L88" s="165"/>
      <c r="M88" s="165"/>
      <c r="N88" s="165"/>
      <c r="O88" s="165"/>
      <c r="P88" s="165"/>
      <c r="Q88" s="165"/>
      <c r="R88" s="165"/>
      <c r="S88" s="165"/>
      <c r="T88" s="165"/>
      <c r="U88" s="165"/>
      <c r="V88" s="165"/>
      <c r="W88" s="165"/>
      <c r="X88" s="165"/>
      <c r="Y88" s="165"/>
      <c r="Z88" s="165"/>
      <c r="AA88" s="165"/>
      <c r="AB88" s="165"/>
      <c r="AC88" s="165"/>
      <c r="AD88" s="165"/>
      <c r="AE88" s="165"/>
      <c r="AF88" s="165"/>
      <c r="AG88" s="165"/>
    </row>
    <row r="89" spans="1:33" x14ac:dyDescent="0.25">
      <c r="A89" s="165" t="s">
        <v>267</v>
      </c>
      <c r="B89" s="165" t="s">
        <v>946</v>
      </c>
      <c r="C89" s="165" t="s">
        <v>206</v>
      </c>
      <c r="D89" s="165" t="s">
        <v>210</v>
      </c>
      <c r="E89" s="165">
        <v>23.23</v>
      </c>
      <c r="F89" s="165"/>
      <c r="G89" s="165" t="s">
        <v>313</v>
      </c>
      <c r="H89" s="165" t="s">
        <v>205</v>
      </c>
      <c r="I89" s="165" t="s">
        <v>206</v>
      </c>
      <c r="J89" s="165" t="s">
        <v>809</v>
      </c>
      <c r="K89" s="165">
        <v>28.6</v>
      </c>
      <c r="L89" s="165">
        <f>AVERAGE(K89:K91)</f>
        <v>28.376666666666665</v>
      </c>
      <c r="M89" s="165">
        <f>STDEV(K89:K91)</f>
        <v>0.21126602503321176</v>
      </c>
      <c r="N89" s="165"/>
      <c r="O89" s="165"/>
      <c r="P89" s="165"/>
      <c r="Q89" s="165"/>
      <c r="R89" s="165"/>
      <c r="S89" s="165"/>
      <c r="T89" s="165"/>
      <c r="U89" s="165"/>
      <c r="V89" s="165"/>
      <c r="W89" s="165"/>
      <c r="X89" s="165"/>
      <c r="Y89" s="119" t="s">
        <v>241</v>
      </c>
      <c r="Z89" s="120">
        <f>10^(-1/Y87)-1</f>
        <v>1.0952506966600928</v>
      </c>
      <c r="AA89" s="165"/>
      <c r="AB89" s="165"/>
      <c r="AC89" s="165"/>
      <c r="AD89" s="165"/>
      <c r="AE89" s="165"/>
      <c r="AF89" s="165"/>
      <c r="AG89" s="165"/>
    </row>
    <row r="90" spans="1:33" x14ac:dyDescent="0.25">
      <c r="A90" s="165" t="s">
        <v>268</v>
      </c>
      <c r="B90" s="165" t="s">
        <v>205</v>
      </c>
      <c r="C90" s="165" t="s">
        <v>206</v>
      </c>
      <c r="D90" s="165" t="s">
        <v>809</v>
      </c>
      <c r="E90" s="165">
        <v>32.729999999999997</v>
      </c>
      <c r="F90" s="165"/>
      <c r="G90" s="165" t="s">
        <v>314</v>
      </c>
      <c r="H90" s="165" t="s">
        <v>205</v>
      </c>
      <c r="I90" s="165" t="s">
        <v>206</v>
      </c>
      <c r="J90" s="165" t="s">
        <v>809</v>
      </c>
      <c r="K90" s="165">
        <v>28.35</v>
      </c>
      <c r="L90" s="165"/>
      <c r="M90" s="165"/>
      <c r="N90" s="165"/>
      <c r="O90" s="165"/>
      <c r="P90" s="165"/>
      <c r="Q90" s="165"/>
      <c r="R90" s="165"/>
      <c r="S90" s="165"/>
      <c r="T90" s="165"/>
      <c r="U90" s="165"/>
      <c r="V90" s="165"/>
      <c r="W90" s="165"/>
      <c r="X90" s="165"/>
      <c r="Y90" s="165"/>
      <c r="Z90" s="165"/>
      <c r="AA90" s="165"/>
      <c r="AB90" s="165"/>
      <c r="AC90" s="165"/>
      <c r="AD90" s="165"/>
      <c r="AE90" s="165"/>
      <c r="AF90" s="165"/>
      <c r="AG90" s="165"/>
    </row>
    <row r="91" spans="1:33" x14ac:dyDescent="0.25">
      <c r="A91" s="165" t="s">
        <v>268</v>
      </c>
      <c r="B91" s="165" t="s">
        <v>946</v>
      </c>
      <c r="C91" s="165" t="s">
        <v>206</v>
      </c>
      <c r="D91" s="165" t="s">
        <v>210</v>
      </c>
      <c r="E91" s="165">
        <v>22.29</v>
      </c>
      <c r="F91" s="165"/>
      <c r="G91" s="165" t="s">
        <v>315</v>
      </c>
      <c r="H91" s="165" t="s">
        <v>205</v>
      </c>
      <c r="I91" s="165" t="s">
        <v>206</v>
      </c>
      <c r="J91" s="165" t="s">
        <v>809</v>
      </c>
      <c r="K91" s="165">
        <v>28.18</v>
      </c>
      <c r="L91" s="165"/>
      <c r="M91" s="165"/>
      <c r="N91" s="165"/>
      <c r="O91" s="165"/>
      <c r="P91" s="165"/>
      <c r="Q91" s="165"/>
      <c r="R91" s="165"/>
      <c r="S91" s="165"/>
      <c r="T91" s="165"/>
      <c r="U91" s="165"/>
      <c r="V91" s="165"/>
      <c r="W91" s="165"/>
      <c r="X91" s="165"/>
      <c r="Y91" s="165"/>
      <c r="Z91" s="165"/>
      <c r="AA91" s="165"/>
      <c r="AB91" s="165"/>
      <c r="AC91" s="165"/>
      <c r="AD91" s="165"/>
      <c r="AE91" s="165"/>
      <c r="AF91" s="165"/>
      <c r="AG91" s="165"/>
    </row>
    <row r="92" spans="1:33" x14ac:dyDescent="0.25">
      <c r="A92" s="165" t="s">
        <v>270</v>
      </c>
      <c r="B92" s="165" t="s">
        <v>205</v>
      </c>
      <c r="C92" s="165" t="s">
        <v>206</v>
      </c>
      <c r="D92" s="165" t="s">
        <v>809</v>
      </c>
      <c r="E92" s="165">
        <v>33.01</v>
      </c>
      <c r="F92" s="165"/>
      <c r="G92" s="165" t="s">
        <v>316</v>
      </c>
      <c r="H92" s="165" t="s">
        <v>205</v>
      </c>
      <c r="I92" s="165" t="s">
        <v>206</v>
      </c>
      <c r="J92" s="165" t="s">
        <v>809</v>
      </c>
      <c r="K92" s="165">
        <v>32.51</v>
      </c>
      <c r="L92" s="165">
        <f>AVERAGE(K91:K93)</f>
        <v>31.086666666666662</v>
      </c>
      <c r="M92" s="165">
        <f>STDEV(K91:K93)</f>
        <v>2.5174259340312939</v>
      </c>
      <c r="N92" s="165"/>
      <c r="O92" s="165"/>
      <c r="P92" s="165"/>
      <c r="Q92" s="165"/>
      <c r="R92" s="165"/>
      <c r="S92" s="165"/>
      <c r="T92" s="165"/>
      <c r="U92" s="165"/>
      <c r="V92" s="165"/>
      <c r="W92" s="165"/>
      <c r="X92" s="165"/>
      <c r="Y92" s="165"/>
      <c r="Z92" s="165"/>
      <c r="AA92" s="165"/>
      <c r="AB92" s="165"/>
      <c r="AC92" s="165"/>
      <c r="AD92" s="165"/>
      <c r="AE92" s="165"/>
      <c r="AF92" s="165"/>
      <c r="AG92" s="165"/>
    </row>
    <row r="93" spans="1:33" x14ac:dyDescent="0.25">
      <c r="A93" s="165" t="s">
        <v>270</v>
      </c>
      <c r="B93" s="165" t="s">
        <v>946</v>
      </c>
      <c r="C93" s="165" t="s">
        <v>206</v>
      </c>
      <c r="D93" s="165" t="s">
        <v>210</v>
      </c>
      <c r="E93" s="165">
        <v>22.53</v>
      </c>
      <c r="F93" s="165"/>
      <c r="G93" s="165" t="s">
        <v>317</v>
      </c>
      <c r="H93" s="165" t="s">
        <v>205</v>
      </c>
      <c r="I93" s="165" t="s">
        <v>206</v>
      </c>
      <c r="J93" s="165" t="s">
        <v>809</v>
      </c>
      <c r="K93" s="165">
        <v>32.57</v>
      </c>
      <c r="L93" s="165"/>
      <c r="M93" s="165"/>
      <c r="N93" s="165"/>
      <c r="O93" s="165"/>
      <c r="P93" s="165"/>
      <c r="Q93" s="165"/>
      <c r="R93" s="165"/>
      <c r="S93" s="165"/>
      <c r="T93" s="165"/>
      <c r="U93" s="165"/>
      <c r="V93" s="165"/>
      <c r="W93" s="165"/>
      <c r="X93" s="165"/>
      <c r="Y93" s="165"/>
      <c r="Z93" s="165"/>
      <c r="AA93" s="165"/>
      <c r="AB93" s="165"/>
      <c r="AC93" s="165"/>
      <c r="AD93" s="165"/>
      <c r="AE93" s="165"/>
      <c r="AF93" s="165"/>
      <c r="AG93" s="165"/>
    </row>
    <row r="94" spans="1:33" x14ac:dyDescent="0.25">
      <c r="A94" s="165" t="s">
        <v>272</v>
      </c>
      <c r="B94" s="165" t="s">
        <v>205</v>
      </c>
      <c r="C94" s="165" t="s">
        <v>206</v>
      </c>
      <c r="D94" s="165" t="s">
        <v>809</v>
      </c>
      <c r="E94" s="165">
        <v>33.549999999999997</v>
      </c>
      <c r="F94" s="165"/>
      <c r="G94" s="165" t="s">
        <v>318</v>
      </c>
      <c r="H94" s="165" t="s">
        <v>205</v>
      </c>
      <c r="I94" s="165" t="s">
        <v>206</v>
      </c>
      <c r="J94" s="165" t="s">
        <v>809</v>
      </c>
      <c r="K94" s="165">
        <v>31.75</v>
      </c>
      <c r="L94" s="165"/>
      <c r="M94" s="165"/>
      <c r="N94" s="165"/>
      <c r="O94" s="165"/>
      <c r="P94" s="165"/>
      <c r="Q94" s="165"/>
      <c r="R94" s="165"/>
      <c r="S94" s="165"/>
      <c r="T94" s="165"/>
      <c r="U94" s="165"/>
      <c r="V94" s="165"/>
      <c r="W94" s="165"/>
      <c r="X94" s="165"/>
      <c r="Y94" s="165"/>
      <c r="Z94" s="165"/>
      <c r="AA94" s="165"/>
      <c r="AB94" s="165"/>
      <c r="AC94" s="165"/>
      <c r="AD94" s="165"/>
      <c r="AE94" s="165"/>
      <c r="AF94" s="165"/>
      <c r="AG94" s="165"/>
    </row>
    <row r="95" spans="1:33" x14ac:dyDescent="0.25">
      <c r="A95" s="165" t="s">
        <v>272</v>
      </c>
      <c r="B95" s="165" t="s">
        <v>946</v>
      </c>
      <c r="C95" s="165" t="s">
        <v>206</v>
      </c>
      <c r="D95" s="165" t="s">
        <v>210</v>
      </c>
      <c r="E95" s="165">
        <v>23.18</v>
      </c>
      <c r="F95" s="165"/>
      <c r="G95" s="165" t="s">
        <v>319</v>
      </c>
      <c r="H95" s="165" t="s">
        <v>205</v>
      </c>
      <c r="I95" s="165" t="s">
        <v>206</v>
      </c>
      <c r="J95" s="165" t="s">
        <v>809</v>
      </c>
      <c r="K95" s="165">
        <v>36.909999999999997</v>
      </c>
      <c r="L95" s="165"/>
      <c r="M95" s="165"/>
      <c r="N95" s="165"/>
      <c r="O95" s="165"/>
      <c r="P95" s="165"/>
      <c r="Q95" s="165"/>
      <c r="R95" s="165"/>
      <c r="S95" s="165"/>
      <c r="T95" s="165"/>
      <c r="U95" s="165"/>
      <c r="V95" s="165"/>
      <c r="W95" s="165"/>
      <c r="X95" s="165"/>
      <c r="Y95" s="165"/>
      <c r="Z95" s="165"/>
      <c r="AA95" s="165"/>
      <c r="AB95" s="165"/>
      <c r="AC95" s="165"/>
      <c r="AD95" s="165"/>
      <c r="AE95" s="165"/>
      <c r="AF95" s="165"/>
      <c r="AG95" s="165"/>
    </row>
    <row r="96" spans="1:33" x14ac:dyDescent="0.25">
      <c r="A96" s="165" t="s">
        <v>273</v>
      </c>
      <c r="B96" s="165" t="s">
        <v>205</v>
      </c>
      <c r="C96" s="165" t="s">
        <v>206</v>
      </c>
      <c r="D96" s="165" t="s">
        <v>809</v>
      </c>
      <c r="E96" s="165">
        <v>33.590000000000003</v>
      </c>
      <c r="F96" s="165"/>
      <c r="G96" s="165" t="s">
        <v>321</v>
      </c>
      <c r="H96" s="165" t="s">
        <v>205</v>
      </c>
      <c r="I96" s="165" t="s">
        <v>206</v>
      </c>
      <c r="J96" s="165" t="s">
        <v>809</v>
      </c>
      <c r="K96" s="165">
        <v>38.57</v>
      </c>
      <c r="L96" s="165"/>
      <c r="M96" s="165"/>
      <c r="N96" s="165"/>
      <c r="O96" s="165"/>
      <c r="P96" s="165"/>
      <c r="Q96" s="165"/>
      <c r="R96" s="165"/>
      <c r="S96" s="165"/>
      <c r="T96" s="165"/>
      <c r="U96" s="165"/>
      <c r="V96" s="165"/>
      <c r="W96" s="165"/>
      <c r="X96" s="165"/>
      <c r="Y96" s="165"/>
      <c r="Z96" s="165"/>
      <c r="AA96" s="165"/>
      <c r="AB96" s="165"/>
      <c r="AC96" s="165"/>
      <c r="AD96" s="165"/>
      <c r="AE96" s="165"/>
      <c r="AF96" s="165"/>
      <c r="AG96" s="165"/>
    </row>
    <row r="97" spans="1:22" x14ac:dyDescent="0.25">
      <c r="A97" s="165" t="s">
        <v>273</v>
      </c>
      <c r="B97" s="165" t="s">
        <v>946</v>
      </c>
      <c r="C97" s="165" t="s">
        <v>206</v>
      </c>
      <c r="D97" s="165" t="s">
        <v>210</v>
      </c>
      <c r="E97" s="165">
        <v>23.37</v>
      </c>
      <c r="F97" s="165"/>
      <c r="G97" s="165" t="s">
        <v>322</v>
      </c>
      <c r="H97" s="165" t="s">
        <v>205</v>
      </c>
      <c r="I97" s="165" t="s">
        <v>206</v>
      </c>
      <c r="J97" s="165" t="s">
        <v>809</v>
      </c>
      <c r="K97" s="165" t="s">
        <v>220</v>
      </c>
      <c r="L97" s="165"/>
      <c r="M97" s="165"/>
      <c r="N97" s="165"/>
      <c r="O97" s="165"/>
      <c r="P97" s="165"/>
      <c r="Q97" s="165"/>
      <c r="R97" s="165"/>
      <c r="S97" s="165"/>
      <c r="T97" s="165"/>
      <c r="U97" s="165"/>
      <c r="V97" s="165"/>
    </row>
    <row r="98" spans="1:22" x14ac:dyDescent="0.25">
      <c r="A98" s="165" t="s">
        <v>274</v>
      </c>
      <c r="B98" s="165" t="s">
        <v>205</v>
      </c>
      <c r="C98" s="165" t="s">
        <v>206</v>
      </c>
      <c r="D98" s="165" t="s">
        <v>809</v>
      </c>
      <c r="E98" s="165">
        <v>33.46</v>
      </c>
      <c r="F98" s="165"/>
      <c r="G98" s="165" t="s">
        <v>204</v>
      </c>
      <c r="H98" s="165" t="s">
        <v>946</v>
      </c>
      <c r="I98" s="165" t="s">
        <v>206</v>
      </c>
      <c r="J98" s="165" t="s">
        <v>210</v>
      </c>
      <c r="K98" s="165">
        <v>23.22</v>
      </c>
      <c r="L98" s="165">
        <f>AVERAGE(K98:K101)</f>
        <v>23.5425</v>
      </c>
      <c r="M98" s="165">
        <f>STDEV(K98:K101)</f>
        <v>0.53356505382817887</v>
      </c>
      <c r="N98" s="165"/>
      <c r="O98" s="165"/>
      <c r="P98" s="165"/>
      <c r="Q98" s="165"/>
      <c r="R98" s="165"/>
      <c r="S98" s="165"/>
      <c r="T98" s="165"/>
      <c r="U98" s="165"/>
      <c r="V98" s="165"/>
    </row>
    <row r="99" spans="1:22" x14ac:dyDescent="0.25">
      <c r="A99" s="165" t="s">
        <v>274</v>
      </c>
      <c r="B99" s="165" t="s">
        <v>946</v>
      </c>
      <c r="C99" s="165" t="s">
        <v>206</v>
      </c>
      <c r="D99" s="165" t="s">
        <v>210</v>
      </c>
      <c r="E99" s="165">
        <v>22.17</v>
      </c>
      <c r="F99" s="165"/>
      <c r="G99" s="165" t="s">
        <v>211</v>
      </c>
      <c r="H99" s="165" t="s">
        <v>946</v>
      </c>
      <c r="I99" s="165" t="s">
        <v>206</v>
      </c>
      <c r="J99" s="165" t="s">
        <v>210</v>
      </c>
      <c r="K99" s="165">
        <v>23.58</v>
      </c>
      <c r="L99" s="165"/>
      <c r="M99" s="165"/>
      <c r="N99" s="165"/>
      <c r="O99" s="165"/>
      <c r="P99" s="165"/>
      <c r="Q99" s="165"/>
      <c r="R99" s="165"/>
      <c r="S99" s="165"/>
      <c r="T99" s="165"/>
      <c r="U99" s="165"/>
      <c r="V99" s="165"/>
    </row>
    <row r="100" spans="1:22" x14ac:dyDescent="0.25">
      <c r="A100" s="165" t="s">
        <v>275</v>
      </c>
      <c r="B100" s="165" t="s">
        <v>205</v>
      </c>
      <c r="C100" s="165" t="s">
        <v>206</v>
      </c>
      <c r="D100" s="165" t="s">
        <v>809</v>
      </c>
      <c r="E100" s="165">
        <v>33.65</v>
      </c>
      <c r="F100" s="165"/>
      <c r="G100" s="165" t="s">
        <v>212</v>
      </c>
      <c r="H100" s="165" t="s">
        <v>946</v>
      </c>
      <c r="I100" s="165" t="s">
        <v>206</v>
      </c>
      <c r="J100" s="165" t="s">
        <v>210</v>
      </c>
      <c r="K100" s="165">
        <v>23.09</v>
      </c>
      <c r="L100" s="165"/>
      <c r="M100" s="165"/>
      <c r="N100" s="165"/>
      <c r="O100" s="165"/>
      <c r="P100" s="165"/>
      <c r="Q100" s="165"/>
      <c r="R100" s="165"/>
      <c r="S100" s="165"/>
      <c r="T100" s="165"/>
      <c r="U100" s="165"/>
      <c r="V100" s="165"/>
    </row>
    <row r="101" spans="1:22" x14ac:dyDescent="0.25">
      <c r="A101" s="165" t="s">
        <v>275</v>
      </c>
      <c r="B101" s="165" t="s">
        <v>946</v>
      </c>
      <c r="C101" s="165" t="s">
        <v>206</v>
      </c>
      <c r="D101" s="165" t="s">
        <v>210</v>
      </c>
      <c r="E101" s="165">
        <v>22.91</v>
      </c>
      <c r="F101" s="165"/>
      <c r="G101" s="165" t="s">
        <v>213</v>
      </c>
      <c r="H101" s="165" t="s">
        <v>946</v>
      </c>
      <c r="I101" s="165" t="s">
        <v>206</v>
      </c>
      <c r="J101" s="165" t="s">
        <v>210</v>
      </c>
      <c r="K101" s="165">
        <v>24.28</v>
      </c>
      <c r="L101" s="165"/>
      <c r="M101" s="165"/>
      <c r="N101" s="165"/>
      <c r="O101" s="165"/>
      <c r="P101" s="165"/>
      <c r="Q101" s="165"/>
      <c r="R101" s="165"/>
      <c r="S101" s="165"/>
      <c r="T101" s="165"/>
      <c r="U101" s="165"/>
      <c r="V101" s="165"/>
    </row>
    <row r="102" spans="1:22" x14ac:dyDescent="0.25">
      <c r="A102" s="165" t="s">
        <v>276</v>
      </c>
      <c r="B102" s="165" t="s">
        <v>205</v>
      </c>
      <c r="C102" s="165" t="s">
        <v>206</v>
      </c>
      <c r="D102" s="165" t="s">
        <v>809</v>
      </c>
      <c r="E102" s="165">
        <v>33.94</v>
      </c>
      <c r="F102" s="165"/>
      <c r="G102" s="165" t="s">
        <v>214</v>
      </c>
      <c r="H102" s="165" t="s">
        <v>946</v>
      </c>
      <c r="I102" s="165" t="s">
        <v>206</v>
      </c>
      <c r="J102" s="165" t="s">
        <v>210</v>
      </c>
      <c r="K102" s="165">
        <v>23.15</v>
      </c>
      <c r="L102" s="165">
        <f>AVERAGE(K102:K105)</f>
        <v>23.52</v>
      </c>
      <c r="M102" s="165">
        <f>STDEV(K102:K105)</f>
        <v>0.3546829570193642</v>
      </c>
      <c r="N102" s="165"/>
      <c r="O102" s="165"/>
      <c r="P102" s="165"/>
      <c r="Q102" s="165"/>
      <c r="R102" s="165"/>
      <c r="S102" s="165"/>
      <c r="T102" s="165"/>
      <c r="U102" s="165"/>
      <c r="V102" s="165"/>
    </row>
    <row r="103" spans="1:22" x14ac:dyDescent="0.25">
      <c r="A103" s="165" t="s">
        <v>276</v>
      </c>
      <c r="B103" s="165" t="s">
        <v>946</v>
      </c>
      <c r="C103" s="165" t="s">
        <v>206</v>
      </c>
      <c r="D103" s="165" t="s">
        <v>210</v>
      </c>
      <c r="E103" s="165">
        <v>23.14</v>
      </c>
      <c r="F103" s="165"/>
      <c r="G103" s="165" t="s">
        <v>215</v>
      </c>
      <c r="H103" s="165" t="s">
        <v>946</v>
      </c>
      <c r="I103" s="165" t="s">
        <v>206</v>
      </c>
      <c r="J103" s="165" t="s">
        <v>210</v>
      </c>
      <c r="K103" s="165">
        <v>23.3</v>
      </c>
      <c r="L103" s="165"/>
      <c r="M103" s="165"/>
      <c r="N103" s="165"/>
      <c r="O103" s="165"/>
      <c r="P103" s="165"/>
      <c r="Q103" s="165"/>
      <c r="R103" s="165"/>
      <c r="S103" s="165"/>
      <c r="T103" s="165"/>
      <c r="U103" s="165"/>
      <c r="V103" s="165"/>
    </row>
    <row r="104" spans="1:22" x14ac:dyDescent="0.25">
      <c r="A104" s="165" t="s">
        <v>277</v>
      </c>
      <c r="B104" s="165" t="s">
        <v>205</v>
      </c>
      <c r="C104" s="165" t="s">
        <v>206</v>
      </c>
      <c r="D104" s="165" t="s">
        <v>809</v>
      </c>
      <c r="E104" s="165">
        <v>34.58</v>
      </c>
      <c r="F104" s="165"/>
      <c r="G104" s="165" t="s">
        <v>216</v>
      </c>
      <c r="H104" s="165" t="s">
        <v>946</v>
      </c>
      <c r="I104" s="165" t="s">
        <v>206</v>
      </c>
      <c r="J104" s="165" t="s">
        <v>210</v>
      </c>
      <c r="K104" s="165">
        <v>23.72</v>
      </c>
      <c r="L104" s="165"/>
      <c r="M104" s="165"/>
      <c r="N104" s="165"/>
      <c r="O104" s="165"/>
      <c r="P104" s="107" t="s">
        <v>724</v>
      </c>
      <c r="Q104" s="107" t="s">
        <v>725</v>
      </c>
      <c r="R104" s="107" t="s">
        <v>343</v>
      </c>
      <c r="S104" s="107" t="s">
        <v>726</v>
      </c>
      <c r="T104" s="118" t="s">
        <v>203</v>
      </c>
      <c r="U104" s="118" t="s">
        <v>727</v>
      </c>
      <c r="V104" s="118" t="s">
        <v>737</v>
      </c>
    </row>
    <row r="105" spans="1:22" x14ac:dyDescent="0.25">
      <c r="A105" s="165" t="s">
        <v>277</v>
      </c>
      <c r="B105" s="165" t="s">
        <v>946</v>
      </c>
      <c r="C105" s="165" t="s">
        <v>206</v>
      </c>
      <c r="D105" s="165" t="s">
        <v>210</v>
      </c>
      <c r="E105" s="165">
        <v>23.24</v>
      </c>
      <c r="F105" s="165"/>
      <c r="G105" s="165" t="s">
        <v>217</v>
      </c>
      <c r="H105" s="165" t="s">
        <v>946</v>
      </c>
      <c r="I105" s="165" t="s">
        <v>206</v>
      </c>
      <c r="J105" s="165" t="s">
        <v>210</v>
      </c>
      <c r="K105" s="165">
        <v>23.91</v>
      </c>
      <c r="L105" s="165"/>
      <c r="M105" s="165"/>
      <c r="N105" s="165"/>
      <c r="O105" s="165"/>
      <c r="P105" s="107">
        <v>500</v>
      </c>
      <c r="Q105" s="107">
        <v>500</v>
      </c>
      <c r="R105" s="107">
        <v>50</v>
      </c>
      <c r="S105" s="107" t="str">
        <f>P105&amp;"_"&amp;Q105&amp;"_"&amp;R105</f>
        <v>500_500_50</v>
      </c>
      <c r="T105" s="165">
        <v>23.5425</v>
      </c>
      <c r="U105" s="165">
        <v>0.53356505382817887</v>
      </c>
      <c r="V105" s="165">
        <f>2*U105</f>
        <v>1.0671301076563577</v>
      </c>
    </row>
    <row r="106" spans="1:22" x14ac:dyDescent="0.25">
      <c r="A106" s="165" t="s">
        <v>278</v>
      </c>
      <c r="B106" s="165" t="s">
        <v>205</v>
      </c>
      <c r="C106" s="165" t="s">
        <v>206</v>
      </c>
      <c r="D106" s="165" t="s">
        <v>809</v>
      </c>
      <c r="E106" s="165">
        <v>33.369999999999997</v>
      </c>
      <c r="F106" s="165"/>
      <c r="G106" s="165" t="s">
        <v>218</v>
      </c>
      <c r="H106" s="165" t="s">
        <v>946</v>
      </c>
      <c r="I106" s="165" t="s">
        <v>206</v>
      </c>
      <c r="J106" s="165" t="s">
        <v>210</v>
      </c>
      <c r="K106" s="165">
        <v>22.75</v>
      </c>
      <c r="L106" s="165">
        <f>AVERAGE(K106:K109)</f>
        <v>23.327499999999997</v>
      </c>
      <c r="M106" s="165">
        <f>STDEV(K106:K109)</f>
        <v>0.49741833500585847</v>
      </c>
      <c r="N106" s="165"/>
      <c r="O106" s="165"/>
      <c r="P106" s="107">
        <v>400</v>
      </c>
      <c r="Q106" s="107">
        <v>400</v>
      </c>
      <c r="R106" s="107">
        <v>50</v>
      </c>
      <c r="S106" s="107" t="str">
        <f t="shared" ref="S106:S122" si="12">P106&amp;"_"&amp;Q106&amp;"_"&amp;R106</f>
        <v>400_400_50</v>
      </c>
      <c r="T106" s="165">
        <v>23.52</v>
      </c>
      <c r="U106" s="165">
        <v>0.3546829570193642</v>
      </c>
      <c r="V106" s="165">
        <f t="shared" ref="V106:V122" si="13">2*U106</f>
        <v>0.7093659140387284</v>
      </c>
    </row>
    <row r="107" spans="1:22" x14ac:dyDescent="0.25">
      <c r="A107" s="165" t="s">
        <v>278</v>
      </c>
      <c r="B107" s="165" t="s">
        <v>946</v>
      </c>
      <c r="C107" s="165" t="s">
        <v>206</v>
      </c>
      <c r="D107" s="165" t="s">
        <v>210</v>
      </c>
      <c r="E107" s="165">
        <v>22.47</v>
      </c>
      <c r="F107" s="165"/>
      <c r="G107" s="165" t="s">
        <v>219</v>
      </c>
      <c r="H107" s="165" t="s">
        <v>946</v>
      </c>
      <c r="I107" s="165" t="s">
        <v>206</v>
      </c>
      <c r="J107" s="165" t="s">
        <v>210</v>
      </c>
      <c r="K107" s="165">
        <v>23.96</v>
      </c>
      <c r="L107" s="165"/>
      <c r="M107" s="165"/>
      <c r="N107" s="165"/>
      <c r="O107" s="165"/>
      <c r="P107" s="107">
        <v>300</v>
      </c>
      <c r="Q107" s="107">
        <v>300</v>
      </c>
      <c r="R107" s="107">
        <v>50</v>
      </c>
      <c r="S107" s="107" t="str">
        <f t="shared" si="12"/>
        <v>300_300_50</v>
      </c>
      <c r="T107" s="165">
        <v>23.327499999999997</v>
      </c>
      <c r="U107" s="165">
        <v>0.49741833500585847</v>
      </c>
      <c r="V107" s="165">
        <f t="shared" si="13"/>
        <v>0.99483667001171694</v>
      </c>
    </row>
    <row r="108" spans="1:22" x14ac:dyDescent="0.25">
      <c r="A108" s="165" t="s">
        <v>279</v>
      </c>
      <c r="B108" s="165" t="s">
        <v>205</v>
      </c>
      <c r="C108" s="165" t="s">
        <v>206</v>
      </c>
      <c r="D108" s="165" t="s">
        <v>809</v>
      </c>
      <c r="E108" s="165">
        <v>33.4</v>
      </c>
      <c r="F108" s="165"/>
      <c r="G108" s="165" t="s">
        <v>221</v>
      </c>
      <c r="H108" s="165" t="s">
        <v>946</v>
      </c>
      <c r="I108" s="165" t="s">
        <v>206</v>
      </c>
      <c r="J108" s="165" t="s">
        <v>210</v>
      </c>
      <c r="K108" s="165">
        <v>23.36</v>
      </c>
      <c r="L108" s="165"/>
      <c r="M108" s="165"/>
      <c r="N108" s="165"/>
      <c r="O108" s="165"/>
      <c r="P108" s="107">
        <v>500</v>
      </c>
      <c r="Q108" s="107">
        <v>500</v>
      </c>
      <c r="R108" s="107">
        <v>100</v>
      </c>
      <c r="S108" s="107" t="str">
        <f t="shared" si="12"/>
        <v>500_500_100</v>
      </c>
      <c r="T108" s="165">
        <v>23.227499999999999</v>
      </c>
      <c r="U108" s="165">
        <v>0.3563121290853476</v>
      </c>
      <c r="V108" s="165">
        <f t="shared" si="13"/>
        <v>0.71262425817069519</v>
      </c>
    </row>
    <row r="109" spans="1:22" x14ac:dyDescent="0.25">
      <c r="A109" s="165" t="s">
        <v>279</v>
      </c>
      <c r="B109" s="165" t="s">
        <v>946</v>
      </c>
      <c r="C109" s="165" t="s">
        <v>206</v>
      </c>
      <c r="D109" s="165" t="s">
        <v>210</v>
      </c>
      <c r="E109" s="165">
        <v>23.55</v>
      </c>
      <c r="F109" s="165"/>
      <c r="G109" s="165" t="s">
        <v>222</v>
      </c>
      <c r="H109" s="165" t="s">
        <v>946</v>
      </c>
      <c r="I109" s="165" t="s">
        <v>206</v>
      </c>
      <c r="J109" s="165" t="s">
        <v>210</v>
      </c>
      <c r="K109" s="165">
        <v>23.24</v>
      </c>
      <c r="L109" s="165"/>
      <c r="M109" s="165"/>
      <c r="N109" s="165"/>
      <c r="O109" s="165"/>
      <c r="P109" s="107">
        <v>400</v>
      </c>
      <c r="Q109" s="107">
        <v>400</v>
      </c>
      <c r="R109" s="107">
        <v>100</v>
      </c>
      <c r="S109" s="107" t="str">
        <f t="shared" si="12"/>
        <v>400_400_100</v>
      </c>
      <c r="T109" s="165">
        <v>23.392500000000002</v>
      </c>
      <c r="U109" s="165">
        <v>0.19889276842895307</v>
      </c>
      <c r="V109" s="165">
        <f t="shared" si="13"/>
        <v>0.39778553685790613</v>
      </c>
    </row>
    <row r="110" spans="1:22" x14ac:dyDescent="0.25">
      <c r="A110" s="165" t="s">
        <v>280</v>
      </c>
      <c r="B110" s="165" t="s">
        <v>205</v>
      </c>
      <c r="C110" s="165" t="s">
        <v>206</v>
      </c>
      <c r="D110" s="165" t="s">
        <v>809</v>
      </c>
      <c r="E110" s="165">
        <v>34.29</v>
      </c>
      <c r="F110" s="165"/>
      <c r="G110" s="165" t="s">
        <v>223</v>
      </c>
      <c r="H110" s="165" t="s">
        <v>946</v>
      </c>
      <c r="I110" s="165" t="s">
        <v>206</v>
      </c>
      <c r="J110" s="165" t="s">
        <v>210</v>
      </c>
      <c r="K110" s="165">
        <v>22.73</v>
      </c>
      <c r="L110" s="165">
        <f>AVERAGE(K110:K113)</f>
        <v>23.227499999999999</v>
      </c>
      <c r="M110" s="165">
        <f>STDEV(K110:K113)</f>
        <v>0.3563121290853476</v>
      </c>
      <c r="N110" s="165"/>
      <c r="O110" s="165"/>
      <c r="P110" s="107">
        <v>300</v>
      </c>
      <c r="Q110" s="107">
        <v>300</v>
      </c>
      <c r="R110" s="107">
        <v>100</v>
      </c>
      <c r="S110" s="107" t="str">
        <f t="shared" si="12"/>
        <v>300_300_100</v>
      </c>
      <c r="T110" s="165">
        <v>23.1525</v>
      </c>
      <c r="U110" s="165">
        <v>0.61802777715353052</v>
      </c>
      <c r="V110" s="165">
        <f t="shared" si="13"/>
        <v>1.236055554307061</v>
      </c>
    </row>
    <row r="111" spans="1:22" x14ac:dyDescent="0.25">
      <c r="A111" s="165" t="s">
        <v>280</v>
      </c>
      <c r="B111" s="165" t="s">
        <v>946</v>
      </c>
      <c r="C111" s="165" t="s">
        <v>206</v>
      </c>
      <c r="D111" s="165" t="s">
        <v>210</v>
      </c>
      <c r="E111" s="165">
        <v>23.6</v>
      </c>
      <c r="F111" s="165"/>
      <c r="G111" s="165" t="s">
        <v>234</v>
      </c>
      <c r="H111" s="165" t="s">
        <v>946</v>
      </c>
      <c r="I111" s="165" t="s">
        <v>206</v>
      </c>
      <c r="J111" s="165" t="s">
        <v>210</v>
      </c>
      <c r="K111" s="165">
        <v>23.35</v>
      </c>
      <c r="L111" s="165"/>
      <c r="M111" s="165"/>
      <c r="N111" s="165"/>
      <c r="O111" s="165"/>
      <c r="P111" s="107">
        <v>500</v>
      </c>
      <c r="Q111" s="107">
        <v>500</v>
      </c>
      <c r="R111" s="107">
        <v>200</v>
      </c>
      <c r="S111" s="107" t="str">
        <f t="shared" si="12"/>
        <v>500_500_200</v>
      </c>
      <c r="T111" s="165">
        <v>23.127500000000001</v>
      </c>
      <c r="U111" s="165">
        <v>0.42789212036057211</v>
      </c>
      <c r="V111" s="165">
        <f t="shared" si="13"/>
        <v>0.85578424072114423</v>
      </c>
    </row>
    <row r="112" spans="1:22" x14ac:dyDescent="0.25">
      <c r="A112" s="165" t="s">
        <v>281</v>
      </c>
      <c r="B112" s="165" t="s">
        <v>205</v>
      </c>
      <c r="C112" s="165" t="s">
        <v>206</v>
      </c>
      <c r="D112" s="165" t="s">
        <v>809</v>
      </c>
      <c r="E112" s="165">
        <v>34.54</v>
      </c>
      <c r="F112" s="165"/>
      <c r="G112" s="165" t="s">
        <v>235</v>
      </c>
      <c r="H112" s="165" t="s">
        <v>946</v>
      </c>
      <c r="I112" s="165" t="s">
        <v>206</v>
      </c>
      <c r="J112" s="165" t="s">
        <v>210</v>
      </c>
      <c r="K112" s="165">
        <v>23.26</v>
      </c>
      <c r="L112" s="165"/>
      <c r="M112" s="165"/>
      <c r="N112" s="165"/>
      <c r="O112" s="165"/>
      <c r="P112" s="107">
        <v>400</v>
      </c>
      <c r="Q112" s="107">
        <v>400</v>
      </c>
      <c r="R112" s="107">
        <v>200</v>
      </c>
      <c r="S112" s="107" t="str">
        <f t="shared" si="12"/>
        <v>400_400_200</v>
      </c>
      <c r="T112" s="165">
        <v>23.209999999999997</v>
      </c>
      <c r="U112" s="165">
        <v>0.31527765540868907</v>
      </c>
      <c r="V112" s="165">
        <f t="shared" si="13"/>
        <v>0.63055531081737815</v>
      </c>
    </row>
    <row r="113" spans="1:22" x14ac:dyDescent="0.25">
      <c r="A113" s="165" t="s">
        <v>281</v>
      </c>
      <c r="B113" s="165" t="s">
        <v>946</v>
      </c>
      <c r="C113" s="165" t="s">
        <v>206</v>
      </c>
      <c r="D113" s="165" t="s">
        <v>210</v>
      </c>
      <c r="E113" s="165">
        <v>23.1</v>
      </c>
      <c r="F113" s="165"/>
      <c r="G113" s="165" t="s">
        <v>236</v>
      </c>
      <c r="H113" s="165" t="s">
        <v>946</v>
      </c>
      <c r="I113" s="165" t="s">
        <v>206</v>
      </c>
      <c r="J113" s="165" t="s">
        <v>210</v>
      </c>
      <c r="K113" s="165">
        <v>23.57</v>
      </c>
      <c r="L113" s="165"/>
      <c r="M113" s="165"/>
      <c r="N113" s="165"/>
      <c r="O113" s="165"/>
      <c r="P113" s="107">
        <v>300</v>
      </c>
      <c r="Q113" s="107">
        <v>300</v>
      </c>
      <c r="R113" s="107">
        <v>200</v>
      </c>
      <c r="S113" s="107" t="str">
        <f t="shared" si="12"/>
        <v>300_300_200</v>
      </c>
      <c r="T113" s="165">
        <v>23.169999999999998</v>
      </c>
      <c r="U113" s="165">
        <v>0.34360830412937721</v>
      </c>
      <c r="V113" s="165">
        <f t="shared" si="13"/>
        <v>0.68721660825875441</v>
      </c>
    </row>
    <row r="114" spans="1:22" x14ac:dyDescent="0.25">
      <c r="A114" s="165" t="s">
        <v>282</v>
      </c>
      <c r="B114" s="165" t="s">
        <v>205</v>
      </c>
      <c r="C114" s="165" t="s">
        <v>206</v>
      </c>
      <c r="D114" s="165" t="s">
        <v>809</v>
      </c>
      <c r="E114" s="165">
        <v>32.43</v>
      </c>
      <c r="F114" s="165"/>
      <c r="G114" s="165" t="s">
        <v>237</v>
      </c>
      <c r="H114" s="165" t="s">
        <v>946</v>
      </c>
      <c r="I114" s="165" t="s">
        <v>206</v>
      </c>
      <c r="J114" s="165" t="s">
        <v>210</v>
      </c>
      <c r="K114" s="165">
        <v>23.63</v>
      </c>
      <c r="L114" s="165">
        <f>AVERAGE(K114:K117)</f>
        <v>23.392500000000002</v>
      </c>
      <c r="M114" s="165">
        <f>STDEV(K114:K117)</f>
        <v>0.19889276842895307</v>
      </c>
      <c r="N114" s="165"/>
      <c r="O114" s="165"/>
      <c r="P114" s="107">
        <v>500</v>
      </c>
      <c r="Q114" s="107">
        <v>500</v>
      </c>
      <c r="R114" s="107">
        <v>400</v>
      </c>
      <c r="S114" s="107" t="str">
        <f t="shared" si="12"/>
        <v>500_500_400</v>
      </c>
      <c r="T114" s="165">
        <v>23.29</v>
      </c>
      <c r="U114" s="165">
        <v>0.39225841822281765</v>
      </c>
      <c r="V114" s="165">
        <f t="shared" si="13"/>
        <v>0.7845168364456353</v>
      </c>
    </row>
    <row r="115" spans="1:22" x14ac:dyDescent="0.25">
      <c r="A115" s="165" t="s">
        <v>282</v>
      </c>
      <c r="B115" s="165" t="s">
        <v>946</v>
      </c>
      <c r="C115" s="165" t="s">
        <v>206</v>
      </c>
      <c r="D115" s="165" t="s">
        <v>210</v>
      </c>
      <c r="E115" s="165">
        <v>23.03</v>
      </c>
      <c r="F115" s="165"/>
      <c r="G115" s="165" t="s">
        <v>238</v>
      </c>
      <c r="H115" s="165" t="s">
        <v>946</v>
      </c>
      <c r="I115" s="165" t="s">
        <v>206</v>
      </c>
      <c r="J115" s="165" t="s">
        <v>210</v>
      </c>
      <c r="K115" s="165">
        <v>23.26</v>
      </c>
      <c r="L115" s="165"/>
      <c r="M115" s="165"/>
      <c r="N115" s="165"/>
      <c r="O115" s="165"/>
      <c r="P115" s="107">
        <v>400</v>
      </c>
      <c r="Q115" s="107">
        <v>400</v>
      </c>
      <c r="R115" s="107">
        <v>400</v>
      </c>
      <c r="S115" s="107" t="str">
        <f t="shared" si="12"/>
        <v>400_400_400</v>
      </c>
      <c r="T115" s="165">
        <v>22.6675</v>
      </c>
      <c r="U115" s="165">
        <v>0.66984450932038531</v>
      </c>
      <c r="V115" s="165">
        <f t="shared" si="13"/>
        <v>1.3396890186407706</v>
      </c>
    </row>
    <row r="116" spans="1:22" x14ac:dyDescent="0.25">
      <c r="A116" s="165" t="s">
        <v>283</v>
      </c>
      <c r="B116" s="165" t="s">
        <v>205</v>
      </c>
      <c r="C116" s="165" t="s">
        <v>206</v>
      </c>
      <c r="D116" s="165" t="s">
        <v>809</v>
      </c>
      <c r="E116" s="165">
        <v>32.9</v>
      </c>
      <c r="F116" s="165"/>
      <c r="G116" s="165" t="s">
        <v>239</v>
      </c>
      <c r="H116" s="165" t="s">
        <v>946</v>
      </c>
      <c r="I116" s="165" t="s">
        <v>206</v>
      </c>
      <c r="J116" s="165" t="s">
        <v>210</v>
      </c>
      <c r="K116" s="165">
        <v>23.48</v>
      </c>
      <c r="L116" s="165"/>
      <c r="M116" s="165"/>
      <c r="N116" s="165"/>
      <c r="O116" s="165"/>
      <c r="P116" s="107">
        <v>300</v>
      </c>
      <c r="Q116" s="107">
        <v>300</v>
      </c>
      <c r="R116" s="107">
        <v>400</v>
      </c>
      <c r="S116" s="107" t="str">
        <f t="shared" si="12"/>
        <v>300_300_400</v>
      </c>
      <c r="T116" s="165">
        <v>22.842500000000001</v>
      </c>
      <c r="U116" s="165">
        <v>0.51480578862324411</v>
      </c>
      <c r="V116" s="165">
        <f t="shared" si="13"/>
        <v>1.0296115772464882</v>
      </c>
    </row>
    <row r="117" spans="1:22" x14ac:dyDescent="0.25">
      <c r="A117" s="165" t="s">
        <v>283</v>
      </c>
      <c r="B117" s="165" t="s">
        <v>946</v>
      </c>
      <c r="C117" s="165" t="s">
        <v>206</v>
      </c>
      <c r="D117" s="165" t="s">
        <v>210</v>
      </c>
      <c r="E117" s="165">
        <v>22.85</v>
      </c>
      <c r="F117" s="165"/>
      <c r="G117" s="165" t="s">
        <v>242</v>
      </c>
      <c r="H117" s="165" t="s">
        <v>946</v>
      </c>
      <c r="I117" s="165" t="s">
        <v>206</v>
      </c>
      <c r="J117" s="165" t="s">
        <v>210</v>
      </c>
      <c r="K117" s="165">
        <v>23.2</v>
      </c>
      <c r="L117" s="165"/>
      <c r="M117" s="165"/>
      <c r="N117" s="165"/>
      <c r="O117" s="165"/>
      <c r="P117" s="107">
        <v>500</v>
      </c>
      <c r="Q117" s="107">
        <v>500</v>
      </c>
      <c r="R117" s="107">
        <v>600</v>
      </c>
      <c r="S117" s="107" t="str">
        <f t="shared" si="12"/>
        <v>500_500_600</v>
      </c>
      <c r="T117" s="165">
        <v>22.864999999999998</v>
      </c>
      <c r="U117" s="165">
        <v>0.48349422609444426</v>
      </c>
      <c r="V117" s="165">
        <f t="shared" si="13"/>
        <v>0.96698845218888851</v>
      </c>
    </row>
    <row r="118" spans="1:22" x14ac:dyDescent="0.25">
      <c r="A118" s="165" t="s">
        <v>284</v>
      </c>
      <c r="B118" s="165" t="s">
        <v>205</v>
      </c>
      <c r="C118" s="165" t="s">
        <v>206</v>
      </c>
      <c r="D118" s="165" t="s">
        <v>809</v>
      </c>
      <c r="E118" s="165">
        <v>32.909999999999997</v>
      </c>
      <c r="F118" s="165"/>
      <c r="G118" s="165" t="s">
        <v>243</v>
      </c>
      <c r="H118" s="165" t="s">
        <v>946</v>
      </c>
      <c r="I118" s="165" t="s">
        <v>206</v>
      </c>
      <c r="J118" s="165" t="s">
        <v>210</v>
      </c>
      <c r="K118" s="165">
        <v>22.58</v>
      </c>
      <c r="L118" s="165">
        <f>AVERAGE(K118:K121)</f>
        <v>23.1525</v>
      </c>
      <c r="M118" s="165">
        <f>STDEV(K118:K121)</f>
        <v>0.61802777715353052</v>
      </c>
      <c r="N118" s="165"/>
      <c r="O118" s="165"/>
      <c r="P118" s="107">
        <v>400</v>
      </c>
      <c r="Q118" s="107">
        <v>400</v>
      </c>
      <c r="R118" s="107">
        <v>600</v>
      </c>
      <c r="S118" s="107" t="str">
        <f t="shared" si="12"/>
        <v>400_400_600</v>
      </c>
      <c r="T118" s="165">
        <v>23.18</v>
      </c>
      <c r="U118" s="165">
        <v>0.52402290026295706</v>
      </c>
      <c r="V118" s="165">
        <f t="shared" si="13"/>
        <v>1.0480458005259141</v>
      </c>
    </row>
    <row r="119" spans="1:22" x14ac:dyDescent="0.25">
      <c r="A119" s="165" t="s">
        <v>284</v>
      </c>
      <c r="B119" s="165" t="s">
        <v>946</v>
      </c>
      <c r="C119" s="165" t="s">
        <v>206</v>
      </c>
      <c r="D119" s="165" t="s">
        <v>210</v>
      </c>
      <c r="E119" s="165">
        <v>22.91</v>
      </c>
      <c r="F119" s="165"/>
      <c r="G119" s="165" t="s">
        <v>244</v>
      </c>
      <c r="H119" s="165" t="s">
        <v>946</v>
      </c>
      <c r="I119" s="165" t="s">
        <v>206</v>
      </c>
      <c r="J119" s="165" t="s">
        <v>210</v>
      </c>
      <c r="K119" s="165">
        <v>22.9</v>
      </c>
      <c r="L119" s="165"/>
      <c r="M119" s="165"/>
      <c r="N119" s="165"/>
      <c r="O119" s="165"/>
      <c r="P119" s="107">
        <v>300</v>
      </c>
      <c r="Q119" s="107">
        <v>300</v>
      </c>
      <c r="R119" s="107">
        <v>600</v>
      </c>
      <c r="S119" s="107" t="str">
        <f t="shared" si="12"/>
        <v>300_300_600</v>
      </c>
      <c r="T119" s="165">
        <v>23.025000000000002</v>
      </c>
      <c r="U119" s="165">
        <v>0.20420577856662037</v>
      </c>
      <c r="V119" s="165">
        <f t="shared" si="13"/>
        <v>0.40841155713324073</v>
      </c>
    </row>
    <row r="120" spans="1:22" x14ac:dyDescent="0.25">
      <c r="A120" s="165" t="s">
        <v>285</v>
      </c>
      <c r="B120" s="165" t="s">
        <v>205</v>
      </c>
      <c r="C120" s="165" t="s">
        <v>206</v>
      </c>
      <c r="D120" s="165" t="s">
        <v>809</v>
      </c>
      <c r="E120" s="165">
        <v>33.1</v>
      </c>
      <c r="F120" s="165"/>
      <c r="G120" s="165" t="s">
        <v>245</v>
      </c>
      <c r="H120" s="165" t="s">
        <v>946</v>
      </c>
      <c r="I120" s="165" t="s">
        <v>206</v>
      </c>
      <c r="J120" s="165" t="s">
        <v>210</v>
      </c>
      <c r="K120" s="165">
        <v>23.11</v>
      </c>
      <c r="L120" s="165"/>
      <c r="M120" s="165"/>
      <c r="N120" s="165"/>
      <c r="O120" s="165"/>
      <c r="P120" s="107">
        <v>500</v>
      </c>
      <c r="Q120" s="107">
        <v>500</v>
      </c>
      <c r="R120" s="107">
        <v>800</v>
      </c>
      <c r="S120" s="107" t="str">
        <f t="shared" si="12"/>
        <v>500_500_800</v>
      </c>
      <c r="T120" s="165">
        <v>23.5975</v>
      </c>
      <c r="U120" s="165">
        <v>0.59762725283686058</v>
      </c>
      <c r="V120" s="165">
        <f t="shared" si="13"/>
        <v>1.1952545056737212</v>
      </c>
    </row>
    <row r="121" spans="1:22" x14ac:dyDescent="0.25">
      <c r="A121" s="165" t="s">
        <v>285</v>
      </c>
      <c r="B121" s="165" t="s">
        <v>946</v>
      </c>
      <c r="C121" s="165" t="s">
        <v>206</v>
      </c>
      <c r="D121" s="165" t="s">
        <v>210</v>
      </c>
      <c r="E121" s="165">
        <v>23.31</v>
      </c>
      <c r="F121" s="165"/>
      <c r="G121" s="165" t="s">
        <v>247</v>
      </c>
      <c r="H121" s="165" t="s">
        <v>946</v>
      </c>
      <c r="I121" s="165" t="s">
        <v>206</v>
      </c>
      <c r="J121" s="165" t="s">
        <v>210</v>
      </c>
      <c r="K121" s="165">
        <v>24.02</v>
      </c>
      <c r="L121" s="165"/>
      <c r="M121" s="165"/>
      <c r="N121" s="165"/>
      <c r="O121" s="165"/>
      <c r="P121" s="107">
        <v>400</v>
      </c>
      <c r="Q121" s="107">
        <v>400</v>
      </c>
      <c r="R121" s="107">
        <v>800</v>
      </c>
      <c r="S121" s="107" t="str">
        <f t="shared" si="12"/>
        <v>400_400_800</v>
      </c>
      <c r="T121" s="165">
        <v>23.9575</v>
      </c>
      <c r="U121" s="165">
        <v>0.31127426277587811</v>
      </c>
      <c r="V121" s="165">
        <f t="shared" si="13"/>
        <v>0.62254852555175622</v>
      </c>
    </row>
    <row r="122" spans="1:22" x14ac:dyDescent="0.25">
      <c r="A122" s="165" t="s">
        <v>286</v>
      </c>
      <c r="B122" s="165" t="s">
        <v>205</v>
      </c>
      <c r="C122" s="165" t="s">
        <v>206</v>
      </c>
      <c r="D122" s="165" t="s">
        <v>809</v>
      </c>
      <c r="E122" s="165">
        <v>33.36</v>
      </c>
      <c r="F122" s="165"/>
      <c r="G122" s="165" t="s">
        <v>248</v>
      </c>
      <c r="H122" s="165" t="s">
        <v>946</v>
      </c>
      <c r="I122" s="165" t="s">
        <v>206</v>
      </c>
      <c r="J122" s="165" t="s">
        <v>210</v>
      </c>
      <c r="K122" s="165">
        <v>22.5</v>
      </c>
      <c r="L122" s="165">
        <f>AVERAGE(K122:K125)</f>
        <v>23.127500000000001</v>
      </c>
      <c r="M122" s="165">
        <f>STDEV(K122:K125)</f>
        <v>0.42789212036057211</v>
      </c>
      <c r="N122" s="165"/>
      <c r="O122" s="165"/>
      <c r="P122" s="107">
        <v>300</v>
      </c>
      <c r="Q122" s="107">
        <v>300</v>
      </c>
      <c r="R122" s="107">
        <v>800</v>
      </c>
      <c r="S122" s="107" t="str">
        <f t="shared" si="12"/>
        <v>300_300_800</v>
      </c>
      <c r="T122" s="165">
        <v>23.414999999999999</v>
      </c>
      <c r="U122" s="165">
        <v>0.48459605171042525</v>
      </c>
      <c r="V122" s="165">
        <f t="shared" si="13"/>
        <v>0.96919210342085049</v>
      </c>
    </row>
    <row r="123" spans="1:22" x14ac:dyDescent="0.25">
      <c r="A123" s="165" t="s">
        <v>286</v>
      </c>
      <c r="B123" s="165" t="s">
        <v>946</v>
      </c>
      <c r="C123" s="165" t="s">
        <v>206</v>
      </c>
      <c r="D123" s="165" t="s">
        <v>210</v>
      </c>
      <c r="E123" s="165">
        <v>23.09</v>
      </c>
      <c r="F123" s="165"/>
      <c r="G123" s="165" t="s">
        <v>249</v>
      </c>
      <c r="H123" s="165" t="s">
        <v>946</v>
      </c>
      <c r="I123" s="165" t="s">
        <v>206</v>
      </c>
      <c r="J123" s="165" t="s">
        <v>210</v>
      </c>
      <c r="K123" s="165">
        <v>23.45</v>
      </c>
      <c r="L123" s="165"/>
      <c r="M123" s="165"/>
      <c r="N123" s="165"/>
      <c r="O123" s="165"/>
      <c r="P123" s="165"/>
      <c r="Q123" s="165"/>
      <c r="R123" s="165"/>
      <c r="S123" s="165"/>
      <c r="T123" s="165"/>
      <c r="U123" s="165"/>
      <c r="V123" s="165"/>
    </row>
    <row r="124" spans="1:22" x14ac:dyDescent="0.25">
      <c r="A124" s="165" t="s">
        <v>287</v>
      </c>
      <c r="B124" s="165" t="s">
        <v>205</v>
      </c>
      <c r="C124" s="165" t="s">
        <v>206</v>
      </c>
      <c r="D124" s="165" t="s">
        <v>809</v>
      </c>
      <c r="E124" s="165">
        <v>34.29</v>
      </c>
      <c r="F124" s="165"/>
      <c r="G124" s="165" t="s">
        <v>250</v>
      </c>
      <c r="H124" s="165" t="s">
        <v>946</v>
      </c>
      <c r="I124" s="165" t="s">
        <v>206</v>
      </c>
      <c r="J124" s="165" t="s">
        <v>210</v>
      </c>
      <c r="K124" s="165">
        <v>23.23</v>
      </c>
      <c r="L124" s="165"/>
      <c r="M124" s="165"/>
      <c r="N124" s="165"/>
      <c r="O124" s="165"/>
      <c r="P124" s="165"/>
      <c r="Q124" s="165"/>
      <c r="R124" s="165"/>
      <c r="S124" s="165"/>
      <c r="T124" s="165"/>
      <c r="U124" s="165"/>
      <c r="V124" s="165"/>
    </row>
    <row r="125" spans="1:22" x14ac:dyDescent="0.25">
      <c r="A125" s="165" t="s">
        <v>287</v>
      </c>
      <c r="B125" s="165" t="s">
        <v>946</v>
      </c>
      <c r="C125" s="165" t="s">
        <v>206</v>
      </c>
      <c r="D125" s="165" t="s">
        <v>210</v>
      </c>
      <c r="E125" s="165">
        <v>24.33</v>
      </c>
      <c r="F125" s="165"/>
      <c r="G125" s="165" t="s">
        <v>251</v>
      </c>
      <c r="H125" s="165" t="s">
        <v>946</v>
      </c>
      <c r="I125" s="165" t="s">
        <v>206</v>
      </c>
      <c r="J125" s="165" t="s">
        <v>210</v>
      </c>
      <c r="K125" s="165">
        <v>23.33</v>
      </c>
      <c r="L125" s="165"/>
      <c r="M125" s="165"/>
      <c r="N125" s="165"/>
      <c r="O125" s="165"/>
      <c r="P125" s="165"/>
      <c r="Q125" s="165"/>
      <c r="R125" s="165"/>
      <c r="S125" s="165"/>
      <c r="T125" s="165"/>
      <c r="U125" s="165"/>
      <c r="V125" s="165"/>
    </row>
    <row r="126" spans="1:22" x14ac:dyDescent="0.25">
      <c r="A126" s="165" t="s">
        <v>288</v>
      </c>
      <c r="B126" s="165" t="s">
        <v>205</v>
      </c>
      <c r="C126" s="165" t="s">
        <v>206</v>
      </c>
      <c r="D126" s="165" t="s">
        <v>809</v>
      </c>
      <c r="E126" s="165">
        <v>34.04</v>
      </c>
      <c r="F126" s="165"/>
      <c r="G126" s="165" t="s">
        <v>252</v>
      </c>
      <c r="H126" s="165" t="s">
        <v>946</v>
      </c>
      <c r="I126" s="165" t="s">
        <v>206</v>
      </c>
      <c r="J126" s="165" t="s">
        <v>210</v>
      </c>
      <c r="K126" s="165">
        <v>23.28</v>
      </c>
      <c r="L126" s="165">
        <f>AVERAGE(K126:K129)</f>
        <v>23.209999999999997</v>
      </c>
      <c r="M126" s="165">
        <f>STDEV(K126:K129)</f>
        <v>0.31527765540868907</v>
      </c>
      <c r="N126" s="165"/>
      <c r="O126" s="165"/>
      <c r="P126" s="165"/>
      <c r="Q126" s="165"/>
      <c r="R126" s="165"/>
      <c r="S126" s="165"/>
      <c r="T126" s="165"/>
      <c r="U126" s="165"/>
      <c r="V126" s="165"/>
    </row>
    <row r="127" spans="1:22" x14ac:dyDescent="0.25">
      <c r="A127" s="165" t="s">
        <v>288</v>
      </c>
      <c r="B127" s="165" t="s">
        <v>946</v>
      </c>
      <c r="C127" s="165" t="s">
        <v>206</v>
      </c>
      <c r="D127" s="165" t="s">
        <v>210</v>
      </c>
      <c r="E127" s="165">
        <v>23.13</v>
      </c>
      <c r="F127" s="165"/>
      <c r="G127" s="165" t="s">
        <v>253</v>
      </c>
      <c r="H127" s="165" t="s">
        <v>946</v>
      </c>
      <c r="I127" s="165" t="s">
        <v>206</v>
      </c>
      <c r="J127" s="165" t="s">
        <v>210</v>
      </c>
      <c r="K127" s="165">
        <v>22.77</v>
      </c>
      <c r="L127" s="165"/>
      <c r="M127" s="165"/>
      <c r="N127" s="165"/>
      <c r="O127" s="165"/>
      <c r="P127" s="165"/>
      <c r="Q127" s="165"/>
      <c r="R127" s="165"/>
      <c r="S127" s="165"/>
      <c r="T127" s="165"/>
      <c r="U127" s="165"/>
      <c r="V127" s="165"/>
    </row>
    <row r="128" spans="1:22" x14ac:dyDescent="0.25">
      <c r="A128" s="165" t="s">
        <v>289</v>
      </c>
      <c r="B128" s="165" t="s">
        <v>205</v>
      </c>
      <c r="C128" s="165" t="s">
        <v>206</v>
      </c>
      <c r="D128" s="165" t="s">
        <v>809</v>
      </c>
      <c r="E128" s="165">
        <v>34.28</v>
      </c>
      <c r="F128" s="165"/>
      <c r="G128" s="165" t="s">
        <v>254</v>
      </c>
      <c r="H128" s="165" t="s">
        <v>946</v>
      </c>
      <c r="I128" s="165" t="s">
        <v>206</v>
      </c>
      <c r="J128" s="165" t="s">
        <v>210</v>
      </c>
      <c r="K128" s="165">
        <v>23.27</v>
      </c>
      <c r="L128" s="165"/>
      <c r="M128" s="165"/>
      <c r="N128" s="165"/>
      <c r="O128" s="165"/>
      <c r="P128" s="165"/>
      <c r="Q128" s="165"/>
      <c r="R128" s="165"/>
      <c r="S128" s="165"/>
      <c r="T128" s="165"/>
      <c r="U128" s="165"/>
      <c r="V128" s="165"/>
    </row>
    <row r="129" spans="1:13" x14ac:dyDescent="0.25">
      <c r="A129" s="165" t="s">
        <v>289</v>
      </c>
      <c r="B129" s="165" t="s">
        <v>946</v>
      </c>
      <c r="C129" s="165" t="s">
        <v>206</v>
      </c>
      <c r="D129" s="165" t="s">
        <v>210</v>
      </c>
      <c r="E129" s="165">
        <v>23.84</v>
      </c>
      <c r="F129" s="165"/>
      <c r="G129" s="165" t="s">
        <v>255</v>
      </c>
      <c r="H129" s="165" t="s">
        <v>946</v>
      </c>
      <c r="I129" s="165" t="s">
        <v>206</v>
      </c>
      <c r="J129" s="165" t="s">
        <v>210</v>
      </c>
      <c r="K129" s="165">
        <v>23.52</v>
      </c>
      <c r="L129" s="165"/>
      <c r="M129" s="165"/>
    </row>
    <row r="130" spans="1:13" x14ac:dyDescent="0.25">
      <c r="A130" s="165" t="s">
        <v>290</v>
      </c>
      <c r="B130" s="165" t="s">
        <v>205</v>
      </c>
      <c r="C130" s="165" t="s">
        <v>206</v>
      </c>
      <c r="D130" s="165" t="s">
        <v>809</v>
      </c>
      <c r="E130" s="165">
        <v>34.130000000000003</v>
      </c>
      <c r="F130" s="165"/>
      <c r="G130" s="165" t="s">
        <v>256</v>
      </c>
      <c r="H130" s="165" t="s">
        <v>946</v>
      </c>
      <c r="I130" s="165" t="s">
        <v>206</v>
      </c>
      <c r="J130" s="165" t="s">
        <v>210</v>
      </c>
      <c r="K130" s="165">
        <v>22.88</v>
      </c>
      <c r="L130" s="165">
        <f>AVERAGE(K130:K133)</f>
        <v>23.169999999999998</v>
      </c>
      <c r="M130" s="165">
        <f>STDEV(K130:K133)</f>
        <v>0.34360830412937721</v>
      </c>
    </row>
    <row r="131" spans="1:13" x14ac:dyDescent="0.25">
      <c r="A131" s="165" t="s">
        <v>290</v>
      </c>
      <c r="B131" s="165" t="s">
        <v>946</v>
      </c>
      <c r="C131" s="165" t="s">
        <v>206</v>
      </c>
      <c r="D131" s="165" t="s">
        <v>210</v>
      </c>
      <c r="E131" s="165">
        <v>23.59</v>
      </c>
      <c r="F131" s="165"/>
      <c r="G131" s="165" t="s">
        <v>257</v>
      </c>
      <c r="H131" s="165" t="s">
        <v>946</v>
      </c>
      <c r="I131" s="165" t="s">
        <v>206</v>
      </c>
      <c r="J131" s="165" t="s">
        <v>210</v>
      </c>
      <c r="K131" s="165">
        <v>23.52</v>
      </c>
      <c r="L131" s="165"/>
      <c r="M131" s="165"/>
    </row>
    <row r="132" spans="1:13" x14ac:dyDescent="0.25">
      <c r="A132" s="165" t="s">
        <v>291</v>
      </c>
      <c r="B132" s="165" t="s">
        <v>205</v>
      </c>
      <c r="C132" s="165" t="s">
        <v>206</v>
      </c>
      <c r="D132" s="165" t="s">
        <v>809</v>
      </c>
      <c r="E132" s="165">
        <v>34.1</v>
      </c>
      <c r="F132" s="165"/>
      <c r="G132" s="165" t="s">
        <v>258</v>
      </c>
      <c r="H132" s="165" t="s">
        <v>946</v>
      </c>
      <c r="I132" s="165" t="s">
        <v>206</v>
      </c>
      <c r="J132" s="165" t="s">
        <v>210</v>
      </c>
      <c r="K132" s="165">
        <v>22.87</v>
      </c>
      <c r="L132" s="165"/>
      <c r="M132" s="165"/>
    </row>
    <row r="133" spans="1:13" x14ac:dyDescent="0.25">
      <c r="A133" s="165" t="s">
        <v>291</v>
      </c>
      <c r="B133" s="165" t="s">
        <v>946</v>
      </c>
      <c r="C133" s="165" t="s">
        <v>206</v>
      </c>
      <c r="D133" s="165" t="s">
        <v>210</v>
      </c>
      <c r="E133" s="165">
        <v>23.84</v>
      </c>
      <c r="F133" s="165"/>
      <c r="G133" s="165" t="s">
        <v>259</v>
      </c>
      <c r="H133" s="165" t="s">
        <v>946</v>
      </c>
      <c r="I133" s="165" t="s">
        <v>206</v>
      </c>
      <c r="J133" s="165" t="s">
        <v>210</v>
      </c>
      <c r="K133" s="165">
        <v>23.41</v>
      </c>
      <c r="L133" s="165"/>
      <c r="M133" s="165"/>
    </row>
    <row r="134" spans="1:13" x14ac:dyDescent="0.25">
      <c r="A134" s="165" t="s">
        <v>292</v>
      </c>
      <c r="B134" s="165" t="s">
        <v>205</v>
      </c>
      <c r="C134" s="165" t="s">
        <v>206</v>
      </c>
      <c r="D134" s="165" t="s">
        <v>809</v>
      </c>
      <c r="E134" s="165">
        <v>34.76</v>
      </c>
      <c r="F134" s="165"/>
      <c r="G134" s="165" t="s">
        <v>260</v>
      </c>
      <c r="H134" s="165" t="s">
        <v>946</v>
      </c>
      <c r="I134" s="165" t="s">
        <v>206</v>
      </c>
      <c r="J134" s="165" t="s">
        <v>210</v>
      </c>
      <c r="K134" s="165">
        <v>22.99</v>
      </c>
      <c r="L134" s="165">
        <f>AVERAGE(K134:K137)</f>
        <v>23.29</v>
      </c>
      <c r="M134" s="165">
        <f>STDEV(K134:K137)</f>
        <v>0.39225841822281765</v>
      </c>
    </row>
    <row r="135" spans="1:13" x14ac:dyDescent="0.25">
      <c r="A135" s="165" t="s">
        <v>292</v>
      </c>
      <c r="B135" s="165" t="s">
        <v>946</v>
      </c>
      <c r="C135" s="165" t="s">
        <v>206</v>
      </c>
      <c r="D135" s="165" t="s">
        <v>210</v>
      </c>
      <c r="E135" s="165">
        <v>24.09</v>
      </c>
      <c r="F135" s="165"/>
      <c r="G135" s="165" t="s">
        <v>261</v>
      </c>
      <c r="H135" s="165" t="s">
        <v>946</v>
      </c>
      <c r="I135" s="165" t="s">
        <v>206</v>
      </c>
      <c r="J135" s="165" t="s">
        <v>210</v>
      </c>
      <c r="K135" s="165">
        <v>23.77</v>
      </c>
      <c r="L135" s="165"/>
      <c r="M135" s="165"/>
    </row>
    <row r="136" spans="1:13" x14ac:dyDescent="0.25">
      <c r="A136" s="165" t="s">
        <v>293</v>
      </c>
      <c r="B136" s="165" t="s">
        <v>205</v>
      </c>
      <c r="C136" s="165" t="s">
        <v>206</v>
      </c>
      <c r="D136" s="165" t="s">
        <v>809</v>
      </c>
      <c r="E136" s="165">
        <v>34.24</v>
      </c>
      <c r="F136" s="165"/>
      <c r="G136" s="165" t="s">
        <v>262</v>
      </c>
      <c r="H136" s="165" t="s">
        <v>946</v>
      </c>
      <c r="I136" s="165" t="s">
        <v>206</v>
      </c>
      <c r="J136" s="165" t="s">
        <v>210</v>
      </c>
      <c r="K136" s="165">
        <v>22.95</v>
      </c>
      <c r="L136" s="165"/>
      <c r="M136" s="165"/>
    </row>
    <row r="137" spans="1:13" x14ac:dyDescent="0.25">
      <c r="A137" s="165" t="s">
        <v>293</v>
      </c>
      <c r="B137" s="165" t="s">
        <v>946</v>
      </c>
      <c r="C137" s="165" t="s">
        <v>206</v>
      </c>
      <c r="D137" s="165" t="s">
        <v>210</v>
      </c>
      <c r="E137" s="165">
        <v>24.31</v>
      </c>
      <c r="F137" s="165"/>
      <c r="G137" s="165" t="s">
        <v>263</v>
      </c>
      <c r="H137" s="165" t="s">
        <v>946</v>
      </c>
      <c r="I137" s="165" t="s">
        <v>206</v>
      </c>
      <c r="J137" s="165" t="s">
        <v>210</v>
      </c>
      <c r="K137" s="165">
        <v>23.45</v>
      </c>
      <c r="L137" s="165"/>
      <c r="M137" s="165"/>
    </row>
    <row r="138" spans="1:13" x14ac:dyDescent="0.25">
      <c r="A138" s="165" t="s">
        <v>294</v>
      </c>
      <c r="B138" s="165" t="s">
        <v>205</v>
      </c>
      <c r="C138" s="165" t="s">
        <v>206</v>
      </c>
      <c r="D138" s="165" t="s">
        <v>809</v>
      </c>
      <c r="E138" s="165">
        <v>32.08</v>
      </c>
      <c r="F138" s="165"/>
      <c r="G138" s="165" t="s">
        <v>264</v>
      </c>
      <c r="H138" s="165" t="s">
        <v>946</v>
      </c>
      <c r="I138" s="165" t="s">
        <v>206</v>
      </c>
      <c r="J138" s="165" t="s">
        <v>210</v>
      </c>
      <c r="K138" s="165">
        <v>22.69</v>
      </c>
      <c r="L138" s="165">
        <f>AVERAGE(K138:K141)</f>
        <v>22.6675</v>
      </c>
      <c r="M138" s="165">
        <f>STDEV(K138:K141)</f>
        <v>0.66984450932038531</v>
      </c>
    </row>
    <row r="139" spans="1:13" x14ac:dyDescent="0.25">
      <c r="A139" s="165" t="s">
        <v>294</v>
      </c>
      <c r="B139" s="165" t="s">
        <v>946</v>
      </c>
      <c r="C139" s="165" t="s">
        <v>206</v>
      </c>
      <c r="D139" s="165" t="s">
        <v>210</v>
      </c>
      <c r="E139" s="165">
        <v>23.65</v>
      </c>
      <c r="F139" s="165"/>
      <c r="G139" s="165" t="s">
        <v>265</v>
      </c>
      <c r="H139" s="165" t="s">
        <v>946</v>
      </c>
      <c r="I139" s="165" t="s">
        <v>206</v>
      </c>
      <c r="J139" s="165" t="s">
        <v>210</v>
      </c>
      <c r="K139" s="165">
        <v>21.72</v>
      </c>
      <c r="L139" s="165"/>
      <c r="M139" s="165"/>
    </row>
    <row r="140" spans="1:13" x14ac:dyDescent="0.25">
      <c r="A140" s="165" t="s">
        <v>295</v>
      </c>
      <c r="B140" s="165" t="s">
        <v>205</v>
      </c>
      <c r="C140" s="165" t="s">
        <v>206</v>
      </c>
      <c r="D140" s="165" t="s">
        <v>809</v>
      </c>
      <c r="E140" s="165">
        <v>31.91</v>
      </c>
      <c r="F140" s="165"/>
      <c r="G140" s="165" t="s">
        <v>266</v>
      </c>
      <c r="H140" s="165" t="s">
        <v>946</v>
      </c>
      <c r="I140" s="165" t="s">
        <v>206</v>
      </c>
      <c r="J140" s="165" t="s">
        <v>210</v>
      </c>
      <c r="K140" s="165">
        <v>23.03</v>
      </c>
      <c r="L140" s="165"/>
      <c r="M140" s="165"/>
    </row>
    <row r="141" spans="1:13" x14ac:dyDescent="0.25">
      <c r="A141" s="165" t="s">
        <v>295</v>
      </c>
      <c r="B141" s="165" t="s">
        <v>946</v>
      </c>
      <c r="C141" s="165" t="s">
        <v>206</v>
      </c>
      <c r="D141" s="165" t="s">
        <v>210</v>
      </c>
      <c r="E141" s="165">
        <v>23.18</v>
      </c>
      <c r="F141" s="165"/>
      <c r="G141" s="165" t="s">
        <v>267</v>
      </c>
      <c r="H141" s="165" t="s">
        <v>946</v>
      </c>
      <c r="I141" s="165" t="s">
        <v>206</v>
      </c>
      <c r="J141" s="165" t="s">
        <v>210</v>
      </c>
      <c r="K141" s="165">
        <v>23.23</v>
      </c>
      <c r="L141" s="165"/>
      <c r="M141" s="165"/>
    </row>
    <row r="142" spans="1:13" x14ac:dyDescent="0.25">
      <c r="A142" s="165" t="s">
        <v>296</v>
      </c>
      <c r="B142" s="165" t="s">
        <v>205</v>
      </c>
      <c r="C142" s="165" t="s">
        <v>206</v>
      </c>
      <c r="D142" s="165" t="s">
        <v>809</v>
      </c>
      <c r="E142" s="165">
        <v>32.64</v>
      </c>
      <c r="F142" s="165"/>
      <c r="G142" s="165" t="s">
        <v>268</v>
      </c>
      <c r="H142" s="165" t="s">
        <v>946</v>
      </c>
      <c r="I142" s="165" t="s">
        <v>206</v>
      </c>
      <c r="J142" s="165" t="s">
        <v>210</v>
      </c>
      <c r="K142" s="165">
        <v>22.29</v>
      </c>
      <c r="L142" s="165">
        <f>AVERAGE(K142:K145)</f>
        <v>22.842500000000001</v>
      </c>
      <c r="M142" s="165">
        <f>STDEV(K142:K145)</f>
        <v>0.51480578862324411</v>
      </c>
    </row>
    <row r="143" spans="1:13" x14ac:dyDescent="0.25">
      <c r="A143" s="165" t="s">
        <v>296</v>
      </c>
      <c r="B143" s="165" t="s">
        <v>946</v>
      </c>
      <c r="C143" s="165" t="s">
        <v>206</v>
      </c>
      <c r="D143" s="165" t="s">
        <v>210</v>
      </c>
      <c r="E143" s="165">
        <v>22.87</v>
      </c>
      <c r="F143" s="165"/>
      <c r="G143" s="165" t="s">
        <v>270</v>
      </c>
      <c r="H143" s="165" t="s">
        <v>946</v>
      </c>
      <c r="I143" s="165" t="s">
        <v>206</v>
      </c>
      <c r="J143" s="165" t="s">
        <v>210</v>
      </c>
      <c r="K143" s="165">
        <v>22.53</v>
      </c>
      <c r="L143" s="165"/>
      <c r="M143" s="165"/>
    </row>
    <row r="144" spans="1:13" x14ac:dyDescent="0.25">
      <c r="A144" s="165" t="s">
        <v>297</v>
      </c>
      <c r="B144" s="165" t="s">
        <v>205</v>
      </c>
      <c r="C144" s="165" t="s">
        <v>206</v>
      </c>
      <c r="D144" s="165" t="s">
        <v>809</v>
      </c>
      <c r="E144" s="165">
        <v>32.35</v>
      </c>
      <c r="F144" s="165"/>
      <c r="G144" s="165" t="s">
        <v>272</v>
      </c>
      <c r="H144" s="165" t="s">
        <v>946</v>
      </c>
      <c r="I144" s="165" t="s">
        <v>206</v>
      </c>
      <c r="J144" s="165" t="s">
        <v>210</v>
      </c>
      <c r="K144" s="165">
        <v>23.18</v>
      </c>
      <c r="L144" s="165"/>
      <c r="M144" s="165"/>
    </row>
    <row r="145" spans="1:13" x14ac:dyDescent="0.25">
      <c r="A145" s="165" t="s">
        <v>297</v>
      </c>
      <c r="B145" s="165" t="s">
        <v>946</v>
      </c>
      <c r="C145" s="165" t="s">
        <v>206</v>
      </c>
      <c r="D145" s="165" t="s">
        <v>210</v>
      </c>
      <c r="E145" s="165">
        <v>23.96</v>
      </c>
      <c r="F145" s="165"/>
      <c r="G145" s="165" t="s">
        <v>273</v>
      </c>
      <c r="H145" s="165" t="s">
        <v>946</v>
      </c>
      <c r="I145" s="165" t="s">
        <v>206</v>
      </c>
      <c r="J145" s="165" t="s">
        <v>210</v>
      </c>
      <c r="K145" s="165">
        <v>23.37</v>
      </c>
      <c r="L145" s="165"/>
      <c r="M145" s="165"/>
    </row>
    <row r="146" spans="1:13" x14ac:dyDescent="0.25">
      <c r="A146" s="165" t="s">
        <v>298</v>
      </c>
      <c r="B146" s="165" t="s">
        <v>205</v>
      </c>
      <c r="C146" s="165" t="s">
        <v>206</v>
      </c>
      <c r="D146" s="165" t="s">
        <v>809</v>
      </c>
      <c r="E146" s="165">
        <v>12.48</v>
      </c>
      <c r="F146" s="165"/>
      <c r="G146" s="165" t="s">
        <v>274</v>
      </c>
      <c r="H146" s="165" t="s">
        <v>946</v>
      </c>
      <c r="I146" s="165" t="s">
        <v>206</v>
      </c>
      <c r="J146" s="165" t="s">
        <v>210</v>
      </c>
      <c r="K146" s="165">
        <v>22.17</v>
      </c>
      <c r="L146" s="165">
        <f>AVERAGE(K146:K149)</f>
        <v>22.864999999999998</v>
      </c>
      <c r="M146" s="165">
        <f>STDEV(K146:K149)</f>
        <v>0.48349422609444426</v>
      </c>
    </row>
    <row r="147" spans="1:13" x14ac:dyDescent="0.25">
      <c r="A147" s="165" t="s">
        <v>298</v>
      </c>
      <c r="B147" s="165" t="s">
        <v>946</v>
      </c>
      <c r="C147" s="165" t="s">
        <v>206</v>
      </c>
      <c r="D147" s="165" t="s">
        <v>210</v>
      </c>
      <c r="E147" s="165">
        <v>23.41</v>
      </c>
      <c r="F147" s="165"/>
      <c r="G147" s="165" t="s">
        <v>275</v>
      </c>
      <c r="H147" s="165" t="s">
        <v>946</v>
      </c>
      <c r="I147" s="165" t="s">
        <v>206</v>
      </c>
      <c r="J147" s="165" t="s">
        <v>210</v>
      </c>
      <c r="K147" s="165">
        <v>22.91</v>
      </c>
      <c r="L147" s="165"/>
      <c r="M147" s="165"/>
    </row>
    <row r="148" spans="1:13" x14ac:dyDescent="0.25">
      <c r="A148" s="165" t="s">
        <v>299</v>
      </c>
      <c r="B148" s="165" t="s">
        <v>205</v>
      </c>
      <c r="C148" s="165" t="s">
        <v>206</v>
      </c>
      <c r="D148" s="165" t="s">
        <v>809</v>
      </c>
      <c r="E148" s="165">
        <v>12.22</v>
      </c>
      <c r="F148" s="165"/>
      <c r="G148" s="165" t="s">
        <v>276</v>
      </c>
      <c r="H148" s="165" t="s">
        <v>946</v>
      </c>
      <c r="I148" s="165" t="s">
        <v>206</v>
      </c>
      <c r="J148" s="165" t="s">
        <v>210</v>
      </c>
      <c r="K148" s="165">
        <v>23.14</v>
      </c>
      <c r="L148" s="165"/>
      <c r="M148" s="165"/>
    </row>
    <row r="149" spans="1:13" x14ac:dyDescent="0.25">
      <c r="A149" s="165" t="s">
        <v>299</v>
      </c>
      <c r="B149" s="165" t="s">
        <v>946</v>
      </c>
      <c r="C149" s="165" t="s">
        <v>206</v>
      </c>
      <c r="D149" s="165" t="s">
        <v>210</v>
      </c>
      <c r="E149" s="165">
        <v>23.3</v>
      </c>
      <c r="F149" s="165"/>
      <c r="G149" s="165" t="s">
        <v>277</v>
      </c>
      <c r="H149" s="165" t="s">
        <v>946</v>
      </c>
      <c r="I149" s="165" t="s">
        <v>206</v>
      </c>
      <c r="J149" s="165" t="s">
        <v>210</v>
      </c>
      <c r="K149" s="165">
        <v>23.24</v>
      </c>
      <c r="L149" s="165"/>
      <c r="M149" s="165"/>
    </row>
    <row r="150" spans="1:13" x14ac:dyDescent="0.25">
      <c r="A150" s="165" t="s">
        <v>300</v>
      </c>
      <c r="B150" s="165" t="s">
        <v>205</v>
      </c>
      <c r="C150" s="165" t="s">
        <v>206</v>
      </c>
      <c r="D150" s="165" t="s">
        <v>809</v>
      </c>
      <c r="E150" s="165">
        <v>11.17</v>
      </c>
      <c r="F150" s="165"/>
      <c r="G150" s="165" t="s">
        <v>278</v>
      </c>
      <c r="H150" s="165" t="s">
        <v>946</v>
      </c>
      <c r="I150" s="165" t="s">
        <v>206</v>
      </c>
      <c r="J150" s="165" t="s">
        <v>210</v>
      </c>
      <c r="K150" s="165">
        <v>22.47</v>
      </c>
      <c r="L150" s="165">
        <f>AVERAGE(K150:K153)</f>
        <v>23.18</v>
      </c>
      <c r="M150" s="165">
        <f>STDEV(K150:K153)</f>
        <v>0.52402290026295706</v>
      </c>
    </row>
    <row r="151" spans="1:13" x14ac:dyDescent="0.25">
      <c r="A151" s="165" t="s">
        <v>300</v>
      </c>
      <c r="B151" s="165" t="s">
        <v>946</v>
      </c>
      <c r="C151" s="165" t="s">
        <v>206</v>
      </c>
      <c r="D151" s="165" t="s">
        <v>210</v>
      </c>
      <c r="E151" s="165">
        <v>23.59</v>
      </c>
      <c r="F151" s="165"/>
      <c r="G151" s="165" t="s">
        <v>279</v>
      </c>
      <c r="H151" s="165" t="s">
        <v>946</v>
      </c>
      <c r="I151" s="165" t="s">
        <v>206</v>
      </c>
      <c r="J151" s="165" t="s">
        <v>210</v>
      </c>
      <c r="K151" s="165">
        <v>23.55</v>
      </c>
      <c r="L151" s="165"/>
      <c r="M151" s="165"/>
    </row>
    <row r="152" spans="1:13" x14ac:dyDescent="0.25">
      <c r="A152" s="165" t="s">
        <v>301</v>
      </c>
      <c r="B152" s="165" t="s">
        <v>205</v>
      </c>
      <c r="C152" s="165" t="s">
        <v>206</v>
      </c>
      <c r="D152" s="165" t="s">
        <v>809</v>
      </c>
      <c r="E152" s="165">
        <v>15.69</v>
      </c>
      <c r="F152" s="165"/>
      <c r="G152" s="165" t="s">
        <v>280</v>
      </c>
      <c r="H152" s="165" t="s">
        <v>946</v>
      </c>
      <c r="I152" s="165" t="s">
        <v>206</v>
      </c>
      <c r="J152" s="165" t="s">
        <v>210</v>
      </c>
      <c r="K152" s="165">
        <v>23.6</v>
      </c>
      <c r="L152" s="165"/>
      <c r="M152" s="165"/>
    </row>
    <row r="153" spans="1:13" x14ac:dyDescent="0.25">
      <c r="A153" s="165" t="s">
        <v>301</v>
      </c>
      <c r="B153" s="165" t="s">
        <v>946</v>
      </c>
      <c r="C153" s="165" t="s">
        <v>206</v>
      </c>
      <c r="D153" s="165" t="s">
        <v>210</v>
      </c>
      <c r="E153" s="165">
        <v>23.05</v>
      </c>
      <c r="F153" s="165"/>
      <c r="G153" s="165" t="s">
        <v>281</v>
      </c>
      <c r="H153" s="165" t="s">
        <v>946</v>
      </c>
      <c r="I153" s="165" t="s">
        <v>206</v>
      </c>
      <c r="J153" s="165" t="s">
        <v>210</v>
      </c>
      <c r="K153" s="165">
        <v>23.1</v>
      </c>
      <c r="L153" s="165"/>
      <c r="M153" s="165"/>
    </row>
    <row r="154" spans="1:13" x14ac:dyDescent="0.25">
      <c r="A154" s="165" t="s">
        <v>302</v>
      </c>
      <c r="B154" s="165" t="s">
        <v>205</v>
      </c>
      <c r="C154" s="165" t="s">
        <v>206</v>
      </c>
      <c r="D154" s="165" t="s">
        <v>809</v>
      </c>
      <c r="E154" s="165">
        <v>15.8</v>
      </c>
      <c r="F154" s="165"/>
      <c r="G154" s="165" t="s">
        <v>282</v>
      </c>
      <c r="H154" s="165" t="s">
        <v>946</v>
      </c>
      <c r="I154" s="165" t="s">
        <v>206</v>
      </c>
      <c r="J154" s="165" t="s">
        <v>210</v>
      </c>
      <c r="K154" s="165">
        <v>23.03</v>
      </c>
      <c r="L154" s="165">
        <f>AVERAGE(K154:K157)</f>
        <v>23.025000000000002</v>
      </c>
      <c r="M154" s="165">
        <f>STDEV(K154:K157)</f>
        <v>0.20420577856662037</v>
      </c>
    </row>
    <row r="155" spans="1:13" x14ac:dyDescent="0.25">
      <c r="A155" s="165" t="s">
        <v>302</v>
      </c>
      <c r="B155" s="165" t="s">
        <v>946</v>
      </c>
      <c r="C155" s="165" t="s">
        <v>206</v>
      </c>
      <c r="D155" s="165" t="s">
        <v>210</v>
      </c>
      <c r="E155" s="165">
        <v>23.39</v>
      </c>
      <c r="F155" s="165"/>
      <c r="G155" s="165" t="s">
        <v>283</v>
      </c>
      <c r="H155" s="165" t="s">
        <v>946</v>
      </c>
      <c r="I155" s="165" t="s">
        <v>206</v>
      </c>
      <c r="J155" s="165" t="s">
        <v>210</v>
      </c>
      <c r="K155" s="165">
        <v>22.85</v>
      </c>
      <c r="L155" s="165"/>
      <c r="M155" s="165"/>
    </row>
    <row r="156" spans="1:13" x14ac:dyDescent="0.25">
      <c r="A156" s="165" t="s">
        <v>303</v>
      </c>
      <c r="B156" s="165" t="s">
        <v>205</v>
      </c>
      <c r="C156" s="165" t="s">
        <v>206</v>
      </c>
      <c r="D156" s="165" t="s">
        <v>809</v>
      </c>
      <c r="E156" s="165">
        <v>15.63</v>
      </c>
      <c r="F156" s="165"/>
      <c r="G156" s="165" t="s">
        <v>284</v>
      </c>
      <c r="H156" s="165" t="s">
        <v>946</v>
      </c>
      <c r="I156" s="165" t="s">
        <v>206</v>
      </c>
      <c r="J156" s="165" t="s">
        <v>210</v>
      </c>
      <c r="K156" s="165">
        <v>22.91</v>
      </c>
      <c r="L156" s="165"/>
      <c r="M156" s="165"/>
    </row>
    <row r="157" spans="1:13" x14ac:dyDescent="0.25">
      <c r="A157" s="165" t="s">
        <v>303</v>
      </c>
      <c r="B157" s="165" t="s">
        <v>946</v>
      </c>
      <c r="C157" s="165" t="s">
        <v>206</v>
      </c>
      <c r="D157" s="165" t="s">
        <v>210</v>
      </c>
      <c r="E157" s="165">
        <v>23.44</v>
      </c>
      <c r="F157" s="165"/>
      <c r="G157" s="165" t="s">
        <v>285</v>
      </c>
      <c r="H157" s="165" t="s">
        <v>946</v>
      </c>
      <c r="I157" s="165" t="s">
        <v>206</v>
      </c>
      <c r="J157" s="165" t="s">
        <v>210</v>
      </c>
      <c r="K157" s="165">
        <v>23.31</v>
      </c>
      <c r="L157" s="165"/>
      <c r="M157" s="165"/>
    </row>
    <row r="158" spans="1:13" x14ac:dyDescent="0.25">
      <c r="A158" s="165" t="s">
        <v>304</v>
      </c>
      <c r="B158" s="165" t="s">
        <v>205</v>
      </c>
      <c r="C158" s="165" t="s">
        <v>206</v>
      </c>
      <c r="D158" s="165" t="s">
        <v>809</v>
      </c>
      <c r="E158" s="165">
        <v>20.37</v>
      </c>
      <c r="F158" s="165"/>
      <c r="G158" s="165" t="s">
        <v>286</v>
      </c>
      <c r="H158" s="165" t="s">
        <v>946</v>
      </c>
      <c r="I158" s="165" t="s">
        <v>206</v>
      </c>
      <c r="J158" s="165" t="s">
        <v>210</v>
      </c>
      <c r="K158" s="165">
        <v>23.09</v>
      </c>
      <c r="L158" s="165">
        <f>AVERAGE(K158:K161)</f>
        <v>23.5975</v>
      </c>
      <c r="M158" s="165">
        <f>STDEV(K158:K161)</f>
        <v>0.59762725283686058</v>
      </c>
    </row>
    <row r="159" spans="1:13" x14ac:dyDescent="0.25">
      <c r="A159" s="165" t="s">
        <v>304</v>
      </c>
      <c r="B159" s="165" t="s">
        <v>946</v>
      </c>
      <c r="C159" s="165" t="s">
        <v>206</v>
      </c>
      <c r="D159" s="165" t="s">
        <v>210</v>
      </c>
      <c r="E159" s="165">
        <v>22.96</v>
      </c>
      <c r="F159" s="165"/>
      <c r="G159" s="165" t="s">
        <v>287</v>
      </c>
      <c r="H159" s="165" t="s">
        <v>946</v>
      </c>
      <c r="I159" s="165" t="s">
        <v>206</v>
      </c>
      <c r="J159" s="165" t="s">
        <v>210</v>
      </c>
      <c r="K159" s="165">
        <v>24.33</v>
      </c>
      <c r="L159" s="165"/>
      <c r="M159" s="165"/>
    </row>
    <row r="160" spans="1:13" x14ac:dyDescent="0.25">
      <c r="A160" s="165" t="s">
        <v>305</v>
      </c>
      <c r="B160" s="165" t="s">
        <v>205</v>
      </c>
      <c r="C160" s="165" t="s">
        <v>206</v>
      </c>
      <c r="D160" s="165" t="s">
        <v>809</v>
      </c>
      <c r="E160" s="165">
        <v>20.23</v>
      </c>
      <c r="F160" s="165"/>
      <c r="G160" s="165" t="s">
        <v>288</v>
      </c>
      <c r="H160" s="165" t="s">
        <v>946</v>
      </c>
      <c r="I160" s="165" t="s">
        <v>206</v>
      </c>
      <c r="J160" s="165" t="s">
        <v>210</v>
      </c>
      <c r="K160" s="165">
        <v>23.13</v>
      </c>
      <c r="L160" s="165"/>
      <c r="M160" s="165"/>
    </row>
    <row r="161" spans="1:13" x14ac:dyDescent="0.25">
      <c r="A161" s="165" t="s">
        <v>305</v>
      </c>
      <c r="B161" s="165" t="s">
        <v>946</v>
      </c>
      <c r="C161" s="165" t="s">
        <v>206</v>
      </c>
      <c r="D161" s="165" t="s">
        <v>210</v>
      </c>
      <c r="E161" s="165">
        <v>23.64</v>
      </c>
      <c r="F161" s="165"/>
      <c r="G161" s="165" t="s">
        <v>289</v>
      </c>
      <c r="H161" s="165" t="s">
        <v>946</v>
      </c>
      <c r="I161" s="165" t="s">
        <v>206</v>
      </c>
      <c r="J161" s="165" t="s">
        <v>210</v>
      </c>
      <c r="K161" s="165">
        <v>23.84</v>
      </c>
      <c r="L161" s="165"/>
      <c r="M161" s="165"/>
    </row>
    <row r="162" spans="1:13" x14ac:dyDescent="0.25">
      <c r="A162" s="165" t="s">
        <v>306</v>
      </c>
      <c r="B162" s="165" t="s">
        <v>205</v>
      </c>
      <c r="C162" s="165" t="s">
        <v>206</v>
      </c>
      <c r="D162" s="165" t="s">
        <v>809</v>
      </c>
      <c r="E162" s="165">
        <v>20.09</v>
      </c>
      <c r="F162" s="165"/>
      <c r="G162" s="165" t="s">
        <v>290</v>
      </c>
      <c r="H162" s="165" t="s">
        <v>946</v>
      </c>
      <c r="I162" s="165" t="s">
        <v>206</v>
      </c>
      <c r="J162" s="165" t="s">
        <v>210</v>
      </c>
      <c r="K162" s="165">
        <v>23.59</v>
      </c>
      <c r="L162" s="165">
        <f>AVERAGE(K162:K165)</f>
        <v>23.9575</v>
      </c>
      <c r="M162" s="165">
        <f>STDEV(K162:K165)</f>
        <v>0.31127426277587811</v>
      </c>
    </row>
    <row r="163" spans="1:13" x14ac:dyDescent="0.25">
      <c r="A163" s="165" t="s">
        <v>306</v>
      </c>
      <c r="B163" s="165" t="s">
        <v>946</v>
      </c>
      <c r="C163" s="165" t="s">
        <v>206</v>
      </c>
      <c r="D163" s="165" t="s">
        <v>210</v>
      </c>
      <c r="E163" s="165">
        <v>23.57</v>
      </c>
      <c r="F163" s="165"/>
      <c r="G163" s="165" t="s">
        <v>291</v>
      </c>
      <c r="H163" s="165" t="s">
        <v>946</v>
      </c>
      <c r="I163" s="165" t="s">
        <v>206</v>
      </c>
      <c r="J163" s="165" t="s">
        <v>210</v>
      </c>
      <c r="K163" s="165">
        <v>23.84</v>
      </c>
      <c r="L163" s="165"/>
      <c r="M163" s="165"/>
    </row>
    <row r="164" spans="1:13" x14ac:dyDescent="0.25">
      <c r="A164" s="165" t="s">
        <v>307</v>
      </c>
      <c r="B164" s="165" t="s">
        <v>205</v>
      </c>
      <c r="C164" s="165" t="s">
        <v>206</v>
      </c>
      <c r="D164" s="165" t="s">
        <v>809</v>
      </c>
      <c r="E164" s="165">
        <v>23.39</v>
      </c>
      <c r="F164" s="165"/>
      <c r="G164" s="165" t="s">
        <v>292</v>
      </c>
      <c r="H164" s="165" t="s">
        <v>946</v>
      </c>
      <c r="I164" s="165" t="s">
        <v>206</v>
      </c>
      <c r="J164" s="165" t="s">
        <v>210</v>
      </c>
      <c r="K164" s="165">
        <v>24.09</v>
      </c>
      <c r="L164" s="165"/>
      <c r="M164" s="165"/>
    </row>
    <row r="165" spans="1:13" x14ac:dyDescent="0.25">
      <c r="A165" s="165" t="s">
        <v>307</v>
      </c>
      <c r="B165" s="165" t="s">
        <v>946</v>
      </c>
      <c r="C165" s="165" t="s">
        <v>206</v>
      </c>
      <c r="D165" s="165" t="s">
        <v>210</v>
      </c>
      <c r="E165" s="165">
        <v>22.94</v>
      </c>
      <c r="F165" s="165"/>
      <c r="G165" s="165" t="s">
        <v>293</v>
      </c>
      <c r="H165" s="165" t="s">
        <v>946</v>
      </c>
      <c r="I165" s="165" t="s">
        <v>206</v>
      </c>
      <c r="J165" s="165" t="s">
        <v>210</v>
      </c>
      <c r="K165" s="165">
        <v>24.31</v>
      </c>
      <c r="L165" s="165"/>
      <c r="M165" s="165"/>
    </row>
    <row r="166" spans="1:13" x14ac:dyDescent="0.25">
      <c r="A166" s="165" t="s">
        <v>308</v>
      </c>
      <c r="B166" s="165" t="s">
        <v>205</v>
      </c>
      <c r="C166" s="165" t="s">
        <v>206</v>
      </c>
      <c r="D166" s="165" t="s">
        <v>809</v>
      </c>
      <c r="E166" s="165">
        <v>23.47</v>
      </c>
      <c r="F166" s="165"/>
      <c r="G166" s="165" t="s">
        <v>294</v>
      </c>
      <c r="H166" s="165" t="s">
        <v>946</v>
      </c>
      <c r="I166" s="165" t="s">
        <v>206</v>
      </c>
      <c r="J166" s="165" t="s">
        <v>210</v>
      </c>
      <c r="K166" s="165">
        <v>23.65</v>
      </c>
      <c r="L166" s="165">
        <f>AVERAGE(K166:K169)</f>
        <v>23.414999999999999</v>
      </c>
      <c r="M166" s="165">
        <f>STDEV(K166:K169)</f>
        <v>0.48459605171042525</v>
      </c>
    </row>
    <row r="167" spans="1:13" x14ac:dyDescent="0.25">
      <c r="A167" s="165" t="s">
        <v>308</v>
      </c>
      <c r="B167" s="165" t="s">
        <v>946</v>
      </c>
      <c r="C167" s="165" t="s">
        <v>206</v>
      </c>
      <c r="D167" s="165" t="s">
        <v>210</v>
      </c>
      <c r="E167" s="165">
        <v>22.61</v>
      </c>
      <c r="F167" s="165"/>
      <c r="G167" s="165" t="s">
        <v>295</v>
      </c>
      <c r="H167" s="165" t="s">
        <v>946</v>
      </c>
      <c r="I167" s="165" t="s">
        <v>206</v>
      </c>
      <c r="J167" s="165" t="s">
        <v>210</v>
      </c>
      <c r="K167" s="165">
        <v>23.18</v>
      </c>
      <c r="L167" s="165"/>
      <c r="M167" s="165"/>
    </row>
    <row r="168" spans="1:13" x14ac:dyDescent="0.25">
      <c r="A168" s="165" t="s">
        <v>309</v>
      </c>
      <c r="B168" s="165" t="s">
        <v>205</v>
      </c>
      <c r="C168" s="165" t="s">
        <v>206</v>
      </c>
      <c r="D168" s="165" t="s">
        <v>809</v>
      </c>
      <c r="E168" s="165">
        <v>23.61</v>
      </c>
      <c r="F168" s="165"/>
      <c r="G168" s="165" t="s">
        <v>296</v>
      </c>
      <c r="H168" s="165" t="s">
        <v>946</v>
      </c>
      <c r="I168" s="165" t="s">
        <v>206</v>
      </c>
      <c r="J168" s="165" t="s">
        <v>210</v>
      </c>
      <c r="K168" s="165">
        <v>22.87</v>
      </c>
      <c r="L168" s="165"/>
      <c r="M168" s="165"/>
    </row>
    <row r="169" spans="1:13" x14ac:dyDescent="0.25">
      <c r="A169" s="165" t="s">
        <v>309</v>
      </c>
      <c r="B169" s="165" t="s">
        <v>946</v>
      </c>
      <c r="C169" s="165" t="s">
        <v>206</v>
      </c>
      <c r="D169" s="165" t="s">
        <v>210</v>
      </c>
      <c r="E169" s="165">
        <v>23.51</v>
      </c>
      <c r="F169" s="165"/>
      <c r="G169" s="165" t="s">
        <v>297</v>
      </c>
      <c r="H169" s="165" t="s">
        <v>946</v>
      </c>
      <c r="I169" s="165" t="s">
        <v>206</v>
      </c>
      <c r="J169" s="165" t="s">
        <v>210</v>
      </c>
      <c r="K169" s="165">
        <v>23.96</v>
      </c>
      <c r="L169" s="165"/>
      <c r="M169" s="165"/>
    </row>
    <row r="170" spans="1:13" x14ac:dyDescent="0.25">
      <c r="A170" s="165" t="s">
        <v>310</v>
      </c>
      <c r="B170" s="165" t="s">
        <v>205</v>
      </c>
      <c r="C170" s="165" t="s">
        <v>206</v>
      </c>
      <c r="D170" s="165" t="s">
        <v>809</v>
      </c>
      <c r="E170" s="165">
        <v>24.78</v>
      </c>
      <c r="F170" s="165"/>
      <c r="G170" s="165" t="s">
        <v>298</v>
      </c>
      <c r="H170" s="165" t="s">
        <v>946</v>
      </c>
      <c r="I170" s="165" t="s">
        <v>206</v>
      </c>
      <c r="J170" s="165" t="s">
        <v>210</v>
      </c>
      <c r="K170" s="165">
        <v>23.41</v>
      </c>
      <c r="L170" s="165"/>
      <c r="M170" s="165"/>
    </row>
    <row r="171" spans="1:13" x14ac:dyDescent="0.25">
      <c r="A171" s="165" t="s">
        <v>310</v>
      </c>
      <c r="B171" s="165" t="s">
        <v>946</v>
      </c>
      <c r="C171" s="165" t="s">
        <v>206</v>
      </c>
      <c r="D171" s="165" t="s">
        <v>210</v>
      </c>
      <c r="E171" s="165">
        <v>22.33</v>
      </c>
      <c r="F171" s="165"/>
      <c r="G171" s="165" t="s">
        <v>299</v>
      </c>
      <c r="H171" s="165" t="s">
        <v>946</v>
      </c>
      <c r="I171" s="165" t="s">
        <v>206</v>
      </c>
      <c r="J171" s="165" t="s">
        <v>210</v>
      </c>
      <c r="K171" s="165">
        <v>23.3</v>
      </c>
      <c r="L171" s="165"/>
      <c r="M171" s="165"/>
    </row>
    <row r="172" spans="1:13" x14ac:dyDescent="0.25">
      <c r="A172" s="165" t="s">
        <v>311</v>
      </c>
      <c r="B172" s="165" t="s">
        <v>205</v>
      </c>
      <c r="C172" s="165" t="s">
        <v>206</v>
      </c>
      <c r="D172" s="165" t="s">
        <v>809</v>
      </c>
      <c r="E172" s="165">
        <v>24.65</v>
      </c>
      <c r="F172" s="165"/>
      <c r="G172" s="165" t="s">
        <v>300</v>
      </c>
      <c r="H172" s="165" t="s">
        <v>946</v>
      </c>
      <c r="I172" s="165" t="s">
        <v>206</v>
      </c>
      <c r="J172" s="165" t="s">
        <v>210</v>
      </c>
      <c r="K172" s="165">
        <v>23.59</v>
      </c>
      <c r="L172" s="165"/>
      <c r="M172" s="165"/>
    </row>
    <row r="173" spans="1:13" x14ac:dyDescent="0.25">
      <c r="A173" s="165" t="s">
        <v>311</v>
      </c>
      <c r="B173" s="165" t="s">
        <v>946</v>
      </c>
      <c r="C173" s="165" t="s">
        <v>206</v>
      </c>
      <c r="D173" s="165" t="s">
        <v>210</v>
      </c>
      <c r="E173" s="165">
        <v>22.82</v>
      </c>
      <c r="F173" s="165"/>
      <c r="G173" s="165" t="s">
        <v>301</v>
      </c>
      <c r="H173" s="165" t="s">
        <v>946</v>
      </c>
      <c r="I173" s="165" t="s">
        <v>206</v>
      </c>
      <c r="J173" s="165" t="s">
        <v>210</v>
      </c>
      <c r="K173" s="165">
        <v>23.05</v>
      </c>
      <c r="L173" s="165"/>
      <c r="M173" s="165"/>
    </row>
    <row r="174" spans="1:13" x14ac:dyDescent="0.25">
      <c r="A174" s="165" t="s">
        <v>312</v>
      </c>
      <c r="B174" s="165" t="s">
        <v>205</v>
      </c>
      <c r="C174" s="165" t="s">
        <v>206</v>
      </c>
      <c r="D174" s="165" t="s">
        <v>809</v>
      </c>
      <c r="E174" s="165">
        <v>24.56</v>
      </c>
      <c r="F174" s="165"/>
      <c r="G174" s="165" t="s">
        <v>302</v>
      </c>
      <c r="H174" s="165" t="s">
        <v>946</v>
      </c>
      <c r="I174" s="165" t="s">
        <v>206</v>
      </c>
      <c r="J174" s="165" t="s">
        <v>210</v>
      </c>
      <c r="K174" s="165">
        <v>23.39</v>
      </c>
      <c r="L174" s="165"/>
      <c r="M174" s="165"/>
    </row>
    <row r="175" spans="1:13" x14ac:dyDescent="0.25">
      <c r="A175" s="165" t="s">
        <v>312</v>
      </c>
      <c r="B175" s="165" t="s">
        <v>946</v>
      </c>
      <c r="C175" s="165" t="s">
        <v>206</v>
      </c>
      <c r="D175" s="165" t="s">
        <v>210</v>
      </c>
      <c r="E175" s="165">
        <v>22.73</v>
      </c>
      <c r="F175" s="165"/>
      <c r="G175" s="165" t="s">
        <v>303</v>
      </c>
      <c r="H175" s="165" t="s">
        <v>946</v>
      </c>
      <c r="I175" s="165" t="s">
        <v>206</v>
      </c>
      <c r="J175" s="165" t="s">
        <v>210</v>
      </c>
      <c r="K175" s="165">
        <v>23.44</v>
      </c>
      <c r="L175" s="165"/>
      <c r="M175" s="165"/>
    </row>
    <row r="176" spans="1:13" x14ac:dyDescent="0.25">
      <c r="A176" s="165" t="s">
        <v>313</v>
      </c>
      <c r="B176" s="165" t="s">
        <v>205</v>
      </c>
      <c r="C176" s="165" t="s">
        <v>206</v>
      </c>
      <c r="D176" s="165" t="s">
        <v>809</v>
      </c>
      <c r="E176" s="165">
        <v>28.6</v>
      </c>
      <c r="F176" s="165"/>
      <c r="G176" s="165" t="s">
        <v>304</v>
      </c>
      <c r="H176" s="165" t="s">
        <v>946</v>
      </c>
      <c r="I176" s="165" t="s">
        <v>206</v>
      </c>
      <c r="J176" s="165" t="s">
        <v>210</v>
      </c>
      <c r="K176" s="165">
        <v>22.96</v>
      </c>
      <c r="L176" s="165"/>
      <c r="M176" s="165"/>
    </row>
    <row r="177" spans="1:13" x14ac:dyDescent="0.25">
      <c r="A177" s="165" t="s">
        <v>313</v>
      </c>
      <c r="B177" s="165" t="s">
        <v>946</v>
      </c>
      <c r="C177" s="165" t="s">
        <v>206</v>
      </c>
      <c r="D177" s="165" t="s">
        <v>210</v>
      </c>
      <c r="E177" s="165">
        <v>23.52</v>
      </c>
      <c r="F177" s="165"/>
      <c r="G177" s="165" t="s">
        <v>305</v>
      </c>
      <c r="H177" s="165" t="s">
        <v>946</v>
      </c>
      <c r="I177" s="165" t="s">
        <v>206</v>
      </c>
      <c r="J177" s="165" t="s">
        <v>210</v>
      </c>
      <c r="K177" s="165">
        <v>23.64</v>
      </c>
      <c r="L177" s="165"/>
      <c r="M177" s="165"/>
    </row>
    <row r="178" spans="1:13" x14ac:dyDescent="0.25">
      <c r="A178" s="165" t="s">
        <v>314</v>
      </c>
      <c r="B178" s="165" t="s">
        <v>205</v>
      </c>
      <c r="C178" s="165" t="s">
        <v>206</v>
      </c>
      <c r="D178" s="165" t="s">
        <v>809</v>
      </c>
      <c r="E178" s="165">
        <v>28.35</v>
      </c>
      <c r="F178" s="165"/>
      <c r="G178" s="165" t="s">
        <v>306</v>
      </c>
      <c r="H178" s="165" t="s">
        <v>946</v>
      </c>
      <c r="I178" s="165" t="s">
        <v>206</v>
      </c>
      <c r="J178" s="165" t="s">
        <v>210</v>
      </c>
      <c r="K178" s="165">
        <v>23.57</v>
      </c>
      <c r="L178" s="165"/>
      <c r="M178" s="165"/>
    </row>
    <row r="179" spans="1:13" x14ac:dyDescent="0.25">
      <c r="A179" s="165" t="s">
        <v>314</v>
      </c>
      <c r="B179" s="165" t="s">
        <v>946</v>
      </c>
      <c r="C179" s="165" t="s">
        <v>206</v>
      </c>
      <c r="D179" s="165" t="s">
        <v>210</v>
      </c>
      <c r="E179" s="165">
        <v>23.45</v>
      </c>
      <c r="F179" s="165"/>
      <c r="G179" s="165" t="s">
        <v>307</v>
      </c>
      <c r="H179" s="165" t="s">
        <v>946</v>
      </c>
      <c r="I179" s="165" t="s">
        <v>206</v>
      </c>
      <c r="J179" s="165" t="s">
        <v>210</v>
      </c>
      <c r="K179" s="165">
        <v>22.94</v>
      </c>
      <c r="L179" s="165"/>
      <c r="M179" s="165"/>
    </row>
    <row r="180" spans="1:13" x14ac:dyDescent="0.25">
      <c r="A180" s="165" t="s">
        <v>315</v>
      </c>
      <c r="B180" s="165" t="s">
        <v>205</v>
      </c>
      <c r="C180" s="165" t="s">
        <v>206</v>
      </c>
      <c r="D180" s="165" t="s">
        <v>809</v>
      </c>
      <c r="E180" s="165">
        <v>28.18</v>
      </c>
      <c r="F180" s="165"/>
      <c r="G180" s="165" t="s">
        <v>308</v>
      </c>
      <c r="H180" s="165" t="s">
        <v>946</v>
      </c>
      <c r="I180" s="165" t="s">
        <v>206</v>
      </c>
      <c r="J180" s="165" t="s">
        <v>210</v>
      </c>
      <c r="K180" s="165">
        <v>22.61</v>
      </c>
      <c r="L180" s="165"/>
      <c r="M180" s="165"/>
    </row>
    <row r="181" spans="1:13" x14ac:dyDescent="0.25">
      <c r="A181" s="165" t="s">
        <v>315</v>
      </c>
      <c r="B181" s="165" t="s">
        <v>946</v>
      </c>
      <c r="C181" s="165" t="s">
        <v>206</v>
      </c>
      <c r="D181" s="165" t="s">
        <v>210</v>
      </c>
      <c r="E181" s="165">
        <v>23.84</v>
      </c>
      <c r="F181" s="165"/>
      <c r="G181" s="165" t="s">
        <v>309</v>
      </c>
      <c r="H181" s="165" t="s">
        <v>946</v>
      </c>
      <c r="I181" s="165" t="s">
        <v>206</v>
      </c>
      <c r="J181" s="165" t="s">
        <v>210</v>
      </c>
      <c r="K181" s="165">
        <v>23.51</v>
      </c>
      <c r="L181" s="165"/>
      <c r="M181" s="165"/>
    </row>
    <row r="182" spans="1:13" x14ac:dyDescent="0.25">
      <c r="A182" s="165" t="s">
        <v>316</v>
      </c>
      <c r="B182" s="165" t="s">
        <v>205</v>
      </c>
      <c r="C182" s="165" t="s">
        <v>206</v>
      </c>
      <c r="D182" s="165" t="s">
        <v>809</v>
      </c>
      <c r="E182" s="165">
        <v>32.51</v>
      </c>
      <c r="F182" s="165"/>
      <c r="G182" s="165" t="s">
        <v>310</v>
      </c>
      <c r="H182" s="165" t="s">
        <v>946</v>
      </c>
      <c r="I182" s="165" t="s">
        <v>206</v>
      </c>
      <c r="J182" s="165" t="s">
        <v>210</v>
      </c>
      <c r="K182" s="165">
        <v>22.33</v>
      </c>
      <c r="L182" s="165"/>
      <c r="M182" s="165"/>
    </row>
    <row r="183" spans="1:13" x14ac:dyDescent="0.25">
      <c r="A183" s="165" t="s">
        <v>316</v>
      </c>
      <c r="B183" s="165" t="s">
        <v>946</v>
      </c>
      <c r="C183" s="165" t="s">
        <v>206</v>
      </c>
      <c r="D183" s="165" t="s">
        <v>210</v>
      </c>
      <c r="E183" s="165">
        <v>23.62</v>
      </c>
      <c r="F183" s="165"/>
      <c r="G183" s="165" t="s">
        <v>311</v>
      </c>
      <c r="H183" s="165" t="s">
        <v>946</v>
      </c>
      <c r="I183" s="165" t="s">
        <v>206</v>
      </c>
      <c r="J183" s="165" t="s">
        <v>210</v>
      </c>
      <c r="K183" s="165">
        <v>22.82</v>
      </c>
      <c r="L183" s="165"/>
      <c r="M183" s="165"/>
    </row>
    <row r="184" spans="1:13" x14ac:dyDescent="0.25">
      <c r="A184" s="165" t="s">
        <v>317</v>
      </c>
      <c r="B184" s="165" t="s">
        <v>205</v>
      </c>
      <c r="C184" s="165" t="s">
        <v>206</v>
      </c>
      <c r="D184" s="165" t="s">
        <v>809</v>
      </c>
      <c r="E184" s="165">
        <v>32.57</v>
      </c>
      <c r="F184" s="165"/>
      <c r="G184" s="165" t="s">
        <v>312</v>
      </c>
      <c r="H184" s="165" t="s">
        <v>946</v>
      </c>
      <c r="I184" s="165" t="s">
        <v>206</v>
      </c>
      <c r="J184" s="165" t="s">
        <v>210</v>
      </c>
      <c r="K184" s="165">
        <v>22.73</v>
      </c>
      <c r="L184" s="165"/>
      <c r="M184" s="165"/>
    </row>
    <row r="185" spans="1:13" x14ac:dyDescent="0.25">
      <c r="A185" s="165" t="s">
        <v>317</v>
      </c>
      <c r="B185" s="165" t="s">
        <v>946</v>
      </c>
      <c r="C185" s="165" t="s">
        <v>206</v>
      </c>
      <c r="D185" s="165" t="s">
        <v>210</v>
      </c>
      <c r="E185" s="165">
        <v>23.5</v>
      </c>
      <c r="F185" s="165"/>
      <c r="G185" s="165" t="s">
        <v>313</v>
      </c>
      <c r="H185" s="165" t="s">
        <v>946</v>
      </c>
      <c r="I185" s="165" t="s">
        <v>206</v>
      </c>
      <c r="J185" s="165" t="s">
        <v>210</v>
      </c>
      <c r="K185" s="165">
        <v>23.52</v>
      </c>
      <c r="L185" s="165"/>
      <c r="M185" s="165"/>
    </row>
    <row r="186" spans="1:13" x14ac:dyDescent="0.25">
      <c r="A186" s="165" t="s">
        <v>318</v>
      </c>
      <c r="B186" s="165" t="s">
        <v>205</v>
      </c>
      <c r="C186" s="165" t="s">
        <v>206</v>
      </c>
      <c r="D186" s="165" t="s">
        <v>809</v>
      </c>
      <c r="E186" s="165">
        <v>31.75</v>
      </c>
      <c r="F186" s="165"/>
      <c r="G186" s="165" t="s">
        <v>314</v>
      </c>
      <c r="H186" s="165" t="s">
        <v>946</v>
      </c>
      <c r="I186" s="165" t="s">
        <v>206</v>
      </c>
      <c r="J186" s="165" t="s">
        <v>210</v>
      </c>
      <c r="K186" s="165">
        <v>23.45</v>
      </c>
      <c r="L186" s="165"/>
      <c r="M186" s="165"/>
    </row>
    <row r="187" spans="1:13" x14ac:dyDescent="0.25">
      <c r="A187" s="165" t="s">
        <v>318</v>
      </c>
      <c r="B187" s="165" t="s">
        <v>946</v>
      </c>
      <c r="C187" s="165" t="s">
        <v>206</v>
      </c>
      <c r="D187" s="165" t="s">
        <v>210</v>
      </c>
      <c r="E187" s="165">
        <v>23.5</v>
      </c>
      <c r="F187" s="165"/>
      <c r="G187" s="165" t="s">
        <v>315</v>
      </c>
      <c r="H187" s="165" t="s">
        <v>946</v>
      </c>
      <c r="I187" s="165" t="s">
        <v>206</v>
      </c>
      <c r="J187" s="165" t="s">
        <v>210</v>
      </c>
      <c r="K187" s="165">
        <v>23.84</v>
      </c>
      <c r="L187" s="165"/>
      <c r="M187" s="165"/>
    </row>
    <row r="188" spans="1:13" x14ac:dyDescent="0.25">
      <c r="A188" s="165" t="s">
        <v>319</v>
      </c>
      <c r="B188" s="165" t="s">
        <v>205</v>
      </c>
      <c r="C188" s="165" t="s">
        <v>206</v>
      </c>
      <c r="D188" s="165" t="s">
        <v>809</v>
      </c>
      <c r="E188" s="165">
        <v>36.909999999999997</v>
      </c>
      <c r="F188" s="165"/>
      <c r="G188" s="165" t="s">
        <v>316</v>
      </c>
      <c r="H188" s="165" t="s">
        <v>946</v>
      </c>
      <c r="I188" s="165" t="s">
        <v>206</v>
      </c>
      <c r="J188" s="165" t="s">
        <v>210</v>
      </c>
      <c r="K188" s="165">
        <v>23.62</v>
      </c>
      <c r="L188" s="165"/>
      <c r="M188" s="165"/>
    </row>
    <row r="189" spans="1:13" x14ac:dyDescent="0.25">
      <c r="A189" s="165" t="s">
        <v>319</v>
      </c>
      <c r="B189" s="165" t="s">
        <v>946</v>
      </c>
      <c r="C189" s="165" t="s">
        <v>206</v>
      </c>
      <c r="D189" s="165" t="s">
        <v>210</v>
      </c>
      <c r="E189" s="165">
        <v>23.25</v>
      </c>
      <c r="F189" s="165"/>
      <c r="G189" s="165" t="s">
        <v>317</v>
      </c>
      <c r="H189" s="165" t="s">
        <v>946</v>
      </c>
      <c r="I189" s="165" t="s">
        <v>206</v>
      </c>
      <c r="J189" s="165" t="s">
        <v>210</v>
      </c>
      <c r="K189" s="165">
        <v>23.5</v>
      </c>
      <c r="L189" s="165"/>
      <c r="M189" s="165"/>
    </row>
    <row r="190" spans="1:13" x14ac:dyDescent="0.25">
      <c r="A190" s="165" t="s">
        <v>321</v>
      </c>
      <c r="B190" s="165" t="s">
        <v>205</v>
      </c>
      <c r="C190" s="165" t="s">
        <v>206</v>
      </c>
      <c r="D190" s="165" t="s">
        <v>809</v>
      </c>
      <c r="E190" s="165">
        <v>38.57</v>
      </c>
      <c r="F190" s="165"/>
      <c r="G190" s="165" t="s">
        <v>318</v>
      </c>
      <c r="H190" s="165" t="s">
        <v>946</v>
      </c>
      <c r="I190" s="165" t="s">
        <v>206</v>
      </c>
      <c r="J190" s="165" t="s">
        <v>210</v>
      </c>
      <c r="K190" s="165">
        <v>23.5</v>
      </c>
      <c r="L190" s="165"/>
      <c r="M190" s="165"/>
    </row>
    <row r="191" spans="1:13" x14ac:dyDescent="0.25">
      <c r="A191" s="165" t="s">
        <v>321</v>
      </c>
      <c r="B191" s="165" t="s">
        <v>946</v>
      </c>
      <c r="C191" s="165" t="s">
        <v>206</v>
      </c>
      <c r="D191" s="165" t="s">
        <v>210</v>
      </c>
      <c r="E191" s="165">
        <v>23.15</v>
      </c>
      <c r="F191" s="165"/>
      <c r="G191" s="165" t="s">
        <v>319</v>
      </c>
      <c r="H191" s="165" t="s">
        <v>946</v>
      </c>
      <c r="I191" s="165" t="s">
        <v>206</v>
      </c>
      <c r="J191" s="165" t="s">
        <v>210</v>
      </c>
      <c r="K191" s="165">
        <v>23.25</v>
      </c>
      <c r="L191" s="165"/>
      <c r="M191" s="165"/>
    </row>
    <row r="192" spans="1:13" x14ac:dyDescent="0.25">
      <c r="A192" s="165" t="s">
        <v>322</v>
      </c>
      <c r="B192" s="165" t="s">
        <v>205</v>
      </c>
      <c r="C192" s="165" t="s">
        <v>206</v>
      </c>
      <c r="D192" s="165" t="s">
        <v>809</v>
      </c>
      <c r="E192" s="165" t="s">
        <v>220</v>
      </c>
      <c r="F192" s="165"/>
      <c r="G192" s="165" t="s">
        <v>321</v>
      </c>
      <c r="H192" s="165" t="s">
        <v>946</v>
      </c>
      <c r="I192" s="165" t="s">
        <v>206</v>
      </c>
      <c r="J192" s="165" t="s">
        <v>210</v>
      </c>
      <c r="K192" s="165">
        <v>23.15</v>
      </c>
      <c r="L192" s="165"/>
      <c r="M192" s="165"/>
    </row>
    <row r="193" spans="1:11" x14ac:dyDescent="0.25">
      <c r="A193" s="165" t="s">
        <v>322</v>
      </c>
      <c r="B193" s="165" t="s">
        <v>946</v>
      </c>
      <c r="C193" s="165" t="s">
        <v>206</v>
      </c>
      <c r="D193" s="165" t="s">
        <v>210</v>
      </c>
      <c r="E193" s="165">
        <v>23.88</v>
      </c>
      <c r="F193" s="165"/>
      <c r="G193" s="165" t="s">
        <v>322</v>
      </c>
      <c r="H193" s="165" t="s">
        <v>946</v>
      </c>
      <c r="I193" s="165" t="s">
        <v>206</v>
      </c>
      <c r="J193" s="165" t="s">
        <v>210</v>
      </c>
      <c r="K193" s="165">
        <v>23.88</v>
      </c>
    </row>
  </sheetData>
  <sortState xmlns:xlrd2="http://schemas.microsoft.com/office/spreadsheetml/2017/richdata2" ref="X2:AC19">
    <sortCondition descending="1" ref="X2:X19"/>
  </sortState>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6DFE3-4721-4FCA-8B34-6BF0EB4DA1F4}">
  <sheetPr codeName="Sheet25">
    <pageSetUpPr fitToPage="1"/>
  </sheetPr>
  <dimension ref="A1:O93"/>
  <sheetViews>
    <sheetView topLeftCell="A13" zoomScale="70" zoomScaleNormal="70" workbookViewId="0">
      <selection activeCell="A26" sqref="A26:E36"/>
    </sheetView>
  </sheetViews>
  <sheetFormatPr defaultRowHeight="15" x14ac:dyDescent="0.25"/>
  <cols>
    <col min="13" max="13" width="11" bestFit="1" customWidth="1"/>
  </cols>
  <sheetData>
    <row r="1" spans="1:8" x14ac:dyDescent="0.25">
      <c r="A1" s="165" t="s">
        <v>955</v>
      </c>
      <c r="B1" s="165"/>
      <c r="C1" s="165"/>
      <c r="D1" s="165"/>
      <c r="E1" s="165"/>
      <c r="F1" s="165"/>
      <c r="G1" s="165"/>
      <c r="H1" s="165"/>
    </row>
    <row r="3" spans="1:8" ht="15.75" thickBot="1" x14ac:dyDescent="0.3">
      <c r="A3" s="165" t="s">
        <v>510</v>
      </c>
      <c r="B3" s="165"/>
      <c r="C3" s="165"/>
      <c r="D3" s="165"/>
      <c r="E3" s="165"/>
      <c r="F3" s="165"/>
      <c r="G3" s="165"/>
      <c r="H3" s="165"/>
    </row>
    <row r="4" spans="1:8" x14ac:dyDescent="0.25">
      <c r="A4" s="123" t="s">
        <v>822</v>
      </c>
      <c r="B4" s="77"/>
      <c r="C4" s="77"/>
      <c r="D4" s="78" t="s">
        <v>125</v>
      </c>
      <c r="E4" s="79"/>
      <c r="F4" s="79"/>
      <c r="G4" s="80">
        <v>800</v>
      </c>
      <c r="H4" s="81"/>
    </row>
    <row r="5" spans="1:8" ht="15.75" thickBot="1" x14ac:dyDescent="0.3">
      <c r="A5" s="124" t="s">
        <v>126</v>
      </c>
      <c r="B5" s="165"/>
      <c r="C5" s="165"/>
      <c r="D5" s="306" t="s">
        <v>127</v>
      </c>
      <c r="E5" s="307"/>
      <c r="F5" s="307"/>
      <c r="G5" s="82">
        <v>5</v>
      </c>
      <c r="H5" s="83" t="s">
        <v>128</v>
      </c>
    </row>
    <row r="6" spans="1:8" x14ac:dyDescent="0.25">
      <c r="A6" s="125" t="s">
        <v>136</v>
      </c>
      <c r="B6" s="77">
        <v>25</v>
      </c>
      <c r="C6" s="77" t="s">
        <v>137</v>
      </c>
      <c r="D6" s="165"/>
      <c r="E6" s="308"/>
      <c r="F6" s="300"/>
      <c r="G6" s="300"/>
      <c r="H6" s="88"/>
    </row>
    <row r="7" spans="1:8" x14ac:dyDescent="0.25">
      <c r="A7" s="125" t="s">
        <v>138</v>
      </c>
      <c r="B7" s="77">
        <v>1000</v>
      </c>
      <c r="C7" s="77" t="s">
        <v>137</v>
      </c>
      <c r="D7" s="85"/>
      <c r="E7" s="165"/>
      <c r="F7" s="86"/>
      <c r="G7" s="87"/>
      <c r="H7" s="86"/>
    </row>
    <row r="8" spans="1:8" x14ac:dyDescent="0.25">
      <c r="A8" s="125" t="s">
        <v>139</v>
      </c>
      <c r="B8" s="77">
        <v>50</v>
      </c>
      <c r="C8" s="77" t="s">
        <v>140</v>
      </c>
      <c r="D8" s="165"/>
      <c r="E8" s="165"/>
      <c r="F8" s="86"/>
      <c r="G8" s="87"/>
      <c r="H8" s="86"/>
    </row>
    <row r="9" spans="1:8" x14ac:dyDescent="0.25">
      <c r="A9" s="125" t="s">
        <v>142</v>
      </c>
      <c r="B9" s="77">
        <v>50</v>
      </c>
      <c r="C9" s="77" t="s">
        <v>143</v>
      </c>
      <c r="D9" s="165"/>
      <c r="E9" s="165"/>
      <c r="F9" s="86"/>
      <c r="G9" s="87"/>
      <c r="H9" s="86"/>
    </row>
    <row r="10" spans="1:8" x14ac:dyDescent="0.25">
      <c r="A10" s="125" t="s">
        <v>144</v>
      </c>
      <c r="B10" s="77">
        <v>50</v>
      </c>
      <c r="C10" s="77" t="s">
        <v>145</v>
      </c>
      <c r="D10" s="85"/>
      <c r="E10" s="165"/>
      <c r="F10" s="86"/>
      <c r="G10" s="87"/>
      <c r="H10" s="86"/>
    </row>
    <row r="11" spans="1:8" x14ac:dyDescent="0.25">
      <c r="A11" s="125" t="s">
        <v>146</v>
      </c>
      <c r="B11" s="77">
        <v>10</v>
      </c>
      <c r="C11" s="77" t="s">
        <v>147</v>
      </c>
      <c r="D11" s="85"/>
      <c r="E11" s="165"/>
      <c r="F11" s="86"/>
      <c r="G11" s="87"/>
      <c r="H11" s="86"/>
    </row>
    <row r="12" spans="1:8" ht="75" x14ac:dyDescent="0.25">
      <c r="A12" s="126" t="s">
        <v>148</v>
      </c>
      <c r="B12" s="77">
        <v>45</v>
      </c>
      <c r="C12" s="77" t="s">
        <v>143</v>
      </c>
      <c r="D12" s="165"/>
      <c r="E12" s="165"/>
      <c r="F12" s="86"/>
      <c r="G12" s="87"/>
      <c r="H12" s="86"/>
    </row>
    <row r="13" spans="1:8" x14ac:dyDescent="0.25">
      <c r="A13" s="125"/>
      <c r="B13" s="77"/>
      <c r="C13" s="77"/>
      <c r="D13" s="165"/>
      <c r="E13" s="165"/>
      <c r="F13" s="165"/>
      <c r="G13" s="84"/>
      <c r="H13" s="165"/>
    </row>
    <row r="14" spans="1:8" ht="15.75" thickBot="1" x14ac:dyDescent="0.3">
      <c r="A14" s="105"/>
      <c r="B14" s="165"/>
      <c r="C14" s="165"/>
      <c r="D14" s="165"/>
      <c r="E14" s="165"/>
      <c r="F14" s="165"/>
      <c r="G14" s="84"/>
      <c r="H14" s="165"/>
    </row>
    <row r="15" spans="1:8" x14ac:dyDescent="0.25">
      <c r="A15" s="127" t="s">
        <v>50</v>
      </c>
      <c r="B15" s="128" t="s">
        <v>74</v>
      </c>
      <c r="C15" s="128"/>
      <c r="D15" s="128" t="s">
        <v>150</v>
      </c>
      <c r="E15" s="129"/>
      <c r="F15" s="318" t="s">
        <v>151</v>
      </c>
      <c r="G15" s="319"/>
      <c r="H15" s="165"/>
    </row>
    <row r="16" spans="1:8" x14ac:dyDescent="0.25">
      <c r="A16" s="130" t="s">
        <v>136</v>
      </c>
      <c r="B16" s="131">
        <v>0.25</v>
      </c>
      <c r="C16" s="131" t="s">
        <v>137</v>
      </c>
      <c r="D16" s="132">
        <f>32*B16/B6</f>
        <v>0.32</v>
      </c>
      <c r="E16" s="133" t="s">
        <v>56</v>
      </c>
      <c r="F16" s="132">
        <f>D16*($G$2+1+$G$3)</f>
        <v>0.32</v>
      </c>
      <c r="G16" s="134" t="str">
        <f t="shared" ref="G16:G23" si="0">E16</f>
        <v>uL</v>
      </c>
      <c r="H16" s="165"/>
    </row>
    <row r="17" spans="1:15" x14ac:dyDescent="0.25">
      <c r="A17" s="130" t="s">
        <v>139</v>
      </c>
      <c r="B17" s="131">
        <v>2.5</v>
      </c>
      <c r="C17" s="131" t="s">
        <v>52</v>
      </c>
      <c r="D17" s="132">
        <f>B17/B8</f>
        <v>0.05</v>
      </c>
      <c r="E17" s="133" t="s">
        <v>56</v>
      </c>
      <c r="F17" s="132">
        <f t="shared" ref="F17:F23" si="1">D17*($G$2+1+$G$3)</f>
        <v>0.05</v>
      </c>
      <c r="G17" s="134" t="str">
        <f t="shared" si="0"/>
        <v>uL</v>
      </c>
      <c r="H17" s="165"/>
      <c r="I17" s="165"/>
      <c r="J17" s="165"/>
      <c r="K17" s="165"/>
      <c r="L17" s="165"/>
      <c r="M17" s="165"/>
      <c r="N17" s="165"/>
      <c r="O17" s="165"/>
    </row>
    <row r="18" spans="1:15" x14ac:dyDescent="0.25">
      <c r="A18" s="130" t="s">
        <v>138</v>
      </c>
      <c r="B18" s="131">
        <v>3.5</v>
      </c>
      <c r="C18" s="131" t="s">
        <v>137</v>
      </c>
      <c r="D18" s="132">
        <f>(20*(B18/B7))</f>
        <v>7.0000000000000007E-2</v>
      </c>
      <c r="E18" s="133" t="s">
        <v>56</v>
      </c>
      <c r="F18" s="132">
        <f t="shared" si="1"/>
        <v>7.0000000000000007E-2</v>
      </c>
      <c r="G18" s="134" t="str">
        <f t="shared" si="0"/>
        <v>uL</v>
      </c>
      <c r="H18" s="165"/>
      <c r="I18" s="165"/>
      <c r="J18" s="165"/>
      <c r="K18" s="165"/>
      <c r="L18" s="165"/>
      <c r="M18" s="165"/>
      <c r="N18" s="165"/>
      <c r="O18" s="165"/>
    </row>
    <row r="19" spans="1:15" x14ac:dyDescent="0.25">
      <c r="A19" s="130" t="s">
        <v>142</v>
      </c>
      <c r="B19" s="131">
        <v>10</v>
      </c>
      <c r="C19" s="131" t="s">
        <v>143</v>
      </c>
      <c r="D19" s="132">
        <f>20*B19/B9</f>
        <v>4</v>
      </c>
      <c r="E19" s="133" t="s">
        <v>56</v>
      </c>
      <c r="F19" s="132">
        <f t="shared" si="1"/>
        <v>4</v>
      </c>
      <c r="G19" s="134" t="str">
        <f t="shared" si="0"/>
        <v>uL</v>
      </c>
      <c r="H19" s="165"/>
      <c r="I19" s="165"/>
      <c r="J19" s="165"/>
      <c r="K19" s="165"/>
      <c r="L19" s="165"/>
      <c r="M19" s="165"/>
      <c r="N19" s="165"/>
      <c r="O19" s="165"/>
    </row>
    <row r="20" spans="1:15" x14ac:dyDescent="0.25">
      <c r="A20" s="130" t="s">
        <v>144</v>
      </c>
      <c r="B20" s="131">
        <v>0.5</v>
      </c>
      <c r="C20" s="131" t="s">
        <v>145</v>
      </c>
      <c r="D20" s="132">
        <f>20*B20/B10</f>
        <v>0.2</v>
      </c>
      <c r="E20" s="133" t="s">
        <v>56</v>
      </c>
      <c r="F20" s="132">
        <f t="shared" si="1"/>
        <v>0.2</v>
      </c>
      <c r="G20" s="134" t="str">
        <f t="shared" si="0"/>
        <v>uL</v>
      </c>
      <c r="H20" s="165"/>
      <c r="I20" s="165"/>
      <c r="J20" s="165"/>
      <c r="K20" s="165"/>
      <c r="L20" s="165"/>
      <c r="M20" s="165"/>
      <c r="N20" s="165"/>
      <c r="O20" s="165"/>
    </row>
    <row r="21" spans="1:15" x14ac:dyDescent="0.25">
      <c r="A21" s="130" t="s">
        <v>159</v>
      </c>
      <c r="B21" s="131">
        <v>1</v>
      </c>
      <c r="C21" s="131" t="s">
        <v>147</v>
      </c>
      <c r="D21" s="132">
        <f>20*B21/B11</f>
        <v>2</v>
      </c>
      <c r="E21" s="133" t="s">
        <v>56</v>
      </c>
      <c r="F21" s="132">
        <f t="shared" si="1"/>
        <v>2</v>
      </c>
      <c r="G21" s="134" t="str">
        <f t="shared" si="0"/>
        <v>uL</v>
      </c>
      <c r="H21" s="165"/>
      <c r="I21" s="165"/>
      <c r="J21" s="165"/>
      <c r="K21" s="165"/>
      <c r="L21" s="165"/>
      <c r="M21" s="165"/>
      <c r="N21" s="165"/>
      <c r="O21" s="165"/>
    </row>
    <row r="22" spans="1:15" x14ac:dyDescent="0.25">
      <c r="A22" s="130" t="s">
        <v>148</v>
      </c>
      <c r="B22" s="131">
        <v>5</v>
      </c>
      <c r="C22" s="131" t="s">
        <v>143</v>
      </c>
      <c r="D22" s="132">
        <f>20*B22/B12</f>
        <v>2.2222222222222223</v>
      </c>
      <c r="E22" s="133" t="s">
        <v>56</v>
      </c>
      <c r="F22" s="132">
        <f t="shared" si="1"/>
        <v>2.2222222222222223</v>
      </c>
      <c r="G22" s="134" t="str">
        <f t="shared" si="0"/>
        <v>uL</v>
      </c>
      <c r="H22" s="165"/>
      <c r="I22" s="165"/>
      <c r="J22" s="165"/>
      <c r="K22" s="165"/>
      <c r="L22" s="165"/>
      <c r="M22" s="165"/>
      <c r="N22" s="165"/>
      <c r="O22" s="165"/>
    </row>
    <row r="23" spans="1:15" ht="15.75" thickBot="1" x14ac:dyDescent="0.3">
      <c r="A23" s="121" t="s">
        <v>161</v>
      </c>
      <c r="B23" s="122"/>
      <c r="C23" s="122"/>
      <c r="D23" s="135">
        <v>0</v>
      </c>
      <c r="E23" s="136" t="s">
        <v>56</v>
      </c>
      <c r="F23" s="138">
        <f t="shared" si="1"/>
        <v>0</v>
      </c>
      <c r="G23" s="137" t="str">
        <f t="shared" si="0"/>
        <v>uL</v>
      </c>
      <c r="H23" s="165"/>
      <c r="I23" s="165"/>
      <c r="J23" s="165"/>
      <c r="K23" s="165"/>
      <c r="L23" s="165"/>
      <c r="M23" s="165"/>
      <c r="N23" s="165"/>
      <c r="O23" s="165"/>
    </row>
    <row r="24" spans="1:15" x14ac:dyDescent="0.25">
      <c r="A24" s="165"/>
      <c r="B24" s="165"/>
      <c r="C24" s="85" t="s">
        <v>162</v>
      </c>
      <c r="D24" s="85">
        <f>SUM(D16:D23)</f>
        <v>8.862222222222222</v>
      </c>
      <c r="E24" s="85" t="s">
        <v>56</v>
      </c>
      <c r="F24" s="85">
        <f>SUM(F16:F23)</f>
        <v>8.862222222222222</v>
      </c>
      <c r="G24" s="85" t="s">
        <v>56</v>
      </c>
      <c r="H24" s="165"/>
      <c r="I24" s="165"/>
      <c r="J24" s="165"/>
      <c r="K24" s="165"/>
      <c r="L24" s="165"/>
      <c r="M24" s="165"/>
      <c r="N24" s="165"/>
      <c r="O24" s="165"/>
    </row>
    <row r="25" spans="1:15" ht="15.75" thickBot="1" x14ac:dyDescent="0.3">
      <c r="A25" s="165"/>
      <c r="B25" s="165"/>
      <c r="C25" s="165"/>
      <c r="D25" s="165"/>
      <c r="E25" s="165"/>
      <c r="F25" s="165"/>
      <c r="G25" s="165"/>
      <c r="H25" s="165"/>
      <c r="I25" s="165"/>
      <c r="J25" s="165"/>
      <c r="K25" s="165"/>
      <c r="L25" s="165"/>
      <c r="M25" s="165"/>
      <c r="N25" s="165"/>
      <c r="O25" s="165"/>
    </row>
    <row r="26" spans="1:15" ht="45" x14ac:dyDescent="0.25">
      <c r="A26" s="91" t="s">
        <v>50</v>
      </c>
      <c r="B26" s="92" t="s">
        <v>74</v>
      </c>
      <c r="C26" s="92" t="s">
        <v>52</v>
      </c>
      <c r="D26" s="92" t="s">
        <v>75</v>
      </c>
      <c r="E26" s="113">
        <f>96*1.2</f>
        <v>115.19999999999999</v>
      </c>
      <c r="F26" s="165"/>
      <c r="G26" s="165" t="s">
        <v>554</v>
      </c>
      <c r="H26" s="90" t="s">
        <v>20</v>
      </c>
      <c r="I26" s="90" t="s">
        <v>21</v>
      </c>
      <c r="J26" s="90" t="s">
        <v>22</v>
      </c>
      <c r="K26" s="90" t="s">
        <v>23</v>
      </c>
      <c r="L26" s="90" t="s">
        <v>956</v>
      </c>
      <c r="M26" s="90" t="s">
        <v>957</v>
      </c>
      <c r="N26" s="90" t="s">
        <v>224</v>
      </c>
      <c r="O26" s="90"/>
    </row>
    <row r="27" spans="1:15" x14ac:dyDescent="0.25">
      <c r="A27" s="94" t="s">
        <v>76</v>
      </c>
      <c r="B27" s="95"/>
      <c r="C27" s="95"/>
      <c r="D27" s="96">
        <f>D24</f>
        <v>8.862222222222222</v>
      </c>
      <c r="E27" s="114">
        <f>D27*$E$26</f>
        <v>1020.9279999999999</v>
      </c>
      <c r="F27" s="165"/>
      <c r="G27" s="165"/>
      <c r="H27" s="89" t="s">
        <v>29</v>
      </c>
      <c r="I27" s="84">
        <v>100</v>
      </c>
      <c r="J27" s="165">
        <f>I27*1000000</f>
        <v>100000000</v>
      </c>
      <c r="K27" s="89"/>
      <c r="L27" s="89"/>
      <c r="M27" s="165"/>
      <c r="N27" s="165"/>
      <c r="O27" s="165"/>
    </row>
    <row r="28" spans="1:15" x14ac:dyDescent="0.25">
      <c r="A28" s="168" t="s">
        <v>929</v>
      </c>
      <c r="B28" s="95" t="s">
        <v>930</v>
      </c>
      <c r="C28" s="95"/>
      <c r="D28" s="96">
        <f>0.4*20/10</f>
        <v>0.8</v>
      </c>
      <c r="E28" s="114">
        <f t="shared" ref="E28:E36" si="2">D28*$E$26</f>
        <v>92.16</v>
      </c>
      <c r="F28" s="165"/>
      <c r="G28" s="165" t="s">
        <v>558</v>
      </c>
      <c r="H28" s="165"/>
      <c r="I28" s="165">
        <v>0.01</v>
      </c>
      <c r="J28" s="165">
        <v>10000</v>
      </c>
      <c r="K28" s="165">
        <v>6022000000000.002</v>
      </c>
      <c r="L28" s="165">
        <v>12044000000.000004</v>
      </c>
      <c r="M28" s="167">
        <f>L28/10</f>
        <v>1204400000.0000005</v>
      </c>
      <c r="N28" s="165">
        <f t="shared" ref="N28:N34" si="3">LOG(L28)</f>
        <v>10.080770746840722</v>
      </c>
      <c r="O28" s="165"/>
    </row>
    <row r="29" spans="1:15" x14ac:dyDescent="0.25">
      <c r="A29" s="168" t="s">
        <v>931</v>
      </c>
      <c r="B29" s="95" t="s">
        <v>930</v>
      </c>
      <c r="C29" s="95"/>
      <c r="D29" s="96">
        <f>0.4*20/10</f>
        <v>0.8</v>
      </c>
      <c r="E29" s="114">
        <f t="shared" si="2"/>
        <v>92.16</v>
      </c>
      <c r="F29" s="165"/>
      <c r="G29" s="165" t="s">
        <v>559</v>
      </c>
      <c r="H29" s="165"/>
      <c r="I29" s="165">
        <v>1E-3</v>
      </c>
      <c r="J29" s="165">
        <v>1000</v>
      </c>
      <c r="K29" s="165">
        <v>602200000000.00024</v>
      </c>
      <c r="L29" s="165">
        <v>1204400000.0000005</v>
      </c>
      <c r="M29" s="167">
        <f t="shared" ref="M29:M34" si="4">L29/10</f>
        <v>120440000.00000004</v>
      </c>
      <c r="N29" s="165">
        <f t="shared" si="3"/>
        <v>9.0807707468407219</v>
      </c>
      <c r="O29" s="165"/>
    </row>
    <row r="30" spans="1:15" x14ac:dyDescent="0.25">
      <c r="A30" s="168" t="s">
        <v>123</v>
      </c>
      <c r="B30" s="110" t="s">
        <v>530</v>
      </c>
      <c r="C30" s="115"/>
      <c r="D30" s="96">
        <f>0.5*20/10</f>
        <v>1</v>
      </c>
      <c r="E30" s="114">
        <f t="shared" si="2"/>
        <v>115.19999999999999</v>
      </c>
      <c r="F30" s="165"/>
      <c r="G30" s="165" t="s">
        <v>561</v>
      </c>
      <c r="H30" s="165"/>
      <c r="I30" s="165">
        <v>1E-4</v>
      </c>
      <c r="J30" s="165">
        <v>100</v>
      </c>
      <c r="K30" s="165">
        <v>60220000000.000023</v>
      </c>
      <c r="L30" s="165">
        <v>120440000.00000004</v>
      </c>
      <c r="M30" s="167">
        <f t="shared" si="4"/>
        <v>12044000.000000004</v>
      </c>
      <c r="N30" s="165">
        <f t="shared" si="3"/>
        <v>8.0807707468407219</v>
      </c>
      <c r="O30" s="165"/>
    </row>
    <row r="31" spans="1:15" s="164" customFormat="1" x14ac:dyDescent="0.25">
      <c r="A31" s="168" t="s">
        <v>958</v>
      </c>
      <c r="B31" s="110" t="s">
        <v>933</v>
      </c>
      <c r="C31" s="115"/>
      <c r="D31" s="96">
        <f>0.3*20/10</f>
        <v>0.6</v>
      </c>
      <c r="E31" s="114">
        <f t="shared" si="2"/>
        <v>69.11999999999999</v>
      </c>
      <c r="F31" s="165"/>
      <c r="G31" s="165" t="s">
        <v>563</v>
      </c>
      <c r="H31" s="165"/>
      <c r="I31" s="165">
        <v>1.0000000000000001E-5</v>
      </c>
      <c r="J31" s="165">
        <v>10</v>
      </c>
      <c r="K31" s="165">
        <v>6022000000.0000019</v>
      </c>
      <c r="L31" s="165">
        <v>12044000.000000004</v>
      </c>
      <c r="M31" s="167">
        <f t="shared" si="4"/>
        <v>1204400.0000000005</v>
      </c>
      <c r="N31" s="165">
        <f t="shared" si="3"/>
        <v>7.0807707468407219</v>
      </c>
      <c r="O31" s="165"/>
    </row>
    <row r="32" spans="1:15" s="164" customFormat="1" x14ac:dyDescent="0.25">
      <c r="A32" s="168" t="s">
        <v>959</v>
      </c>
      <c r="B32" s="110" t="s">
        <v>933</v>
      </c>
      <c r="C32" s="115"/>
      <c r="D32" s="96">
        <f>0.3*20/10</f>
        <v>0.6</v>
      </c>
      <c r="E32" s="114">
        <f t="shared" si="2"/>
        <v>69.11999999999999</v>
      </c>
      <c r="F32" s="165"/>
      <c r="G32" s="165" t="s">
        <v>565</v>
      </c>
      <c r="H32" s="165"/>
      <c r="I32" s="165">
        <v>1.0000000000000002E-6</v>
      </c>
      <c r="J32" s="165">
        <v>1.0000000000000002</v>
      </c>
      <c r="K32" s="165">
        <v>602200000.00000024</v>
      </c>
      <c r="L32" s="165">
        <v>1204400.0000000005</v>
      </c>
      <c r="M32" s="167">
        <f t="shared" si="4"/>
        <v>120440.00000000004</v>
      </c>
      <c r="N32" s="165">
        <f t="shared" si="3"/>
        <v>6.0807707468407219</v>
      </c>
      <c r="O32" s="165"/>
    </row>
    <row r="33" spans="1:14" s="164" customFormat="1" x14ac:dyDescent="0.25">
      <c r="A33" s="168" t="s">
        <v>960</v>
      </c>
      <c r="B33" s="110" t="s">
        <v>961</v>
      </c>
      <c r="C33" s="115"/>
      <c r="D33" s="96">
        <f>0.25*20/10</f>
        <v>0.5</v>
      </c>
      <c r="E33" s="114">
        <f t="shared" si="2"/>
        <v>57.599999999999994</v>
      </c>
      <c r="F33" s="165"/>
      <c r="G33" s="165" t="s">
        <v>566</v>
      </c>
      <c r="H33" s="165"/>
      <c r="I33" s="165">
        <v>1.0000000000000002E-7</v>
      </c>
      <c r="J33" s="165">
        <v>0.10000000000000002</v>
      </c>
      <c r="K33" s="165">
        <v>60220000.000000022</v>
      </c>
      <c r="L33" s="165">
        <v>120440.00000000004</v>
      </c>
      <c r="M33" s="167">
        <f t="shared" si="4"/>
        <v>12044.000000000004</v>
      </c>
      <c r="N33" s="165">
        <f t="shared" si="3"/>
        <v>5.0807707468407219</v>
      </c>
    </row>
    <row r="34" spans="1:14" s="164" customFormat="1" x14ac:dyDescent="0.25">
      <c r="A34" s="168" t="s">
        <v>962</v>
      </c>
      <c r="B34" s="110"/>
      <c r="C34" s="115"/>
      <c r="D34" s="96">
        <v>0.2</v>
      </c>
      <c r="E34" s="114">
        <f t="shared" si="2"/>
        <v>23.04</v>
      </c>
      <c r="F34" s="165"/>
      <c r="G34" s="165" t="s">
        <v>940</v>
      </c>
      <c r="H34" s="165"/>
      <c r="I34" s="165">
        <v>1.0000000000000002E-8</v>
      </c>
      <c r="J34" s="165">
        <v>1.0000000000000002E-2</v>
      </c>
      <c r="K34" s="165">
        <v>6022000.0000000019</v>
      </c>
      <c r="L34" s="165">
        <v>12044.000000000004</v>
      </c>
      <c r="M34" s="167">
        <f t="shared" si="4"/>
        <v>1204.4000000000003</v>
      </c>
      <c r="N34" s="165">
        <f t="shared" si="3"/>
        <v>4.0807707468407219</v>
      </c>
    </row>
    <row r="35" spans="1:14" x14ac:dyDescent="0.25">
      <c r="A35" s="104" t="s">
        <v>79</v>
      </c>
      <c r="B35" s="95"/>
      <c r="C35" s="95"/>
      <c r="D35" s="96">
        <f>18-SUM(D27:D34)</f>
        <v>4.637777777777778</v>
      </c>
      <c r="E35" s="114">
        <f t="shared" si="2"/>
        <v>534.27199999999993</v>
      </c>
      <c r="F35" s="165"/>
      <c r="G35" s="165"/>
      <c r="H35" s="165"/>
      <c r="I35" s="165"/>
      <c r="J35" s="165"/>
      <c r="K35" s="165"/>
      <c r="L35" s="165"/>
      <c r="M35" s="165"/>
      <c r="N35" s="165"/>
    </row>
    <row r="36" spans="1:14" ht="15.75" thickBot="1" x14ac:dyDescent="0.3">
      <c r="A36" s="97" t="s">
        <v>80</v>
      </c>
      <c r="B36" s="98"/>
      <c r="C36" s="98"/>
      <c r="D36" s="99">
        <f>SUM(D27:D35)</f>
        <v>18</v>
      </c>
      <c r="E36" s="117">
        <f t="shared" si="2"/>
        <v>2073.6</v>
      </c>
      <c r="F36" s="165"/>
      <c r="G36" s="165"/>
      <c r="H36" s="165"/>
      <c r="I36" s="165"/>
      <c r="J36" s="165"/>
      <c r="K36" s="165"/>
      <c r="L36" s="165"/>
      <c r="M36" s="165"/>
      <c r="N36" s="165"/>
    </row>
    <row r="38" spans="1:14" x14ac:dyDescent="0.25">
      <c r="A38" s="165" t="s">
        <v>963</v>
      </c>
      <c r="B38" s="165"/>
      <c r="C38" s="165"/>
      <c r="D38" s="165"/>
      <c r="E38" s="165"/>
      <c r="F38" s="165"/>
      <c r="G38" s="165"/>
      <c r="H38" s="165"/>
      <c r="I38" s="165"/>
      <c r="J38" s="165"/>
      <c r="K38" s="165"/>
      <c r="L38" s="165"/>
      <c r="M38" s="165"/>
      <c r="N38" s="165"/>
    </row>
    <row r="39" spans="1:14" x14ac:dyDescent="0.25">
      <c r="A39" s="165" t="s">
        <v>964</v>
      </c>
      <c r="B39" s="165"/>
      <c r="C39" s="165"/>
      <c r="D39" s="165"/>
      <c r="E39" s="165"/>
      <c r="F39" s="165"/>
      <c r="G39" s="165"/>
      <c r="H39" s="165"/>
      <c r="I39" s="165"/>
      <c r="J39" s="165"/>
      <c r="K39" s="165"/>
      <c r="L39" s="165"/>
      <c r="M39" s="165"/>
      <c r="N39" s="165"/>
    </row>
    <row r="40" spans="1:14" x14ac:dyDescent="0.25">
      <c r="A40" s="165" t="s">
        <v>965</v>
      </c>
      <c r="B40" s="165"/>
      <c r="C40" s="165"/>
      <c r="D40" s="165"/>
      <c r="E40" s="165"/>
      <c r="F40" s="165"/>
      <c r="G40" s="165"/>
      <c r="H40" s="165"/>
      <c r="I40" s="165"/>
      <c r="J40" s="165"/>
      <c r="K40" s="165"/>
      <c r="L40" s="165"/>
      <c r="M40" s="165"/>
      <c r="N40" s="165"/>
    </row>
    <row r="42" spans="1:14" x14ac:dyDescent="0.25">
      <c r="A42" s="165"/>
      <c r="B42" s="165" t="s">
        <v>966</v>
      </c>
      <c r="C42" s="165"/>
      <c r="E42" s="165"/>
      <c r="F42" s="165"/>
      <c r="G42" s="165"/>
      <c r="H42" s="165"/>
      <c r="I42" s="165"/>
      <c r="J42" s="165"/>
      <c r="K42" s="165"/>
      <c r="L42" s="165"/>
      <c r="M42" s="165"/>
      <c r="N42" s="165"/>
    </row>
    <row r="57" spans="2:2" x14ac:dyDescent="0.25">
      <c r="B57" s="165" t="s">
        <v>967</v>
      </c>
    </row>
    <row r="69" spans="1:1" x14ac:dyDescent="0.25">
      <c r="A69" t="s">
        <v>1151</v>
      </c>
    </row>
    <row r="93" s="164" customFormat="1" x14ac:dyDescent="0.25"/>
  </sheetData>
  <mergeCells count="3">
    <mergeCell ref="D5:F5"/>
    <mergeCell ref="E6:G6"/>
    <mergeCell ref="F15:G15"/>
  </mergeCells>
  <pageMargins left="0.7" right="0.7" top="0.75" bottom="0.75" header="0.3" footer="0.3"/>
  <pageSetup scale="45" orientation="landscape" horizontalDpi="300" verticalDpi="300"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13C0F-EA0C-4FD3-A23B-A390FE3C719F}">
  <sheetPr codeName="Sheet26"/>
  <dimension ref="A2:AF437"/>
  <sheetViews>
    <sheetView zoomScale="85" zoomScaleNormal="85" workbookViewId="0">
      <selection activeCell="C369" sqref="C369"/>
    </sheetView>
  </sheetViews>
  <sheetFormatPr defaultRowHeight="15" x14ac:dyDescent="0.25"/>
  <cols>
    <col min="1" max="1" width="19.42578125" customWidth="1"/>
  </cols>
  <sheetData>
    <row r="2" spans="1:8" x14ac:dyDescent="0.25">
      <c r="A2" s="165" t="s">
        <v>968</v>
      </c>
      <c r="B2" s="165"/>
      <c r="C2" s="165"/>
      <c r="D2" s="165"/>
      <c r="E2" s="165"/>
      <c r="F2" s="165"/>
      <c r="G2" s="165"/>
      <c r="H2" s="165"/>
    </row>
    <row r="3" spans="1:8" ht="15.75" thickBot="1" x14ac:dyDescent="0.3">
      <c r="A3" s="165"/>
      <c r="B3" s="165"/>
      <c r="C3" s="165"/>
      <c r="D3" s="165"/>
      <c r="E3" s="165"/>
      <c r="F3" s="165"/>
      <c r="G3" s="165"/>
      <c r="H3" s="165"/>
    </row>
    <row r="4" spans="1:8" x14ac:dyDescent="0.25">
      <c r="A4" s="123" t="s">
        <v>822</v>
      </c>
      <c r="B4" s="77"/>
      <c r="C4" s="77"/>
      <c r="D4" s="78" t="s">
        <v>125</v>
      </c>
      <c r="E4" s="79"/>
      <c r="F4" s="79"/>
      <c r="G4" s="80">
        <v>500</v>
      </c>
      <c r="H4" s="81"/>
    </row>
    <row r="5" spans="1:8" ht="15.75" thickBot="1" x14ac:dyDescent="0.3">
      <c r="A5" s="6" t="s">
        <v>126</v>
      </c>
      <c r="B5" s="77"/>
      <c r="C5" s="77"/>
      <c r="D5" s="307" t="s">
        <v>127</v>
      </c>
      <c r="E5" s="307"/>
      <c r="F5" s="307"/>
      <c r="G5" s="170">
        <v>0.05</v>
      </c>
      <c r="H5" s="173"/>
    </row>
    <row r="6" spans="1:8" x14ac:dyDescent="0.25">
      <c r="A6" s="77" t="s">
        <v>136</v>
      </c>
      <c r="B6" s="77">
        <v>10</v>
      </c>
      <c r="C6" s="77" t="s">
        <v>137</v>
      </c>
      <c r="D6" s="165"/>
      <c r="E6" s="308"/>
      <c r="F6" s="300"/>
      <c r="G6" s="300"/>
      <c r="H6" s="88"/>
    </row>
    <row r="7" spans="1:8" x14ac:dyDescent="0.25">
      <c r="A7" s="77" t="s">
        <v>138</v>
      </c>
      <c r="B7" s="77">
        <v>1000</v>
      </c>
      <c r="C7" s="77" t="s">
        <v>137</v>
      </c>
      <c r="D7" s="85"/>
      <c r="E7" s="165"/>
      <c r="F7" s="86"/>
      <c r="G7" s="87"/>
      <c r="H7" s="86"/>
    </row>
    <row r="8" spans="1:8" x14ac:dyDescent="0.25">
      <c r="A8" s="77" t="s">
        <v>139</v>
      </c>
      <c r="B8" s="77">
        <v>50</v>
      </c>
      <c r="C8" s="77" t="s">
        <v>140</v>
      </c>
      <c r="D8" s="165"/>
      <c r="E8" s="165"/>
      <c r="F8" s="86"/>
      <c r="G8" s="87"/>
      <c r="H8" s="86"/>
    </row>
    <row r="9" spans="1:8" x14ac:dyDescent="0.25">
      <c r="A9" s="77" t="s">
        <v>142</v>
      </c>
      <c r="B9" s="77">
        <v>50</v>
      </c>
      <c r="C9" s="77" t="s">
        <v>143</v>
      </c>
      <c r="D9" s="165"/>
      <c r="E9" s="165"/>
      <c r="F9" s="86"/>
      <c r="G9" s="87"/>
      <c r="H9" s="86"/>
    </row>
    <row r="10" spans="1:8" x14ac:dyDescent="0.25">
      <c r="A10" s="77" t="s">
        <v>144</v>
      </c>
      <c r="B10" s="77">
        <v>50</v>
      </c>
      <c r="C10" s="77" t="s">
        <v>145</v>
      </c>
      <c r="D10" s="85"/>
      <c r="E10" s="165"/>
      <c r="F10" s="86"/>
      <c r="G10" s="87"/>
      <c r="H10" s="86"/>
    </row>
    <row r="11" spans="1:8" x14ac:dyDescent="0.25">
      <c r="A11" s="77" t="s">
        <v>146</v>
      </c>
      <c r="B11" s="77">
        <v>10</v>
      </c>
      <c r="C11" s="77" t="s">
        <v>147</v>
      </c>
      <c r="D11" s="85"/>
      <c r="E11" s="165"/>
      <c r="F11" s="86"/>
      <c r="G11" s="87"/>
      <c r="H11" s="86"/>
    </row>
    <row r="12" spans="1:8" ht="30" x14ac:dyDescent="0.25">
      <c r="A12" s="5" t="s">
        <v>148</v>
      </c>
      <c r="B12" s="77">
        <v>45</v>
      </c>
      <c r="C12" s="77" t="s">
        <v>143</v>
      </c>
      <c r="D12" s="165"/>
      <c r="E12" s="165"/>
      <c r="F12" s="86"/>
      <c r="G12" s="87"/>
      <c r="H12" s="86"/>
    </row>
    <row r="13" spans="1:8" x14ac:dyDescent="0.25">
      <c r="A13" s="77" t="s">
        <v>149</v>
      </c>
      <c r="B13" s="77">
        <v>25</v>
      </c>
      <c r="C13" s="77" t="s">
        <v>143</v>
      </c>
      <c r="D13" s="165"/>
      <c r="E13" s="165"/>
      <c r="F13" s="165"/>
      <c r="G13" s="84"/>
      <c r="H13" s="165"/>
    </row>
    <row r="14" spans="1:8" s="164" customFormat="1" x14ac:dyDescent="0.25">
      <c r="A14" s="77" t="s">
        <v>929</v>
      </c>
      <c r="B14" s="171">
        <v>100</v>
      </c>
      <c r="C14" s="171" t="s">
        <v>27</v>
      </c>
      <c r="D14" s="165"/>
      <c r="E14" s="165"/>
      <c r="F14" s="165"/>
      <c r="G14" s="84"/>
      <c r="H14" s="165"/>
    </row>
    <row r="15" spans="1:8" s="164" customFormat="1" x14ac:dyDescent="0.25">
      <c r="A15" s="77" t="s">
        <v>931</v>
      </c>
      <c r="B15" s="171">
        <v>100</v>
      </c>
      <c r="C15" s="171" t="s">
        <v>27</v>
      </c>
      <c r="D15" s="165"/>
      <c r="E15" s="165"/>
      <c r="F15" s="165"/>
      <c r="G15" s="84"/>
      <c r="H15" s="165"/>
    </row>
    <row r="16" spans="1:8" s="164" customFormat="1" x14ac:dyDescent="0.25">
      <c r="A16" s="77" t="s">
        <v>969</v>
      </c>
      <c r="B16" s="171">
        <v>100</v>
      </c>
      <c r="C16" s="171" t="s">
        <v>27</v>
      </c>
      <c r="D16" s="165"/>
      <c r="E16" s="165"/>
      <c r="F16" s="165"/>
      <c r="G16" s="84"/>
      <c r="H16" s="165"/>
    </row>
    <row r="17" spans="1:14" s="164" customFormat="1" x14ac:dyDescent="0.25">
      <c r="A17" s="77" t="s">
        <v>894</v>
      </c>
      <c r="B17" s="171">
        <v>100</v>
      </c>
      <c r="C17" s="171" t="s">
        <v>27</v>
      </c>
      <c r="D17" s="165"/>
      <c r="E17" s="165"/>
      <c r="F17" s="165"/>
      <c r="G17" s="84"/>
      <c r="H17" s="165"/>
      <c r="I17" s="165"/>
      <c r="J17" s="165"/>
      <c r="K17" s="165"/>
      <c r="L17" s="165"/>
      <c r="M17" s="165"/>
      <c r="N17" s="165"/>
    </row>
    <row r="18" spans="1:14" s="164" customFormat="1" x14ac:dyDescent="0.25">
      <c r="A18" s="77" t="s">
        <v>115</v>
      </c>
      <c r="B18" s="171">
        <v>100</v>
      </c>
      <c r="C18" s="171" t="s">
        <v>27</v>
      </c>
      <c r="D18" s="165"/>
      <c r="E18" s="165"/>
      <c r="F18" s="165"/>
      <c r="G18" s="84"/>
      <c r="H18" s="165"/>
      <c r="I18" s="165"/>
      <c r="J18" s="165"/>
      <c r="K18" s="165"/>
      <c r="L18" s="165"/>
      <c r="M18" s="165"/>
      <c r="N18" s="165"/>
    </row>
    <row r="19" spans="1:14" s="164" customFormat="1" x14ac:dyDescent="0.25">
      <c r="A19" s="77" t="s">
        <v>116</v>
      </c>
      <c r="B19" s="171">
        <v>100</v>
      </c>
      <c r="C19" s="171" t="s">
        <v>27</v>
      </c>
      <c r="D19" s="165"/>
      <c r="E19" s="165"/>
      <c r="F19" s="165"/>
      <c r="G19" s="84"/>
      <c r="H19" s="165"/>
      <c r="I19" s="165"/>
      <c r="J19" s="165"/>
      <c r="K19" s="165"/>
      <c r="L19" s="165"/>
      <c r="M19" s="165"/>
      <c r="N19" s="165"/>
    </row>
    <row r="20" spans="1:14" ht="15.75" thickBot="1" x14ac:dyDescent="0.3">
      <c r="A20" s="105"/>
      <c r="B20" s="165"/>
      <c r="C20" s="165"/>
      <c r="D20" s="165"/>
      <c r="E20" s="165"/>
      <c r="F20" s="165"/>
      <c r="G20" s="84"/>
      <c r="H20" s="165"/>
      <c r="I20" s="165"/>
      <c r="J20" s="165"/>
      <c r="K20" s="165"/>
      <c r="L20" s="165"/>
      <c r="M20" s="165"/>
      <c r="N20" s="165"/>
    </row>
    <row r="21" spans="1:14" x14ac:dyDescent="0.25">
      <c r="A21" s="127" t="s">
        <v>50</v>
      </c>
      <c r="B21" s="128" t="s">
        <v>74</v>
      </c>
      <c r="C21" s="128"/>
      <c r="D21" s="128" t="s">
        <v>150</v>
      </c>
      <c r="E21" s="129"/>
      <c r="F21" s="318" t="s">
        <v>151</v>
      </c>
      <c r="G21" s="319"/>
      <c r="H21" s="165"/>
      <c r="I21" s="165"/>
      <c r="J21" s="165"/>
      <c r="K21" s="165"/>
      <c r="L21" s="165"/>
      <c r="M21" s="165"/>
      <c r="N21" s="165"/>
    </row>
    <row r="22" spans="1:14" x14ac:dyDescent="0.25">
      <c r="A22" s="130" t="s">
        <v>136</v>
      </c>
      <c r="B22" s="131">
        <v>0.25</v>
      </c>
      <c r="C22" s="131" t="s">
        <v>137</v>
      </c>
      <c r="D22" s="132">
        <f>32*B22/B6</f>
        <v>0.8</v>
      </c>
      <c r="E22" s="133" t="s">
        <v>56</v>
      </c>
      <c r="F22" s="132">
        <f>D22*$G$4*(1+$G$5)</f>
        <v>420</v>
      </c>
      <c r="G22" s="134" t="str">
        <f t="shared" ref="G22:G28" si="0">E22</f>
        <v>uL</v>
      </c>
      <c r="H22" s="165"/>
      <c r="I22" s="165"/>
      <c r="J22" s="165"/>
      <c r="K22" s="165"/>
      <c r="L22" s="165"/>
      <c r="M22" s="165"/>
      <c r="N22" s="165"/>
    </row>
    <row r="23" spans="1:14" x14ac:dyDescent="0.25">
      <c r="A23" s="130" t="s">
        <v>139</v>
      </c>
      <c r="B23" s="131">
        <v>2.5</v>
      </c>
      <c r="C23" s="131" t="s">
        <v>52</v>
      </c>
      <c r="D23" s="132">
        <f>B23/B8</f>
        <v>0.05</v>
      </c>
      <c r="E23" s="133" t="s">
        <v>56</v>
      </c>
      <c r="F23" s="132">
        <f t="shared" ref="F23:F37" si="1">D23*$G$4*(1+$G$5)</f>
        <v>26.25</v>
      </c>
      <c r="G23" s="134" t="str">
        <f t="shared" si="0"/>
        <v>uL</v>
      </c>
      <c r="H23" s="165"/>
      <c r="I23" s="165"/>
      <c r="J23" s="165"/>
      <c r="K23" s="165"/>
      <c r="L23" s="165"/>
      <c r="M23" s="165"/>
      <c r="N23" s="165"/>
    </row>
    <row r="24" spans="1:14" x14ac:dyDescent="0.25">
      <c r="A24" s="130" t="s">
        <v>138</v>
      </c>
      <c r="B24" s="131">
        <v>3.5</v>
      </c>
      <c r="C24" s="131" t="s">
        <v>137</v>
      </c>
      <c r="D24" s="132">
        <f>(20*(B24/B7))</f>
        <v>7.0000000000000007E-2</v>
      </c>
      <c r="E24" s="133" t="s">
        <v>56</v>
      </c>
      <c r="F24" s="132">
        <f t="shared" si="1"/>
        <v>36.75</v>
      </c>
      <c r="G24" s="134" t="str">
        <f t="shared" si="0"/>
        <v>uL</v>
      </c>
      <c r="H24" s="165"/>
      <c r="I24" s="165"/>
      <c r="J24" s="165"/>
      <c r="K24" s="165"/>
      <c r="L24" s="165"/>
      <c r="M24" s="165"/>
      <c r="N24" s="165"/>
    </row>
    <row r="25" spans="1:14" x14ac:dyDescent="0.25">
      <c r="A25" s="130" t="s">
        <v>142</v>
      </c>
      <c r="B25" s="131">
        <v>10</v>
      </c>
      <c r="C25" s="131" t="s">
        <v>143</v>
      </c>
      <c r="D25" s="132">
        <f>20*B25/B9</f>
        <v>4</v>
      </c>
      <c r="E25" s="133" t="s">
        <v>56</v>
      </c>
      <c r="F25" s="132">
        <f t="shared" si="1"/>
        <v>2100</v>
      </c>
      <c r="G25" s="134" t="str">
        <f t="shared" si="0"/>
        <v>uL</v>
      </c>
      <c r="H25" s="165"/>
      <c r="I25" s="165"/>
      <c r="J25" s="165"/>
      <c r="K25" s="165"/>
      <c r="L25" s="165"/>
      <c r="M25" s="165"/>
      <c r="N25" s="169"/>
    </row>
    <row r="26" spans="1:14" x14ac:dyDescent="0.25">
      <c r="A26" s="130" t="s">
        <v>144</v>
      </c>
      <c r="B26" s="131">
        <v>0.5</v>
      </c>
      <c r="C26" s="131" t="s">
        <v>145</v>
      </c>
      <c r="D26" s="132">
        <f>20*B26/B10</f>
        <v>0.2</v>
      </c>
      <c r="E26" s="133" t="s">
        <v>56</v>
      </c>
      <c r="F26" s="132">
        <f t="shared" si="1"/>
        <v>105</v>
      </c>
      <c r="G26" s="134" t="str">
        <f t="shared" si="0"/>
        <v>uL</v>
      </c>
      <c r="H26" s="165"/>
      <c r="I26" s="165"/>
      <c r="J26" s="165"/>
      <c r="K26" s="165"/>
      <c r="L26" s="165"/>
      <c r="M26" s="165"/>
      <c r="N26" s="165"/>
    </row>
    <row r="27" spans="1:14" x14ac:dyDescent="0.25">
      <c r="A27" s="130" t="s">
        <v>159</v>
      </c>
      <c r="B27" s="131">
        <v>1</v>
      </c>
      <c r="C27" s="131" t="s">
        <v>147</v>
      </c>
      <c r="D27" s="132">
        <f>20*B27/B11</f>
        <v>2</v>
      </c>
      <c r="E27" s="133" t="s">
        <v>56</v>
      </c>
      <c r="F27" s="132">
        <f t="shared" si="1"/>
        <v>1050</v>
      </c>
      <c r="G27" s="134" t="str">
        <f t="shared" si="0"/>
        <v>uL</v>
      </c>
      <c r="H27" s="165"/>
      <c r="I27" s="165"/>
      <c r="J27" s="165"/>
      <c r="K27" s="165"/>
      <c r="L27" s="165"/>
      <c r="M27" s="165"/>
      <c r="N27" s="165"/>
    </row>
    <row r="28" spans="1:14" x14ac:dyDescent="0.25">
      <c r="A28" s="130" t="s">
        <v>148</v>
      </c>
      <c r="B28" s="131">
        <v>5</v>
      </c>
      <c r="C28" s="131" t="s">
        <v>143</v>
      </c>
      <c r="D28" s="132">
        <f>20*B28/B12</f>
        <v>2.2222222222222223</v>
      </c>
      <c r="E28" s="133" t="s">
        <v>56</v>
      </c>
      <c r="F28" s="132">
        <f t="shared" si="1"/>
        <v>1166.6666666666667</v>
      </c>
      <c r="G28" s="134" t="str">
        <f t="shared" si="0"/>
        <v>uL</v>
      </c>
      <c r="H28" s="165"/>
      <c r="I28" s="165"/>
      <c r="J28" s="165"/>
      <c r="K28" s="165"/>
      <c r="L28" s="165"/>
      <c r="M28" s="165"/>
      <c r="N28" s="165"/>
    </row>
    <row r="29" spans="1:14" x14ac:dyDescent="0.25">
      <c r="A29" s="105" t="s">
        <v>823</v>
      </c>
      <c r="B29" s="110">
        <v>3</v>
      </c>
      <c r="C29" s="110" t="s">
        <v>143</v>
      </c>
      <c r="D29" s="116">
        <f>B29*20/B13</f>
        <v>2.4</v>
      </c>
      <c r="E29" s="133" t="s">
        <v>56</v>
      </c>
      <c r="F29" s="132">
        <f t="shared" si="1"/>
        <v>1260</v>
      </c>
      <c r="G29" s="134" t="str">
        <f t="shared" ref="G29:G37" si="2">E29</f>
        <v>uL</v>
      </c>
      <c r="H29" s="165"/>
      <c r="I29" s="165"/>
      <c r="J29" s="165"/>
      <c r="K29" s="165"/>
      <c r="L29" s="165"/>
      <c r="M29" s="165"/>
      <c r="N29" s="165"/>
    </row>
    <row r="30" spans="1:14" s="164" customFormat="1" x14ac:dyDescent="0.25">
      <c r="A30" s="105" t="s">
        <v>929</v>
      </c>
      <c r="B30" s="110">
        <v>0.4</v>
      </c>
      <c r="C30" s="110" t="s">
        <v>27</v>
      </c>
      <c r="D30" s="116">
        <f>B30*20/B14</f>
        <v>0.08</v>
      </c>
      <c r="E30" s="133" t="s">
        <v>56</v>
      </c>
      <c r="F30" s="132">
        <f>D30*$G$4*(1+$G$5)</f>
        <v>42</v>
      </c>
      <c r="G30" s="134" t="str">
        <f t="shared" si="2"/>
        <v>uL</v>
      </c>
      <c r="H30" s="165"/>
      <c r="I30" s="165"/>
      <c r="J30" s="165"/>
      <c r="K30" s="165"/>
      <c r="L30" s="165"/>
      <c r="M30" s="165"/>
      <c r="N30" s="165"/>
    </row>
    <row r="31" spans="1:14" s="164" customFormat="1" x14ac:dyDescent="0.25">
      <c r="A31" s="105" t="s">
        <v>931</v>
      </c>
      <c r="B31" s="110">
        <v>0.4</v>
      </c>
      <c r="C31" s="110" t="s">
        <v>27</v>
      </c>
      <c r="D31" s="116">
        <f t="shared" ref="D31:D35" si="3">B31*20/B15</f>
        <v>0.08</v>
      </c>
      <c r="E31" s="133" t="s">
        <v>56</v>
      </c>
      <c r="F31" s="132">
        <f t="shared" si="1"/>
        <v>42</v>
      </c>
      <c r="G31" s="134" t="str">
        <f t="shared" si="2"/>
        <v>uL</v>
      </c>
      <c r="H31" s="165"/>
      <c r="I31" s="165"/>
      <c r="J31" s="165"/>
      <c r="K31" s="165"/>
      <c r="L31" s="165"/>
      <c r="M31" s="165"/>
      <c r="N31" s="165"/>
    </row>
    <row r="32" spans="1:14" s="164" customFormat="1" x14ac:dyDescent="0.25">
      <c r="A32" s="105" t="s">
        <v>969</v>
      </c>
      <c r="B32" s="110">
        <v>0.5</v>
      </c>
      <c r="C32" s="110" t="s">
        <v>27</v>
      </c>
      <c r="D32" s="116">
        <f t="shared" si="3"/>
        <v>0.1</v>
      </c>
      <c r="E32" s="133" t="s">
        <v>56</v>
      </c>
      <c r="F32" s="132">
        <f t="shared" si="1"/>
        <v>52.5</v>
      </c>
      <c r="G32" s="134" t="str">
        <f t="shared" si="2"/>
        <v>uL</v>
      </c>
      <c r="H32" s="165"/>
      <c r="I32" s="165"/>
      <c r="J32" s="165"/>
      <c r="K32" s="165"/>
      <c r="L32" s="165"/>
      <c r="M32" s="165"/>
      <c r="N32" s="165"/>
    </row>
    <row r="33" spans="1:11" s="164" customFormat="1" x14ac:dyDescent="0.25">
      <c r="A33" s="105" t="s">
        <v>894</v>
      </c>
      <c r="B33" s="110">
        <v>0.3</v>
      </c>
      <c r="C33" s="110" t="s">
        <v>27</v>
      </c>
      <c r="D33" s="172">
        <v>0</v>
      </c>
      <c r="E33" s="133" t="s">
        <v>56</v>
      </c>
      <c r="F33" s="138">
        <f t="shared" si="1"/>
        <v>0</v>
      </c>
      <c r="G33" s="134" t="str">
        <f t="shared" si="2"/>
        <v>uL</v>
      </c>
      <c r="H33" s="165"/>
      <c r="I33" s="165"/>
      <c r="J33" s="165"/>
      <c r="K33" s="165"/>
    </row>
    <row r="34" spans="1:11" s="164" customFormat="1" x14ac:dyDescent="0.25">
      <c r="A34" s="105" t="s">
        <v>115</v>
      </c>
      <c r="B34" s="110">
        <v>0.3</v>
      </c>
      <c r="C34" s="110" t="s">
        <v>27</v>
      </c>
      <c r="D34" s="116">
        <f t="shared" si="3"/>
        <v>0.06</v>
      </c>
      <c r="E34" s="133" t="s">
        <v>56</v>
      </c>
      <c r="F34" s="132">
        <f t="shared" si="1"/>
        <v>31.5</v>
      </c>
      <c r="G34" s="134" t="str">
        <f t="shared" si="2"/>
        <v>uL</v>
      </c>
      <c r="H34" s="165"/>
      <c r="I34" s="165"/>
      <c r="J34" s="165"/>
      <c r="K34" s="165"/>
    </row>
    <row r="35" spans="1:11" s="164" customFormat="1" x14ac:dyDescent="0.25">
      <c r="A35" s="105" t="s">
        <v>116</v>
      </c>
      <c r="B35" s="110">
        <v>0.25</v>
      </c>
      <c r="C35" s="110" t="s">
        <v>27</v>
      </c>
      <c r="D35" s="116">
        <f t="shared" si="3"/>
        <v>0.05</v>
      </c>
      <c r="E35" s="133" t="s">
        <v>56</v>
      </c>
      <c r="F35" s="132">
        <f t="shared" si="1"/>
        <v>26.25</v>
      </c>
      <c r="G35" s="134" t="str">
        <f t="shared" si="2"/>
        <v>uL</v>
      </c>
      <c r="H35" s="165"/>
      <c r="I35" s="165"/>
      <c r="J35" s="165"/>
      <c r="K35" s="165"/>
    </row>
    <row r="36" spans="1:11" s="164" customFormat="1" x14ac:dyDescent="0.25">
      <c r="A36" s="105" t="s">
        <v>886</v>
      </c>
      <c r="B36" s="110">
        <v>0</v>
      </c>
      <c r="C36" s="110"/>
      <c r="D36" s="172">
        <f t="shared" ref="D36" si="4">B36*20/10</f>
        <v>0</v>
      </c>
      <c r="E36" s="133" t="s">
        <v>56</v>
      </c>
      <c r="F36" s="138">
        <f t="shared" si="1"/>
        <v>0</v>
      </c>
      <c r="G36" s="134" t="str">
        <f t="shared" si="2"/>
        <v>uL</v>
      </c>
      <c r="H36" s="165"/>
      <c r="I36" s="165"/>
      <c r="J36" s="165"/>
      <c r="K36" s="165"/>
    </row>
    <row r="37" spans="1:11" ht="15.75" thickBot="1" x14ac:dyDescent="0.3">
      <c r="A37" s="121" t="s">
        <v>161</v>
      </c>
      <c r="B37" s="122"/>
      <c r="C37" s="122"/>
      <c r="D37" s="135">
        <v>0</v>
      </c>
      <c r="E37" s="133" t="s">
        <v>56</v>
      </c>
      <c r="F37" s="138">
        <f t="shared" si="1"/>
        <v>0</v>
      </c>
      <c r="G37" s="134" t="str">
        <f t="shared" si="2"/>
        <v>uL</v>
      </c>
      <c r="H37" s="165"/>
      <c r="I37" s="165"/>
      <c r="J37" s="165"/>
      <c r="K37" s="165"/>
    </row>
    <row r="38" spans="1:11" x14ac:dyDescent="0.25">
      <c r="A38" s="165"/>
      <c r="B38" s="165"/>
      <c r="C38" s="85" t="s">
        <v>162</v>
      </c>
      <c r="D38" s="85">
        <f>SUM(D22:D37)</f>
        <v>12.112222222222224</v>
      </c>
      <c r="E38" s="85" t="s">
        <v>56</v>
      </c>
      <c r="F38" s="138">
        <f>D38*$G$4*(1+$G$5)</f>
        <v>6358.9166666666679</v>
      </c>
      <c r="G38" s="85" t="s">
        <v>56</v>
      </c>
      <c r="H38" s="165"/>
      <c r="I38" s="165"/>
      <c r="J38" s="165"/>
      <c r="K38" s="165"/>
    </row>
    <row r="40" spans="1:11" x14ac:dyDescent="0.25">
      <c r="A40" s="165" t="s">
        <v>970</v>
      </c>
      <c r="B40" s="165"/>
      <c r="C40" s="165"/>
      <c r="D40" s="165"/>
      <c r="E40" s="165"/>
      <c r="F40" s="84"/>
      <c r="G40" s="165"/>
      <c r="H40" s="165"/>
      <c r="I40" s="165"/>
      <c r="J40" s="165"/>
      <c r="K40" s="165"/>
    </row>
    <row r="41" spans="1:11" ht="16.5" customHeight="1" x14ac:dyDescent="0.25">
      <c r="A41" s="305" t="s">
        <v>971</v>
      </c>
      <c r="B41" s="305"/>
      <c r="C41" s="305"/>
      <c r="D41" s="305"/>
      <c r="E41" s="305"/>
      <c r="F41" s="305"/>
      <c r="G41" s="305"/>
      <c r="H41" s="305"/>
      <c r="I41" s="305"/>
      <c r="J41" s="305"/>
      <c r="K41" s="305"/>
    </row>
    <row r="42" spans="1:11" ht="33" customHeight="1" x14ac:dyDescent="0.25">
      <c r="A42" s="305" t="s">
        <v>972</v>
      </c>
      <c r="B42" s="305"/>
      <c r="C42" s="305"/>
      <c r="D42" s="305"/>
      <c r="E42" s="305"/>
      <c r="F42" s="305"/>
      <c r="G42" s="305"/>
      <c r="H42" s="305"/>
      <c r="I42" s="305"/>
      <c r="J42" s="305"/>
      <c r="K42" s="305"/>
    </row>
    <row r="43" spans="1:11" ht="33" customHeight="1" x14ac:dyDescent="0.25">
      <c r="A43" s="305" t="s">
        <v>973</v>
      </c>
      <c r="B43" s="305"/>
      <c r="C43" s="305"/>
      <c r="D43" s="305"/>
      <c r="E43" s="305"/>
      <c r="F43" s="305"/>
      <c r="G43" s="305"/>
      <c r="H43" s="305"/>
      <c r="I43" s="305"/>
      <c r="J43" s="305"/>
      <c r="K43" s="305"/>
    </row>
    <row r="44" spans="1:11" ht="33" customHeight="1" x14ac:dyDescent="0.25">
      <c r="A44" s="305" t="s">
        <v>974</v>
      </c>
      <c r="B44" s="305"/>
      <c r="C44" s="305"/>
      <c r="D44" s="305"/>
      <c r="E44" s="305"/>
      <c r="F44" s="305"/>
      <c r="G44" s="305"/>
      <c r="H44" s="305"/>
      <c r="I44" s="305"/>
      <c r="J44" s="305"/>
      <c r="K44" s="305"/>
    </row>
    <row r="46" spans="1:11" x14ac:dyDescent="0.25">
      <c r="A46" s="165" t="s">
        <v>975</v>
      </c>
      <c r="B46" s="165"/>
      <c r="C46" s="165"/>
      <c r="D46" s="165"/>
      <c r="E46" s="165"/>
      <c r="F46" s="165"/>
      <c r="G46" s="165"/>
      <c r="H46" s="165"/>
      <c r="I46" s="165"/>
      <c r="J46" s="165"/>
      <c r="K46" s="165"/>
    </row>
    <row r="49" spans="1:5" x14ac:dyDescent="0.25">
      <c r="A49" t="s">
        <v>976</v>
      </c>
    </row>
    <row r="50" spans="1:5" x14ac:dyDescent="0.25">
      <c r="A50" t="s">
        <v>977</v>
      </c>
    </row>
    <row r="52" spans="1:5" x14ac:dyDescent="0.25">
      <c r="A52" t="s">
        <v>522</v>
      </c>
      <c r="B52" t="s">
        <v>523</v>
      </c>
      <c r="C52" t="s">
        <v>524</v>
      </c>
      <c r="D52" t="s">
        <v>525</v>
      </c>
    </row>
    <row r="53" spans="1:5" x14ac:dyDescent="0.25">
      <c r="A53">
        <v>10</v>
      </c>
      <c r="B53">
        <f>C53*D53/A53</f>
        <v>0.6</v>
      </c>
      <c r="C53">
        <v>0.3</v>
      </c>
      <c r="D53">
        <v>20</v>
      </c>
    </row>
    <row r="55" spans="1:5" ht="15.75" thickBot="1" x14ac:dyDescent="0.3">
      <c r="A55" s="165" t="s">
        <v>978</v>
      </c>
      <c r="B55" s="165"/>
      <c r="C55" s="165"/>
      <c r="D55" s="165"/>
      <c r="E55" s="165"/>
    </row>
    <row r="56" spans="1:5" x14ac:dyDescent="0.25">
      <c r="A56" s="91" t="s">
        <v>50</v>
      </c>
      <c r="B56" s="92" t="s">
        <v>74</v>
      </c>
      <c r="C56" s="92" t="s">
        <v>52</v>
      </c>
      <c r="D56" s="92" t="s">
        <v>75</v>
      </c>
      <c r="E56" s="93">
        <f>50*1.2</f>
        <v>60</v>
      </c>
    </row>
    <row r="57" spans="1:5" x14ac:dyDescent="0.25">
      <c r="A57" s="94" t="s">
        <v>76</v>
      </c>
      <c r="B57" s="95"/>
      <c r="C57" s="95"/>
      <c r="D57" s="96">
        <v>0</v>
      </c>
      <c r="E57" s="96">
        <f>D57*$E$56</f>
        <v>0</v>
      </c>
    </row>
    <row r="58" spans="1:5" x14ac:dyDescent="0.25">
      <c r="A58" s="165" t="s">
        <v>828</v>
      </c>
      <c r="B58" s="95"/>
      <c r="C58" s="95"/>
      <c r="D58" s="96">
        <v>2</v>
      </c>
      <c r="E58" s="96">
        <f t="shared" ref="E58:E62" si="5">D58*$E$56</f>
        <v>120</v>
      </c>
    </row>
    <row r="59" spans="1:5" x14ac:dyDescent="0.25">
      <c r="A59" s="110" t="s">
        <v>894</v>
      </c>
      <c r="B59" s="95" t="s">
        <v>980</v>
      </c>
      <c r="C59" s="95"/>
      <c r="D59" s="96">
        <v>0.6</v>
      </c>
      <c r="E59" s="96">
        <f t="shared" si="5"/>
        <v>36</v>
      </c>
    </row>
    <row r="60" spans="1:5" x14ac:dyDescent="0.25">
      <c r="A60" s="110" t="s">
        <v>979</v>
      </c>
      <c r="B60" s="165"/>
      <c r="C60" s="165"/>
      <c r="D60" s="96">
        <v>0.2</v>
      </c>
      <c r="E60" s="96">
        <f t="shared" si="5"/>
        <v>12</v>
      </c>
    </row>
    <row r="61" spans="1:5" x14ac:dyDescent="0.25">
      <c r="A61" s="104" t="s">
        <v>79</v>
      </c>
      <c r="B61" s="95"/>
      <c r="C61" s="95"/>
      <c r="D61" s="96">
        <f>20-SUM(D57:D60)</f>
        <v>17.2</v>
      </c>
      <c r="E61" s="96">
        <f t="shared" si="5"/>
        <v>1032</v>
      </c>
    </row>
    <row r="62" spans="1:5" ht="15.75" thickBot="1" x14ac:dyDescent="0.3">
      <c r="A62" s="97" t="s">
        <v>80</v>
      </c>
      <c r="B62" s="98"/>
      <c r="C62" s="98"/>
      <c r="D62" s="99">
        <f>SUM(D57:D61)</f>
        <v>20</v>
      </c>
      <c r="E62" s="100">
        <f t="shared" si="5"/>
        <v>1200</v>
      </c>
    </row>
    <row r="65" spans="1:18" x14ac:dyDescent="0.25">
      <c r="A65">
        <f>32*8*1.2</f>
        <v>307.2</v>
      </c>
    </row>
    <row r="67" spans="1:18" x14ac:dyDescent="0.25">
      <c r="A67" t="s">
        <v>982</v>
      </c>
      <c r="G67" t="s">
        <v>1043</v>
      </c>
      <c r="N67" t="s">
        <v>1046</v>
      </c>
    </row>
    <row r="68" spans="1:18" x14ac:dyDescent="0.25">
      <c r="A68" s="165" t="s">
        <v>198</v>
      </c>
      <c r="B68" s="165" t="s">
        <v>199</v>
      </c>
      <c r="C68" s="165" t="s">
        <v>200</v>
      </c>
      <c r="D68" s="165" t="s">
        <v>201</v>
      </c>
      <c r="E68" s="165" t="s">
        <v>202</v>
      </c>
      <c r="G68" s="165" t="s">
        <v>198</v>
      </c>
      <c r="H68" s="165" t="s">
        <v>983</v>
      </c>
      <c r="I68" s="165" t="s">
        <v>984</v>
      </c>
      <c r="J68" s="165" t="s">
        <v>985</v>
      </c>
      <c r="K68" s="165" t="s">
        <v>986</v>
      </c>
      <c r="L68" s="165" t="s">
        <v>987</v>
      </c>
      <c r="N68" s="165" t="s">
        <v>198</v>
      </c>
      <c r="O68" s="165" t="s">
        <v>199</v>
      </c>
      <c r="P68" s="165" t="s">
        <v>200</v>
      </c>
      <c r="Q68" s="165" t="s">
        <v>201</v>
      </c>
      <c r="R68" s="165" t="s">
        <v>202</v>
      </c>
    </row>
    <row r="69" spans="1:18" x14ac:dyDescent="0.25">
      <c r="A69" s="165" t="s">
        <v>250</v>
      </c>
      <c r="B69" s="165" t="s">
        <v>981</v>
      </c>
      <c r="C69" s="165" t="s">
        <v>206</v>
      </c>
      <c r="D69" s="165" t="s">
        <v>809</v>
      </c>
      <c r="E69" s="165">
        <v>41.2</v>
      </c>
      <c r="G69" s="165" t="s">
        <v>988</v>
      </c>
      <c r="H69" s="165" t="s">
        <v>989</v>
      </c>
      <c r="I69" s="165" t="s">
        <v>990</v>
      </c>
      <c r="J69" s="165" t="s">
        <v>991</v>
      </c>
      <c r="K69" s="165">
        <v>11.87</v>
      </c>
      <c r="L69" s="165" t="s">
        <v>992</v>
      </c>
      <c r="N69" s="165" t="s">
        <v>204</v>
      </c>
      <c r="O69" s="165" t="s">
        <v>981</v>
      </c>
      <c r="P69" s="165" t="s">
        <v>206</v>
      </c>
      <c r="Q69" s="165" t="s">
        <v>1044</v>
      </c>
      <c r="R69" s="165" t="s">
        <v>220</v>
      </c>
    </row>
    <row r="70" spans="1:18" x14ac:dyDescent="0.25">
      <c r="A70" s="165" t="s">
        <v>250</v>
      </c>
      <c r="B70" s="165" t="s">
        <v>209</v>
      </c>
      <c r="C70" s="165" t="s">
        <v>206</v>
      </c>
      <c r="D70" s="165" t="s">
        <v>210</v>
      </c>
      <c r="E70" s="165">
        <v>11.82</v>
      </c>
      <c r="G70" s="165" t="s">
        <v>993</v>
      </c>
      <c r="H70" s="165" t="s">
        <v>989</v>
      </c>
      <c r="I70" s="165" t="s">
        <v>990</v>
      </c>
      <c r="J70" s="165" t="s">
        <v>994</v>
      </c>
      <c r="K70" s="165">
        <v>36.67</v>
      </c>
      <c r="L70" s="165" t="s">
        <v>995</v>
      </c>
      <c r="N70" s="165" t="s">
        <v>204</v>
      </c>
      <c r="O70" s="165" t="s">
        <v>1045</v>
      </c>
      <c r="P70" s="165" t="s">
        <v>206</v>
      </c>
      <c r="Q70" s="165" t="s">
        <v>210</v>
      </c>
      <c r="R70" s="165">
        <v>11.21</v>
      </c>
    </row>
    <row r="71" spans="1:18" x14ac:dyDescent="0.25">
      <c r="A71" s="165" t="s">
        <v>251</v>
      </c>
      <c r="B71" s="165" t="s">
        <v>981</v>
      </c>
      <c r="C71" s="165" t="s">
        <v>206</v>
      </c>
      <c r="D71" s="165" t="s">
        <v>809</v>
      </c>
      <c r="E71" s="165">
        <v>39.5</v>
      </c>
      <c r="G71" s="165" t="s">
        <v>996</v>
      </c>
      <c r="H71" s="165" t="s">
        <v>997</v>
      </c>
      <c r="I71" s="165" t="s">
        <v>990</v>
      </c>
      <c r="J71" s="165" t="s">
        <v>991</v>
      </c>
      <c r="K71" s="165">
        <v>23.84</v>
      </c>
      <c r="L71" s="165" t="s">
        <v>992</v>
      </c>
      <c r="N71" s="165" t="s">
        <v>211</v>
      </c>
      <c r="O71" s="165" t="s">
        <v>981</v>
      </c>
      <c r="P71" s="165" t="s">
        <v>206</v>
      </c>
      <c r="Q71" s="165" t="s">
        <v>1044</v>
      </c>
      <c r="R71" s="165">
        <v>39.56</v>
      </c>
    </row>
    <row r="72" spans="1:18" x14ac:dyDescent="0.25">
      <c r="A72" s="165" t="s">
        <v>251</v>
      </c>
      <c r="B72" s="165" t="s">
        <v>209</v>
      </c>
      <c r="C72" s="165" t="s">
        <v>206</v>
      </c>
      <c r="D72" s="165" t="s">
        <v>210</v>
      </c>
      <c r="E72" s="165">
        <v>22.77</v>
      </c>
      <c r="G72" s="165" t="s">
        <v>998</v>
      </c>
      <c r="H72" s="165" t="s">
        <v>997</v>
      </c>
      <c r="I72" s="165" t="s">
        <v>990</v>
      </c>
      <c r="J72" s="165" t="s">
        <v>994</v>
      </c>
      <c r="K72" s="165">
        <v>36.840000000000003</v>
      </c>
      <c r="L72" s="165" t="s">
        <v>995</v>
      </c>
      <c r="N72" s="165" t="s">
        <v>211</v>
      </c>
      <c r="O72" s="165" t="s">
        <v>1045</v>
      </c>
      <c r="P72" s="165" t="s">
        <v>206</v>
      </c>
      <c r="Q72" s="165" t="s">
        <v>210</v>
      </c>
      <c r="R72" s="165">
        <v>22.99</v>
      </c>
    </row>
    <row r="73" spans="1:18" x14ac:dyDescent="0.25">
      <c r="A73" s="165" t="s">
        <v>252</v>
      </c>
      <c r="B73" s="165" t="s">
        <v>981</v>
      </c>
      <c r="C73" s="165" t="s">
        <v>206</v>
      </c>
      <c r="D73" s="165" t="s">
        <v>809</v>
      </c>
      <c r="E73" s="165">
        <v>44.12</v>
      </c>
      <c r="G73" s="165" t="s">
        <v>999</v>
      </c>
      <c r="H73" s="165" t="s">
        <v>1000</v>
      </c>
      <c r="I73" s="165" t="s">
        <v>990</v>
      </c>
      <c r="J73" s="165" t="s">
        <v>991</v>
      </c>
      <c r="K73" s="165">
        <v>22.41</v>
      </c>
      <c r="L73" s="165" t="s">
        <v>992</v>
      </c>
      <c r="N73" s="165" t="s">
        <v>212</v>
      </c>
      <c r="O73" s="165" t="s">
        <v>981</v>
      </c>
      <c r="P73" s="165" t="s">
        <v>206</v>
      </c>
      <c r="Q73" s="165" t="s">
        <v>1044</v>
      </c>
      <c r="R73" s="165">
        <v>38.28</v>
      </c>
    </row>
    <row r="74" spans="1:18" x14ac:dyDescent="0.25">
      <c r="A74" s="165" t="s">
        <v>252</v>
      </c>
      <c r="B74" s="165" t="s">
        <v>209</v>
      </c>
      <c r="C74" s="165" t="s">
        <v>206</v>
      </c>
      <c r="D74" s="165" t="s">
        <v>210</v>
      </c>
      <c r="E74" s="165">
        <v>21.77</v>
      </c>
      <c r="G74" s="165" t="s">
        <v>1001</v>
      </c>
      <c r="H74" s="165" t="s">
        <v>1000</v>
      </c>
      <c r="I74" s="165" t="s">
        <v>990</v>
      </c>
      <c r="J74" s="165" t="s">
        <v>994</v>
      </c>
      <c r="K74" s="165">
        <v>0</v>
      </c>
      <c r="L74" s="165" t="s">
        <v>1002</v>
      </c>
      <c r="N74" s="165" t="s">
        <v>212</v>
      </c>
      <c r="O74" s="165" t="s">
        <v>1045</v>
      </c>
      <c r="P74" s="165" t="s">
        <v>206</v>
      </c>
      <c r="Q74" s="165" t="s">
        <v>210</v>
      </c>
      <c r="R74" s="165">
        <v>21.59</v>
      </c>
    </row>
    <row r="75" spans="1:18" x14ac:dyDescent="0.25">
      <c r="A75" s="165" t="s">
        <v>253</v>
      </c>
      <c r="B75" s="165" t="s">
        <v>981</v>
      </c>
      <c r="C75" s="165" t="s">
        <v>206</v>
      </c>
      <c r="D75" s="165" t="s">
        <v>809</v>
      </c>
      <c r="E75" s="165">
        <v>38.630000000000003</v>
      </c>
      <c r="G75" s="165" t="s">
        <v>1003</v>
      </c>
      <c r="H75" s="165" t="s">
        <v>1004</v>
      </c>
      <c r="I75" s="165" t="s">
        <v>990</v>
      </c>
      <c r="J75" s="165" t="s">
        <v>991</v>
      </c>
      <c r="K75" s="165">
        <v>27.94</v>
      </c>
      <c r="L75" s="165" t="s">
        <v>992</v>
      </c>
      <c r="N75" s="165" t="s">
        <v>213</v>
      </c>
      <c r="O75" s="165" t="s">
        <v>981</v>
      </c>
      <c r="P75" s="165" t="s">
        <v>206</v>
      </c>
      <c r="Q75" s="165" t="s">
        <v>1044</v>
      </c>
      <c r="R75" s="165">
        <v>36.61</v>
      </c>
    </row>
    <row r="76" spans="1:18" x14ac:dyDescent="0.25">
      <c r="A76" s="165" t="s">
        <v>253</v>
      </c>
      <c r="B76" s="165" t="s">
        <v>209</v>
      </c>
      <c r="C76" s="165" t="s">
        <v>206</v>
      </c>
      <c r="D76" s="165" t="s">
        <v>210</v>
      </c>
      <c r="E76" s="165">
        <v>29.1</v>
      </c>
      <c r="G76" s="165" t="s">
        <v>1005</v>
      </c>
      <c r="H76" s="165" t="s">
        <v>1004</v>
      </c>
      <c r="I76" s="165" t="s">
        <v>990</v>
      </c>
      <c r="J76" s="165" t="s">
        <v>994</v>
      </c>
      <c r="K76" s="165">
        <v>32.64</v>
      </c>
      <c r="L76" s="165" t="s">
        <v>995</v>
      </c>
      <c r="N76" s="165" t="s">
        <v>213</v>
      </c>
      <c r="O76" s="165" t="s">
        <v>1045</v>
      </c>
      <c r="P76" s="165" t="s">
        <v>206</v>
      </c>
      <c r="Q76" s="165" t="s">
        <v>210</v>
      </c>
      <c r="R76" s="165">
        <v>28.9</v>
      </c>
    </row>
    <row r="77" spans="1:18" x14ac:dyDescent="0.25">
      <c r="A77" s="165" t="s">
        <v>254</v>
      </c>
      <c r="B77" s="165" t="s">
        <v>981</v>
      </c>
      <c r="C77" s="165" t="s">
        <v>206</v>
      </c>
      <c r="D77" s="165" t="s">
        <v>809</v>
      </c>
      <c r="E77" s="165">
        <v>35.92</v>
      </c>
      <c r="G77" s="165" t="s">
        <v>1006</v>
      </c>
      <c r="H77" s="165" t="s">
        <v>1007</v>
      </c>
      <c r="I77" s="165" t="s">
        <v>990</v>
      </c>
      <c r="J77" s="165" t="s">
        <v>991</v>
      </c>
      <c r="K77" s="165">
        <v>28.91</v>
      </c>
      <c r="L77" s="165" t="s">
        <v>992</v>
      </c>
      <c r="N77" s="165" t="s">
        <v>214</v>
      </c>
      <c r="O77" s="165" t="s">
        <v>981</v>
      </c>
      <c r="P77" s="165" t="s">
        <v>206</v>
      </c>
      <c r="Q77" s="165" t="s">
        <v>1044</v>
      </c>
      <c r="R77" s="165">
        <v>38.4</v>
      </c>
    </row>
    <row r="78" spans="1:18" x14ac:dyDescent="0.25">
      <c r="A78" s="165" t="s">
        <v>254</v>
      </c>
      <c r="B78" s="165" t="s">
        <v>209</v>
      </c>
      <c r="C78" s="165" t="s">
        <v>206</v>
      </c>
      <c r="D78" s="165" t="s">
        <v>210</v>
      </c>
      <c r="E78" s="165">
        <v>28.37</v>
      </c>
      <c r="G78" s="165" t="s">
        <v>1008</v>
      </c>
      <c r="H78" s="165" t="s">
        <v>1007</v>
      </c>
      <c r="I78" s="165" t="s">
        <v>990</v>
      </c>
      <c r="J78" s="165" t="s">
        <v>994</v>
      </c>
      <c r="K78" s="165">
        <v>34.19</v>
      </c>
      <c r="L78" s="165" t="s">
        <v>995</v>
      </c>
      <c r="N78" s="165" t="s">
        <v>214</v>
      </c>
      <c r="O78" s="165" t="s">
        <v>1045</v>
      </c>
      <c r="P78" s="165" t="s">
        <v>206</v>
      </c>
      <c r="Q78" s="165" t="s">
        <v>210</v>
      </c>
      <c r="R78" s="165">
        <v>28.62</v>
      </c>
    </row>
    <row r="79" spans="1:18" x14ac:dyDescent="0.25">
      <c r="A79" s="165" t="s">
        <v>255</v>
      </c>
      <c r="B79" s="165" t="s">
        <v>981</v>
      </c>
      <c r="C79" s="165" t="s">
        <v>206</v>
      </c>
      <c r="D79" s="165" t="s">
        <v>809</v>
      </c>
      <c r="E79" s="165">
        <v>36.950000000000003</v>
      </c>
      <c r="G79" s="165" t="s">
        <v>1009</v>
      </c>
      <c r="H79" s="165" t="s">
        <v>1010</v>
      </c>
      <c r="I79" s="165" t="s">
        <v>990</v>
      </c>
      <c r="J79" s="165" t="s">
        <v>991</v>
      </c>
      <c r="K79" s="165">
        <v>30.49</v>
      </c>
      <c r="L79" s="165" t="s">
        <v>992</v>
      </c>
      <c r="N79" s="165" t="s">
        <v>215</v>
      </c>
      <c r="O79" s="165" t="s">
        <v>981</v>
      </c>
      <c r="P79" s="165" t="s">
        <v>206</v>
      </c>
      <c r="Q79" s="165" t="s">
        <v>1044</v>
      </c>
      <c r="R79" s="165">
        <v>37.64</v>
      </c>
    </row>
    <row r="80" spans="1:18" x14ac:dyDescent="0.25">
      <c r="A80" s="165" t="s">
        <v>255</v>
      </c>
      <c r="B80" s="165" t="s">
        <v>209</v>
      </c>
      <c r="C80" s="165" t="s">
        <v>206</v>
      </c>
      <c r="D80" s="165" t="s">
        <v>210</v>
      </c>
      <c r="E80" s="165">
        <v>29.07</v>
      </c>
      <c r="G80" s="165" t="s">
        <v>1011</v>
      </c>
      <c r="H80" s="165" t="s">
        <v>1010</v>
      </c>
      <c r="I80" s="165" t="s">
        <v>990</v>
      </c>
      <c r="J80" s="165" t="s">
        <v>994</v>
      </c>
      <c r="K80" s="165">
        <v>33.51</v>
      </c>
      <c r="L80" s="165" t="s">
        <v>995</v>
      </c>
      <c r="N80" s="165" t="s">
        <v>215</v>
      </c>
      <c r="O80" s="165" t="s">
        <v>1045</v>
      </c>
      <c r="P80" s="165" t="s">
        <v>206</v>
      </c>
      <c r="Q80" s="165" t="s">
        <v>210</v>
      </c>
      <c r="R80" s="165">
        <v>29.74</v>
      </c>
    </row>
    <row r="81" spans="1:18" x14ac:dyDescent="0.25">
      <c r="A81" s="165" t="s">
        <v>256</v>
      </c>
      <c r="B81" s="165" t="s">
        <v>981</v>
      </c>
      <c r="C81" s="165" t="s">
        <v>206</v>
      </c>
      <c r="D81" s="165" t="s">
        <v>809</v>
      </c>
      <c r="E81" s="165">
        <v>34.86</v>
      </c>
      <c r="G81" s="165" t="s">
        <v>1012</v>
      </c>
      <c r="H81" s="165" t="s">
        <v>1013</v>
      </c>
      <c r="I81" s="165" t="s">
        <v>990</v>
      </c>
      <c r="J81" s="165" t="s">
        <v>991</v>
      </c>
      <c r="K81" s="165">
        <v>31.67</v>
      </c>
      <c r="L81" s="165" t="s">
        <v>992</v>
      </c>
      <c r="N81" s="165" t="s">
        <v>216</v>
      </c>
      <c r="O81" s="165" t="s">
        <v>981</v>
      </c>
      <c r="P81" s="165" t="s">
        <v>206</v>
      </c>
      <c r="Q81" s="165" t="s">
        <v>1044</v>
      </c>
      <c r="R81" s="165">
        <v>36.32</v>
      </c>
    </row>
    <row r="82" spans="1:18" x14ac:dyDescent="0.25">
      <c r="A82" s="165" t="s">
        <v>256</v>
      </c>
      <c r="B82" s="165" t="s">
        <v>209</v>
      </c>
      <c r="C82" s="165" t="s">
        <v>206</v>
      </c>
      <c r="D82" s="165" t="s">
        <v>210</v>
      </c>
      <c r="E82" s="165">
        <v>32.15</v>
      </c>
      <c r="G82" s="165" t="s">
        <v>1014</v>
      </c>
      <c r="H82" s="165" t="s">
        <v>1013</v>
      </c>
      <c r="I82" s="165" t="s">
        <v>990</v>
      </c>
      <c r="J82" s="165" t="s">
        <v>994</v>
      </c>
      <c r="K82" s="165">
        <v>34.57</v>
      </c>
      <c r="L82" s="165" t="s">
        <v>995</v>
      </c>
      <c r="N82" s="165" t="s">
        <v>216</v>
      </c>
      <c r="O82" s="165" t="s">
        <v>1045</v>
      </c>
      <c r="P82" s="165" t="s">
        <v>206</v>
      </c>
      <c r="Q82" s="165" t="s">
        <v>210</v>
      </c>
      <c r="R82" s="165">
        <v>29.49</v>
      </c>
    </row>
    <row r="83" spans="1:18" x14ac:dyDescent="0.25">
      <c r="A83" s="165" t="s">
        <v>257</v>
      </c>
      <c r="B83" s="165" t="s">
        <v>981</v>
      </c>
      <c r="C83" s="165" t="s">
        <v>206</v>
      </c>
      <c r="D83" s="165" t="s">
        <v>809</v>
      </c>
      <c r="E83" s="165" t="s">
        <v>220</v>
      </c>
      <c r="G83" s="165" t="s">
        <v>1015</v>
      </c>
      <c r="H83" s="165" t="s">
        <v>1016</v>
      </c>
      <c r="I83" s="165" t="s">
        <v>990</v>
      </c>
      <c r="J83" s="165" t="s">
        <v>991</v>
      </c>
      <c r="K83" s="165">
        <v>0</v>
      </c>
      <c r="L83" s="165" t="s">
        <v>1017</v>
      </c>
      <c r="N83" s="165" t="s">
        <v>217</v>
      </c>
      <c r="O83" s="165" t="s">
        <v>981</v>
      </c>
      <c r="P83" s="165" t="s">
        <v>206</v>
      </c>
      <c r="Q83" s="165" t="s">
        <v>1044</v>
      </c>
      <c r="R83" s="165">
        <v>34.97</v>
      </c>
    </row>
    <row r="84" spans="1:18" x14ac:dyDescent="0.25">
      <c r="A84" s="165" t="s">
        <v>257</v>
      </c>
      <c r="B84" s="165" t="s">
        <v>209</v>
      </c>
      <c r="C84" s="165" t="s">
        <v>206</v>
      </c>
      <c r="D84" s="165" t="s">
        <v>210</v>
      </c>
      <c r="E84" s="165" t="s">
        <v>220</v>
      </c>
      <c r="G84" s="165" t="s">
        <v>1018</v>
      </c>
      <c r="H84" s="165" t="s">
        <v>1016</v>
      </c>
      <c r="I84" s="165" t="s">
        <v>990</v>
      </c>
      <c r="J84" s="165" t="s">
        <v>994</v>
      </c>
      <c r="K84" s="165">
        <v>35.520000000000003</v>
      </c>
      <c r="L84" s="165" t="s">
        <v>995</v>
      </c>
      <c r="N84" s="165" t="s">
        <v>217</v>
      </c>
      <c r="O84" s="165" t="s">
        <v>1045</v>
      </c>
      <c r="P84" s="165" t="s">
        <v>206</v>
      </c>
      <c r="Q84" s="165" t="s">
        <v>210</v>
      </c>
      <c r="R84" s="165">
        <v>18.37</v>
      </c>
    </row>
    <row r="85" spans="1:18" x14ac:dyDescent="0.25">
      <c r="A85" s="165" t="s">
        <v>262</v>
      </c>
      <c r="B85" s="165" t="s">
        <v>981</v>
      </c>
      <c r="C85" s="165" t="s">
        <v>206</v>
      </c>
      <c r="D85" s="165" t="s">
        <v>809</v>
      </c>
      <c r="E85" s="165">
        <v>40.42</v>
      </c>
      <c r="G85" s="165" t="s">
        <v>1019</v>
      </c>
      <c r="H85" s="165" t="s">
        <v>1020</v>
      </c>
      <c r="I85" s="165" t="s">
        <v>990</v>
      </c>
      <c r="J85" s="165" t="s">
        <v>991</v>
      </c>
      <c r="K85" s="165">
        <v>11.76</v>
      </c>
      <c r="L85" s="165" t="s">
        <v>992</v>
      </c>
      <c r="N85" s="165" t="s">
        <v>223</v>
      </c>
      <c r="O85" s="165" t="s">
        <v>981</v>
      </c>
      <c r="P85" s="165" t="s">
        <v>206</v>
      </c>
      <c r="Q85" s="165" t="s">
        <v>1044</v>
      </c>
      <c r="R85" s="165">
        <v>38.93</v>
      </c>
    </row>
    <row r="86" spans="1:18" x14ac:dyDescent="0.25">
      <c r="A86" s="165" t="s">
        <v>262</v>
      </c>
      <c r="B86" s="165" t="s">
        <v>209</v>
      </c>
      <c r="C86" s="165" t="s">
        <v>206</v>
      </c>
      <c r="D86" s="165" t="s">
        <v>210</v>
      </c>
      <c r="E86" s="165">
        <v>13.15</v>
      </c>
      <c r="G86" s="165" t="s">
        <v>1021</v>
      </c>
      <c r="H86" s="165" t="s">
        <v>1020</v>
      </c>
      <c r="I86" s="165" t="s">
        <v>990</v>
      </c>
      <c r="J86" s="165" t="s">
        <v>994</v>
      </c>
      <c r="K86" s="165">
        <v>34.31</v>
      </c>
      <c r="L86" s="165" t="s">
        <v>995</v>
      </c>
      <c r="N86" s="165" t="s">
        <v>223</v>
      </c>
      <c r="O86" s="165" t="s">
        <v>1045</v>
      </c>
      <c r="P86" s="165" t="s">
        <v>206</v>
      </c>
      <c r="Q86" s="165" t="s">
        <v>210</v>
      </c>
      <c r="R86" s="165">
        <v>11.35</v>
      </c>
    </row>
    <row r="87" spans="1:18" x14ac:dyDescent="0.25">
      <c r="A87" s="165" t="s">
        <v>263</v>
      </c>
      <c r="B87" s="165" t="s">
        <v>981</v>
      </c>
      <c r="C87" s="165" t="s">
        <v>206</v>
      </c>
      <c r="D87" s="165" t="s">
        <v>809</v>
      </c>
      <c r="E87" s="165">
        <v>36.69</v>
      </c>
      <c r="G87" s="165" t="s">
        <v>1022</v>
      </c>
      <c r="H87" s="165" t="s">
        <v>1023</v>
      </c>
      <c r="I87" s="165" t="s">
        <v>990</v>
      </c>
      <c r="J87" s="165" t="s">
        <v>991</v>
      </c>
      <c r="K87" s="165">
        <v>23.92</v>
      </c>
      <c r="L87" s="165" t="s">
        <v>992</v>
      </c>
      <c r="N87" s="165" t="s">
        <v>234</v>
      </c>
      <c r="O87" s="165" t="s">
        <v>981</v>
      </c>
      <c r="P87" s="165" t="s">
        <v>206</v>
      </c>
      <c r="Q87" s="165" t="s">
        <v>1044</v>
      </c>
      <c r="R87" s="165">
        <v>38.75</v>
      </c>
    </row>
    <row r="88" spans="1:18" x14ac:dyDescent="0.25">
      <c r="A88" s="165" t="s">
        <v>263</v>
      </c>
      <c r="B88" s="165" t="s">
        <v>209</v>
      </c>
      <c r="C88" s="165" t="s">
        <v>206</v>
      </c>
      <c r="D88" s="165" t="s">
        <v>210</v>
      </c>
      <c r="E88" s="165">
        <v>22.38</v>
      </c>
      <c r="G88" s="165" t="s">
        <v>1024</v>
      </c>
      <c r="H88" s="165" t="s">
        <v>1023</v>
      </c>
      <c r="I88" s="165" t="s">
        <v>990</v>
      </c>
      <c r="J88" s="165" t="s">
        <v>994</v>
      </c>
      <c r="K88" s="165">
        <v>35.54</v>
      </c>
      <c r="L88" s="165" t="s">
        <v>995</v>
      </c>
      <c r="N88" s="165" t="s">
        <v>234</v>
      </c>
      <c r="O88" s="165" t="s">
        <v>1045</v>
      </c>
      <c r="P88" s="165" t="s">
        <v>206</v>
      </c>
      <c r="Q88" s="165" t="s">
        <v>210</v>
      </c>
      <c r="R88" s="165">
        <v>22.88</v>
      </c>
    </row>
    <row r="89" spans="1:18" x14ac:dyDescent="0.25">
      <c r="A89" s="165" t="s">
        <v>264</v>
      </c>
      <c r="B89" s="165" t="s">
        <v>981</v>
      </c>
      <c r="C89" s="165" t="s">
        <v>206</v>
      </c>
      <c r="D89" s="165" t="s">
        <v>809</v>
      </c>
      <c r="E89" s="165">
        <v>38.799999999999997</v>
      </c>
      <c r="G89" s="165" t="s">
        <v>1025</v>
      </c>
      <c r="H89" s="165" t="s">
        <v>1026</v>
      </c>
      <c r="I89" s="165" t="s">
        <v>990</v>
      </c>
      <c r="J89" s="165" t="s">
        <v>991</v>
      </c>
      <c r="K89" s="165">
        <v>22.49</v>
      </c>
      <c r="L89" s="165" t="s">
        <v>992</v>
      </c>
      <c r="N89" s="165" t="s">
        <v>235</v>
      </c>
      <c r="O89" s="165" t="s">
        <v>981</v>
      </c>
      <c r="P89" s="165" t="s">
        <v>206</v>
      </c>
      <c r="Q89" s="165" t="s">
        <v>1044</v>
      </c>
      <c r="R89" s="165">
        <v>39.96</v>
      </c>
    </row>
    <row r="90" spans="1:18" x14ac:dyDescent="0.25">
      <c r="A90" s="165" t="s">
        <v>264</v>
      </c>
      <c r="B90" s="165" t="s">
        <v>209</v>
      </c>
      <c r="C90" s="165" t="s">
        <v>206</v>
      </c>
      <c r="D90" s="165" t="s">
        <v>210</v>
      </c>
      <c r="E90" s="165">
        <v>21.31</v>
      </c>
      <c r="G90" s="165" t="s">
        <v>1027</v>
      </c>
      <c r="H90" s="165" t="s">
        <v>1026</v>
      </c>
      <c r="I90" s="165" t="s">
        <v>990</v>
      </c>
      <c r="J90" s="165" t="s">
        <v>994</v>
      </c>
      <c r="K90" s="165">
        <v>36</v>
      </c>
      <c r="L90" s="165" t="s">
        <v>995</v>
      </c>
      <c r="N90" s="165" t="s">
        <v>235</v>
      </c>
      <c r="O90" s="165" t="s">
        <v>1045</v>
      </c>
      <c r="P90" s="165" t="s">
        <v>206</v>
      </c>
      <c r="Q90" s="165" t="s">
        <v>210</v>
      </c>
      <c r="R90" s="165">
        <v>22.56</v>
      </c>
    </row>
    <row r="91" spans="1:18" x14ac:dyDescent="0.25">
      <c r="A91" s="165" t="s">
        <v>265</v>
      </c>
      <c r="B91" s="165" t="s">
        <v>981</v>
      </c>
      <c r="C91" s="165" t="s">
        <v>206</v>
      </c>
      <c r="D91" s="165" t="s">
        <v>809</v>
      </c>
      <c r="E91" s="165">
        <v>38.85</v>
      </c>
      <c r="G91" s="165" t="s">
        <v>1028</v>
      </c>
      <c r="H91" s="165" t="s">
        <v>1029</v>
      </c>
      <c r="I91" s="165" t="s">
        <v>990</v>
      </c>
      <c r="J91" s="165" t="s">
        <v>991</v>
      </c>
      <c r="K91" s="165">
        <v>29.09</v>
      </c>
      <c r="L91" s="165" t="s">
        <v>992</v>
      </c>
      <c r="N91" s="165" t="s">
        <v>236</v>
      </c>
      <c r="O91" s="165" t="s">
        <v>981</v>
      </c>
      <c r="P91" s="165" t="s">
        <v>206</v>
      </c>
      <c r="Q91" s="165" t="s">
        <v>1044</v>
      </c>
      <c r="R91" s="165">
        <v>36.880000000000003</v>
      </c>
    </row>
    <row r="92" spans="1:18" x14ac:dyDescent="0.25">
      <c r="A92" s="165" t="s">
        <v>265</v>
      </c>
      <c r="B92" s="165" t="s">
        <v>209</v>
      </c>
      <c r="C92" s="165" t="s">
        <v>206</v>
      </c>
      <c r="D92" s="165" t="s">
        <v>210</v>
      </c>
      <c r="E92" s="165">
        <v>28.54</v>
      </c>
      <c r="G92" s="165" t="s">
        <v>1030</v>
      </c>
      <c r="H92" s="165" t="s">
        <v>1029</v>
      </c>
      <c r="I92" s="165" t="s">
        <v>990</v>
      </c>
      <c r="J92" s="165" t="s">
        <v>994</v>
      </c>
      <c r="K92" s="165">
        <v>33.950000000000003</v>
      </c>
      <c r="L92" s="165" t="s">
        <v>995</v>
      </c>
      <c r="N92" s="165" t="s">
        <v>236</v>
      </c>
      <c r="O92" s="165" t="s">
        <v>1045</v>
      </c>
      <c r="P92" s="165" t="s">
        <v>206</v>
      </c>
      <c r="Q92" s="165" t="s">
        <v>210</v>
      </c>
      <c r="R92" s="165">
        <v>29.45</v>
      </c>
    </row>
    <row r="93" spans="1:18" x14ac:dyDescent="0.25">
      <c r="A93" s="165" t="s">
        <v>266</v>
      </c>
      <c r="B93" s="165" t="s">
        <v>981</v>
      </c>
      <c r="C93" s="165" t="s">
        <v>206</v>
      </c>
      <c r="D93" s="165" t="s">
        <v>809</v>
      </c>
      <c r="E93" s="165" t="s">
        <v>220</v>
      </c>
      <c r="G93" s="165" t="s">
        <v>1031</v>
      </c>
      <c r="H93" s="165" t="s">
        <v>1032</v>
      </c>
      <c r="I93" s="165" t="s">
        <v>990</v>
      </c>
      <c r="J93" s="165" t="s">
        <v>991</v>
      </c>
      <c r="K93" s="165">
        <v>29.21</v>
      </c>
      <c r="L93" s="165" t="s">
        <v>992</v>
      </c>
      <c r="N93" s="165" t="s">
        <v>237</v>
      </c>
      <c r="O93" s="165" t="s">
        <v>981</v>
      </c>
      <c r="P93" s="165" t="s">
        <v>206</v>
      </c>
      <c r="Q93" s="165" t="s">
        <v>1044</v>
      </c>
      <c r="R93" s="165">
        <v>37.39</v>
      </c>
    </row>
    <row r="94" spans="1:18" x14ac:dyDescent="0.25">
      <c r="A94" s="165" t="s">
        <v>266</v>
      </c>
      <c r="B94" s="165" t="s">
        <v>209</v>
      </c>
      <c r="C94" s="165" t="s">
        <v>206</v>
      </c>
      <c r="D94" s="165" t="s">
        <v>210</v>
      </c>
      <c r="E94" s="165">
        <v>28.08</v>
      </c>
      <c r="G94" s="165" t="s">
        <v>1033</v>
      </c>
      <c r="H94" s="165" t="s">
        <v>1032</v>
      </c>
      <c r="I94" s="165" t="s">
        <v>990</v>
      </c>
      <c r="J94" s="165" t="s">
        <v>994</v>
      </c>
      <c r="K94" s="165">
        <v>33.11</v>
      </c>
      <c r="L94" s="165" t="s">
        <v>995</v>
      </c>
      <c r="N94" s="165" t="s">
        <v>237</v>
      </c>
      <c r="O94" s="165" t="s">
        <v>1045</v>
      </c>
      <c r="P94" s="165" t="s">
        <v>206</v>
      </c>
      <c r="Q94" s="165" t="s">
        <v>210</v>
      </c>
      <c r="R94" s="165">
        <v>28.75</v>
      </c>
    </row>
    <row r="95" spans="1:18" x14ac:dyDescent="0.25">
      <c r="A95" s="165" t="s">
        <v>267</v>
      </c>
      <c r="B95" s="165" t="s">
        <v>981</v>
      </c>
      <c r="C95" s="165" t="s">
        <v>206</v>
      </c>
      <c r="D95" s="165" t="s">
        <v>809</v>
      </c>
      <c r="E95" s="165">
        <v>36.42</v>
      </c>
      <c r="G95" s="165" t="s">
        <v>1034</v>
      </c>
      <c r="H95" s="165" t="s">
        <v>1035</v>
      </c>
      <c r="I95" s="165" t="s">
        <v>990</v>
      </c>
      <c r="J95" s="165" t="s">
        <v>991</v>
      </c>
      <c r="K95" s="165">
        <v>30.26</v>
      </c>
      <c r="L95" s="165" t="s">
        <v>992</v>
      </c>
      <c r="N95" s="165" t="s">
        <v>238</v>
      </c>
      <c r="O95" s="165" t="s">
        <v>981</v>
      </c>
      <c r="P95" s="165" t="s">
        <v>206</v>
      </c>
      <c r="Q95" s="165" t="s">
        <v>1044</v>
      </c>
      <c r="R95" s="165">
        <v>38.6</v>
      </c>
    </row>
    <row r="96" spans="1:18" x14ac:dyDescent="0.25">
      <c r="A96" s="165" t="s">
        <v>267</v>
      </c>
      <c r="B96" s="165" t="s">
        <v>209</v>
      </c>
      <c r="C96" s="165" t="s">
        <v>206</v>
      </c>
      <c r="D96" s="165" t="s">
        <v>210</v>
      </c>
      <c r="E96" s="165">
        <v>29.27</v>
      </c>
      <c r="G96" s="165" t="s">
        <v>1036</v>
      </c>
      <c r="H96" s="165" t="s">
        <v>1035</v>
      </c>
      <c r="I96" s="165" t="s">
        <v>990</v>
      </c>
      <c r="J96" s="165" t="s">
        <v>994</v>
      </c>
      <c r="K96" s="165">
        <v>0</v>
      </c>
      <c r="L96" s="165" t="s">
        <v>1002</v>
      </c>
      <c r="N96" s="165" t="s">
        <v>238</v>
      </c>
      <c r="O96" s="165" t="s">
        <v>1045</v>
      </c>
      <c r="P96" s="165" t="s">
        <v>206</v>
      </c>
      <c r="Q96" s="165" t="s">
        <v>210</v>
      </c>
      <c r="R96" s="165">
        <v>29.39</v>
      </c>
    </row>
    <row r="97" spans="1:32" x14ac:dyDescent="0.25">
      <c r="A97" s="165" t="s">
        <v>268</v>
      </c>
      <c r="B97" s="165" t="s">
        <v>981</v>
      </c>
      <c r="C97" s="165" t="s">
        <v>206</v>
      </c>
      <c r="D97" s="165" t="s">
        <v>809</v>
      </c>
      <c r="E97" s="165">
        <v>38.9</v>
      </c>
      <c r="G97" s="165" t="s">
        <v>1037</v>
      </c>
      <c r="H97" s="165" t="s">
        <v>1038</v>
      </c>
      <c r="I97" s="165" t="s">
        <v>990</v>
      </c>
      <c r="J97" s="165" t="s">
        <v>991</v>
      </c>
      <c r="K97" s="165">
        <v>32.270000000000003</v>
      </c>
      <c r="L97" s="165" t="s">
        <v>992</v>
      </c>
      <c r="N97" s="165" t="s">
        <v>239</v>
      </c>
      <c r="O97" s="165" t="s">
        <v>981</v>
      </c>
      <c r="P97" s="165" t="s">
        <v>206</v>
      </c>
      <c r="Q97" s="165" t="s">
        <v>1044</v>
      </c>
      <c r="R97" s="165">
        <v>34.31</v>
      </c>
    </row>
    <row r="98" spans="1:32" x14ac:dyDescent="0.25">
      <c r="A98" s="165" t="s">
        <v>268</v>
      </c>
      <c r="B98" s="165" t="s">
        <v>209</v>
      </c>
      <c r="C98" s="165" t="s">
        <v>206</v>
      </c>
      <c r="D98" s="165" t="s">
        <v>210</v>
      </c>
      <c r="E98" s="165">
        <v>32.53</v>
      </c>
      <c r="G98" s="165" t="s">
        <v>1039</v>
      </c>
      <c r="H98" s="165" t="s">
        <v>1038</v>
      </c>
      <c r="I98" s="165" t="s">
        <v>990</v>
      </c>
      <c r="J98" s="165" t="s">
        <v>994</v>
      </c>
      <c r="K98" s="165">
        <v>0</v>
      </c>
      <c r="L98" s="165" t="s">
        <v>1002</v>
      </c>
      <c r="N98" s="165" t="s">
        <v>239</v>
      </c>
      <c r="O98" s="165" t="s">
        <v>1045</v>
      </c>
      <c r="P98" s="165" t="s">
        <v>206</v>
      </c>
      <c r="Q98" s="165" t="s">
        <v>210</v>
      </c>
      <c r="R98" s="165">
        <v>31.51</v>
      </c>
    </row>
    <row r="99" spans="1:32" x14ac:dyDescent="0.25">
      <c r="A99" s="165" t="s">
        <v>270</v>
      </c>
      <c r="B99" s="165" t="s">
        <v>981</v>
      </c>
      <c r="C99" s="165" t="s">
        <v>206</v>
      </c>
      <c r="D99" s="165" t="s">
        <v>809</v>
      </c>
      <c r="E99" s="165" t="s">
        <v>220</v>
      </c>
      <c r="G99" s="165" t="s">
        <v>1040</v>
      </c>
      <c r="H99" s="165" t="s">
        <v>1041</v>
      </c>
      <c r="I99" s="165" t="s">
        <v>990</v>
      </c>
      <c r="J99" s="165" t="s">
        <v>991</v>
      </c>
      <c r="K99" s="165">
        <v>0</v>
      </c>
      <c r="L99" s="165" t="s">
        <v>1017</v>
      </c>
      <c r="N99" s="165" t="s">
        <v>242</v>
      </c>
      <c r="O99" s="165" t="s">
        <v>981</v>
      </c>
      <c r="P99" s="165" t="s">
        <v>206</v>
      </c>
      <c r="Q99" s="165" t="s">
        <v>1044</v>
      </c>
      <c r="R99" s="165">
        <v>34.630000000000003</v>
      </c>
    </row>
    <row r="100" spans="1:32" x14ac:dyDescent="0.25">
      <c r="A100" s="165" t="s">
        <v>270</v>
      </c>
      <c r="B100" s="165" t="s">
        <v>209</v>
      </c>
      <c r="C100" s="165" t="s">
        <v>206</v>
      </c>
      <c r="D100" s="165" t="s">
        <v>210</v>
      </c>
      <c r="E100" s="165">
        <v>37.96</v>
      </c>
      <c r="G100" s="165" t="s">
        <v>1042</v>
      </c>
      <c r="H100" s="165" t="s">
        <v>1041</v>
      </c>
      <c r="I100" s="165" t="s">
        <v>990</v>
      </c>
      <c r="J100" s="165" t="s">
        <v>994</v>
      </c>
      <c r="K100" s="165">
        <v>32.450000000000003</v>
      </c>
      <c r="L100" s="165" t="s">
        <v>995</v>
      </c>
      <c r="N100" s="165" t="s">
        <v>242</v>
      </c>
      <c r="O100" s="165" t="s">
        <v>1045</v>
      </c>
      <c r="P100" s="165" t="s">
        <v>206</v>
      </c>
      <c r="Q100" s="165" t="s">
        <v>210</v>
      </c>
      <c r="R100" s="165" t="s">
        <v>220</v>
      </c>
    </row>
    <row r="101" spans="1:32" x14ac:dyDescent="0.25">
      <c r="A101" s="165"/>
      <c r="B101" s="165"/>
      <c r="C101" s="165"/>
      <c r="D101" s="165"/>
      <c r="E101" s="165"/>
    </row>
    <row r="103" spans="1:32" x14ac:dyDescent="0.25">
      <c r="A103" t="s">
        <v>1047</v>
      </c>
      <c r="B103" t="s">
        <v>198</v>
      </c>
      <c r="C103" s="165" t="s">
        <v>1048</v>
      </c>
      <c r="D103" t="s">
        <v>1049</v>
      </c>
      <c r="E103" s="165" t="s">
        <v>1050</v>
      </c>
      <c r="F103" t="s">
        <v>1051</v>
      </c>
      <c r="G103" s="165" t="s">
        <v>199</v>
      </c>
      <c r="H103" s="165" t="s">
        <v>200</v>
      </c>
      <c r="I103" s="165" t="s">
        <v>201</v>
      </c>
      <c r="J103" s="165" t="s">
        <v>202</v>
      </c>
      <c r="L103" s="165" t="s">
        <v>1047</v>
      </c>
      <c r="M103" s="165" t="s">
        <v>198</v>
      </c>
      <c r="N103" s="165" t="s">
        <v>1048</v>
      </c>
      <c r="O103" s="165" t="s">
        <v>1049</v>
      </c>
      <c r="P103" s="165" t="s">
        <v>1050</v>
      </c>
      <c r="Q103" s="165" t="s">
        <v>1051</v>
      </c>
      <c r="R103" s="165" t="s">
        <v>199</v>
      </c>
      <c r="S103" s="165" t="s">
        <v>200</v>
      </c>
      <c r="T103" s="165" t="s">
        <v>201</v>
      </c>
      <c r="U103" s="165" t="s">
        <v>202</v>
      </c>
      <c r="W103" s="165" t="s">
        <v>1047</v>
      </c>
      <c r="X103" s="165" t="s">
        <v>198</v>
      </c>
      <c r="Y103" s="165" t="s">
        <v>1048</v>
      </c>
      <c r="Z103" s="165" t="s">
        <v>1049</v>
      </c>
      <c r="AA103" s="165" t="s">
        <v>1050</v>
      </c>
      <c r="AB103" s="165" t="s">
        <v>1051</v>
      </c>
      <c r="AC103" s="165" t="s">
        <v>199</v>
      </c>
      <c r="AD103" s="165" t="s">
        <v>200</v>
      </c>
      <c r="AE103" s="165" t="s">
        <v>201</v>
      </c>
      <c r="AF103" s="165" t="s">
        <v>202</v>
      </c>
    </row>
    <row r="104" spans="1:32" x14ac:dyDescent="0.25">
      <c r="A104" t="s">
        <v>982</v>
      </c>
      <c r="B104" s="165" t="s">
        <v>204</v>
      </c>
      <c r="C104" s="165" t="s">
        <v>250</v>
      </c>
      <c r="G104" s="165" t="s">
        <v>981</v>
      </c>
      <c r="H104" s="165" t="s">
        <v>206</v>
      </c>
      <c r="I104" s="165" t="s">
        <v>809</v>
      </c>
      <c r="J104" s="165">
        <v>41.2</v>
      </c>
      <c r="L104" s="165" t="s">
        <v>982</v>
      </c>
      <c r="M104" s="165" t="s">
        <v>217</v>
      </c>
      <c r="N104" s="165" t="s">
        <v>257</v>
      </c>
      <c r="O104" s="165"/>
      <c r="P104" s="165"/>
      <c r="Q104" s="165"/>
      <c r="R104" s="165" t="s">
        <v>981</v>
      </c>
      <c r="S104" s="165" t="s">
        <v>206</v>
      </c>
      <c r="T104" s="165" t="s">
        <v>809</v>
      </c>
      <c r="U104" s="165">
        <v>0</v>
      </c>
      <c r="W104" s="165" t="s">
        <v>1046</v>
      </c>
      <c r="X104" s="165">
        <v>1</v>
      </c>
      <c r="Y104" s="165"/>
      <c r="Z104" s="165"/>
      <c r="AA104" s="165"/>
      <c r="AB104" s="165"/>
      <c r="AC104" s="165" t="s">
        <v>981</v>
      </c>
      <c r="AD104" s="165" t="s">
        <v>206</v>
      </c>
      <c r="AE104" s="165" t="s">
        <v>809</v>
      </c>
      <c r="AF104" s="165">
        <v>0</v>
      </c>
    </row>
    <row r="105" spans="1:32" x14ac:dyDescent="0.25">
      <c r="A105" s="165" t="s">
        <v>982</v>
      </c>
      <c r="B105" s="165" t="s">
        <v>204</v>
      </c>
      <c r="C105" s="165" t="s">
        <v>250</v>
      </c>
      <c r="G105" s="165" t="s">
        <v>209</v>
      </c>
      <c r="H105" s="165" t="s">
        <v>206</v>
      </c>
      <c r="I105" s="165" t="s">
        <v>210</v>
      </c>
      <c r="J105" s="165">
        <v>11.82</v>
      </c>
      <c r="L105" s="165" t="s">
        <v>982</v>
      </c>
      <c r="M105" s="165" t="s">
        <v>217</v>
      </c>
      <c r="N105" s="165" t="s">
        <v>257</v>
      </c>
      <c r="O105" s="165"/>
      <c r="P105" s="165"/>
      <c r="Q105" s="165"/>
      <c r="R105" s="165" t="s">
        <v>209</v>
      </c>
      <c r="S105" s="165" t="s">
        <v>206</v>
      </c>
      <c r="T105" s="165" t="s">
        <v>210</v>
      </c>
      <c r="U105" s="165">
        <v>0</v>
      </c>
      <c r="W105" s="165" t="s">
        <v>1046</v>
      </c>
      <c r="X105" s="165">
        <v>1</v>
      </c>
      <c r="Y105" s="165"/>
      <c r="Z105" s="165"/>
      <c r="AA105" s="165"/>
      <c r="AB105" s="165"/>
      <c r="AC105" s="165" t="s">
        <v>1045</v>
      </c>
      <c r="AD105" s="165" t="s">
        <v>206</v>
      </c>
      <c r="AE105" s="165" t="s">
        <v>210</v>
      </c>
      <c r="AF105" s="165">
        <v>11.21</v>
      </c>
    </row>
    <row r="106" spans="1:32" x14ac:dyDescent="0.25">
      <c r="A106" s="165" t="s">
        <v>982</v>
      </c>
      <c r="B106" s="165" t="s">
        <v>211</v>
      </c>
      <c r="C106" s="165" t="s">
        <v>251</v>
      </c>
      <c r="G106" s="165" t="s">
        <v>981</v>
      </c>
      <c r="H106" s="165" t="s">
        <v>206</v>
      </c>
      <c r="I106" s="165" t="s">
        <v>809</v>
      </c>
      <c r="J106" s="165">
        <v>39.5</v>
      </c>
      <c r="L106" s="165" t="s">
        <v>982</v>
      </c>
      <c r="M106" s="165" t="s">
        <v>237</v>
      </c>
      <c r="N106" s="165" t="s">
        <v>266</v>
      </c>
      <c r="O106" s="165"/>
      <c r="P106" s="165"/>
      <c r="Q106" s="165"/>
      <c r="R106" s="165" t="s">
        <v>981</v>
      </c>
      <c r="S106" s="165" t="s">
        <v>206</v>
      </c>
      <c r="T106" s="165" t="s">
        <v>809</v>
      </c>
      <c r="U106" s="165">
        <v>0</v>
      </c>
      <c r="W106" s="165" t="s">
        <v>1046</v>
      </c>
      <c r="X106" s="165">
        <v>2</v>
      </c>
      <c r="Y106" s="165"/>
      <c r="Z106" s="165"/>
      <c r="AA106" s="165"/>
      <c r="AB106" s="165"/>
      <c r="AC106" s="165" t="s">
        <v>1045</v>
      </c>
      <c r="AD106" s="165" t="s">
        <v>206</v>
      </c>
      <c r="AE106" s="165" t="s">
        <v>210</v>
      </c>
      <c r="AF106" s="165">
        <v>22.99</v>
      </c>
    </row>
    <row r="107" spans="1:32" x14ac:dyDescent="0.25">
      <c r="A107" s="165" t="s">
        <v>982</v>
      </c>
      <c r="B107" s="165" t="s">
        <v>211</v>
      </c>
      <c r="C107" s="165" t="s">
        <v>251</v>
      </c>
      <c r="G107" s="165" t="s">
        <v>209</v>
      </c>
      <c r="H107" s="165" t="s">
        <v>206</v>
      </c>
      <c r="I107" s="165" t="s">
        <v>210</v>
      </c>
      <c r="J107" s="165">
        <v>22.77</v>
      </c>
      <c r="L107" s="165" t="s">
        <v>982</v>
      </c>
      <c r="M107" s="165" t="s">
        <v>242</v>
      </c>
      <c r="N107" s="165" t="s">
        <v>270</v>
      </c>
      <c r="O107" s="165"/>
      <c r="P107" s="165"/>
      <c r="Q107" s="165"/>
      <c r="R107" s="165" t="s">
        <v>981</v>
      </c>
      <c r="S107" s="165" t="s">
        <v>206</v>
      </c>
      <c r="T107" s="165" t="s">
        <v>809</v>
      </c>
      <c r="U107" s="165">
        <v>0</v>
      </c>
      <c r="W107" s="165" t="s">
        <v>1046</v>
      </c>
      <c r="X107" s="165">
        <v>2</v>
      </c>
      <c r="Y107" s="165"/>
      <c r="Z107" s="165"/>
      <c r="AA107" s="165"/>
      <c r="AB107" s="165"/>
      <c r="AC107" s="165" t="s">
        <v>981</v>
      </c>
      <c r="AD107" s="165" t="s">
        <v>206</v>
      </c>
      <c r="AE107" s="165" t="s">
        <v>809</v>
      </c>
      <c r="AF107" s="165">
        <v>39.56</v>
      </c>
    </row>
    <row r="108" spans="1:32" x14ac:dyDescent="0.25">
      <c r="A108" s="165" t="s">
        <v>982</v>
      </c>
      <c r="B108" s="165" t="s">
        <v>212</v>
      </c>
      <c r="C108" s="165" t="s">
        <v>252</v>
      </c>
      <c r="G108" s="165" t="s">
        <v>981</v>
      </c>
      <c r="H108" s="165" t="s">
        <v>206</v>
      </c>
      <c r="I108" s="165" t="s">
        <v>809</v>
      </c>
      <c r="J108" s="165">
        <v>44.12</v>
      </c>
      <c r="L108" s="165" t="s">
        <v>1043</v>
      </c>
      <c r="M108" s="165" t="s">
        <v>212</v>
      </c>
      <c r="N108" s="165"/>
      <c r="O108" s="165" t="s">
        <v>1001</v>
      </c>
      <c r="P108" s="165" t="s">
        <v>1000</v>
      </c>
      <c r="Q108" s="165" t="s">
        <v>990</v>
      </c>
      <c r="R108" s="165" t="s">
        <v>994</v>
      </c>
      <c r="S108" s="165"/>
      <c r="T108" s="165" t="s">
        <v>809</v>
      </c>
      <c r="U108" s="165">
        <v>0</v>
      </c>
      <c r="W108" s="165" t="s">
        <v>1046</v>
      </c>
      <c r="X108" s="165">
        <v>3</v>
      </c>
      <c r="Y108" s="165"/>
      <c r="Z108" s="165"/>
      <c r="AA108" s="165"/>
      <c r="AB108" s="165"/>
      <c r="AC108" s="165" t="s">
        <v>1045</v>
      </c>
      <c r="AD108" s="165" t="s">
        <v>206</v>
      </c>
      <c r="AE108" s="165" t="s">
        <v>210</v>
      </c>
      <c r="AF108" s="165">
        <v>21.59</v>
      </c>
    </row>
    <row r="109" spans="1:32" x14ac:dyDescent="0.25">
      <c r="A109" s="165" t="s">
        <v>982</v>
      </c>
      <c r="B109" s="165" t="s">
        <v>212</v>
      </c>
      <c r="C109" s="165" t="s">
        <v>252</v>
      </c>
      <c r="G109" s="165" t="s">
        <v>209</v>
      </c>
      <c r="H109" s="165" t="s">
        <v>206</v>
      </c>
      <c r="I109" s="165" t="s">
        <v>210</v>
      </c>
      <c r="J109" s="165">
        <v>21.77</v>
      </c>
      <c r="L109" s="165" t="s">
        <v>1043</v>
      </c>
      <c r="M109" s="165" t="s">
        <v>217</v>
      </c>
      <c r="N109" s="165"/>
      <c r="O109" s="165" t="s">
        <v>1015</v>
      </c>
      <c r="P109" s="165" t="s">
        <v>1016</v>
      </c>
      <c r="Q109" s="165" t="s">
        <v>990</v>
      </c>
      <c r="R109" s="165" t="s">
        <v>991</v>
      </c>
      <c r="S109" s="165"/>
      <c r="T109" s="165" t="s">
        <v>210</v>
      </c>
      <c r="U109" s="165">
        <v>0</v>
      </c>
      <c r="W109" s="165" t="s">
        <v>1046</v>
      </c>
      <c r="X109" s="165">
        <v>3</v>
      </c>
      <c r="Y109" s="165"/>
      <c r="Z109" s="165"/>
      <c r="AA109" s="165"/>
      <c r="AB109" s="165"/>
      <c r="AC109" s="165" t="s">
        <v>981</v>
      </c>
      <c r="AD109" s="165" t="s">
        <v>206</v>
      </c>
      <c r="AE109" s="165" t="s">
        <v>809</v>
      </c>
      <c r="AF109" s="165">
        <v>38.28</v>
      </c>
    </row>
    <row r="110" spans="1:32" x14ac:dyDescent="0.25">
      <c r="A110" s="165" t="s">
        <v>982</v>
      </c>
      <c r="B110" s="165" t="s">
        <v>213</v>
      </c>
      <c r="C110" s="165" t="s">
        <v>253</v>
      </c>
      <c r="G110" s="165" t="s">
        <v>981</v>
      </c>
      <c r="H110" s="165" t="s">
        <v>206</v>
      </c>
      <c r="I110" s="165" t="s">
        <v>809</v>
      </c>
      <c r="J110" s="165">
        <v>38.630000000000003</v>
      </c>
      <c r="L110" s="165" t="s">
        <v>1043</v>
      </c>
      <c r="M110" s="165" t="s">
        <v>238</v>
      </c>
      <c r="N110" s="165"/>
      <c r="O110" s="165" t="s">
        <v>1036</v>
      </c>
      <c r="P110" s="165" t="s">
        <v>1035</v>
      </c>
      <c r="Q110" s="165" t="s">
        <v>990</v>
      </c>
      <c r="R110" s="165" t="s">
        <v>994</v>
      </c>
      <c r="S110" s="165"/>
      <c r="T110" s="165" t="s">
        <v>809</v>
      </c>
      <c r="U110" s="165">
        <v>0</v>
      </c>
      <c r="W110" s="165" t="s">
        <v>1046</v>
      </c>
      <c r="X110" s="165">
        <v>4</v>
      </c>
      <c r="Y110" s="165"/>
      <c r="Z110" s="165"/>
      <c r="AA110" s="165"/>
      <c r="AB110" s="165"/>
      <c r="AC110" s="165" t="s">
        <v>1045</v>
      </c>
      <c r="AD110" s="165" t="s">
        <v>206</v>
      </c>
      <c r="AE110" s="165" t="s">
        <v>210</v>
      </c>
      <c r="AF110" s="165">
        <v>28.9</v>
      </c>
    </row>
    <row r="111" spans="1:32" x14ac:dyDescent="0.25">
      <c r="A111" s="165" t="s">
        <v>982</v>
      </c>
      <c r="B111" s="165" t="s">
        <v>213</v>
      </c>
      <c r="C111" s="165" t="s">
        <v>253</v>
      </c>
      <c r="G111" s="165" t="s">
        <v>209</v>
      </c>
      <c r="H111" s="165" t="s">
        <v>206</v>
      </c>
      <c r="I111" s="165" t="s">
        <v>210</v>
      </c>
      <c r="J111" s="165">
        <v>29.1</v>
      </c>
      <c r="L111" s="165" t="s">
        <v>1043</v>
      </c>
      <c r="M111" s="165" t="s">
        <v>239</v>
      </c>
      <c r="N111" s="165"/>
      <c r="O111" s="165" t="s">
        <v>1039</v>
      </c>
      <c r="P111" s="165" t="s">
        <v>1038</v>
      </c>
      <c r="Q111" s="165" t="s">
        <v>990</v>
      </c>
      <c r="R111" s="165" t="s">
        <v>994</v>
      </c>
      <c r="S111" s="165"/>
      <c r="T111" s="165" t="s">
        <v>809</v>
      </c>
      <c r="U111" s="165">
        <v>0</v>
      </c>
      <c r="W111" s="165" t="s">
        <v>1046</v>
      </c>
      <c r="X111" s="165">
        <v>4</v>
      </c>
      <c r="Y111" s="165"/>
      <c r="Z111" s="165"/>
      <c r="AA111" s="165"/>
      <c r="AB111" s="165"/>
      <c r="AC111" s="165" t="s">
        <v>981</v>
      </c>
      <c r="AD111" s="165" t="s">
        <v>206</v>
      </c>
      <c r="AE111" s="165" t="s">
        <v>809</v>
      </c>
      <c r="AF111" s="165">
        <v>36.61</v>
      </c>
    </row>
    <row r="112" spans="1:32" x14ac:dyDescent="0.25">
      <c r="A112" s="165" t="s">
        <v>982</v>
      </c>
      <c r="B112" s="165" t="s">
        <v>214</v>
      </c>
      <c r="C112" s="165" t="s">
        <v>254</v>
      </c>
      <c r="G112" s="165" t="s">
        <v>981</v>
      </c>
      <c r="H112" s="165" t="s">
        <v>206</v>
      </c>
      <c r="I112" s="165" t="s">
        <v>809</v>
      </c>
      <c r="J112" s="165">
        <v>35.92</v>
      </c>
      <c r="L112" s="165" t="s">
        <v>1043</v>
      </c>
      <c r="M112" s="165" t="s">
        <v>242</v>
      </c>
      <c r="N112" s="165"/>
      <c r="O112" s="165" t="s">
        <v>1040</v>
      </c>
      <c r="P112" s="165" t="s">
        <v>1041</v>
      </c>
      <c r="Q112" s="165" t="s">
        <v>990</v>
      </c>
      <c r="R112" s="165" t="s">
        <v>991</v>
      </c>
      <c r="S112" s="165"/>
      <c r="T112" s="165" t="s">
        <v>210</v>
      </c>
      <c r="U112" s="165">
        <v>0</v>
      </c>
      <c r="W112" s="165" t="s">
        <v>1046</v>
      </c>
      <c r="X112" s="165">
        <v>5</v>
      </c>
      <c r="Y112" s="165"/>
      <c r="Z112" s="165"/>
      <c r="AA112" s="165"/>
      <c r="AB112" s="165"/>
      <c r="AC112" s="165" t="s">
        <v>1045</v>
      </c>
      <c r="AD112" s="165" t="s">
        <v>206</v>
      </c>
      <c r="AE112" s="165" t="s">
        <v>210</v>
      </c>
      <c r="AF112" s="165">
        <v>28.62</v>
      </c>
    </row>
    <row r="113" spans="1:32" x14ac:dyDescent="0.25">
      <c r="A113" s="165" t="s">
        <v>982</v>
      </c>
      <c r="B113" s="165" t="s">
        <v>214</v>
      </c>
      <c r="C113" s="165" t="s">
        <v>254</v>
      </c>
      <c r="G113" s="165" t="s">
        <v>209</v>
      </c>
      <c r="H113" s="165" t="s">
        <v>206</v>
      </c>
      <c r="I113" s="165" t="s">
        <v>210</v>
      </c>
      <c r="J113" s="165">
        <v>28.37</v>
      </c>
      <c r="L113" s="165" t="s">
        <v>1046</v>
      </c>
      <c r="M113" s="165" t="s">
        <v>204</v>
      </c>
      <c r="N113" s="165"/>
      <c r="O113" s="165"/>
      <c r="P113" s="165"/>
      <c r="Q113" s="165"/>
      <c r="R113" s="165" t="s">
        <v>981</v>
      </c>
      <c r="S113" s="165" t="s">
        <v>206</v>
      </c>
      <c r="T113" s="165" t="s">
        <v>809</v>
      </c>
      <c r="U113" s="165">
        <v>0</v>
      </c>
      <c r="W113" s="165" t="s">
        <v>1046</v>
      </c>
      <c r="X113" s="165">
        <v>5</v>
      </c>
      <c r="Y113" s="165"/>
      <c r="Z113" s="165"/>
      <c r="AA113" s="165"/>
      <c r="AB113" s="165"/>
      <c r="AC113" s="165" t="s">
        <v>981</v>
      </c>
      <c r="AD113" s="165" t="s">
        <v>206</v>
      </c>
      <c r="AE113" s="165" t="s">
        <v>809</v>
      </c>
      <c r="AF113" s="165">
        <v>38.4</v>
      </c>
    </row>
    <row r="114" spans="1:32" x14ac:dyDescent="0.25">
      <c r="A114" s="165" t="s">
        <v>982</v>
      </c>
      <c r="B114" s="165" t="s">
        <v>215</v>
      </c>
      <c r="C114" s="165" t="s">
        <v>255</v>
      </c>
      <c r="G114" s="165" t="s">
        <v>981</v>
      </c>
      <c r="H114" s="165" t="s">
        <v>206</v>
      </c>
      <c r="I114" s="165" t="s">
        <v>809</v>
      </c>
      <c r="J114" s="165">
        <v>36.950000000000003</v>
      </c>
      <c r="L114" s="165" t="s">
        <v>1046</v>
      </c>
      <c r="M114" s="165" t="s">
        <v>242</v>
      </c>
      <c r="N114" s="165"/>
      <c r="O114" s="165"/>
      <c r="P114" s="165"/>
      <c r="Q114" s="165"/>
      <c r="R114" s="165" t="s">
        <v>1045</v>
      </c>
      <c r="S114" s="165" t="s">
        <v>206</v>
      </c>
      <c r="T114" s="165" t="s">
        <v>210</v>
      </c>
      <c r="U114" s="165">
        <v>0</v>
      </c>
      <c r="W114" s="165" t="s">
        <v>1046</v>
      </c>
      <c r="X114" s="165">
        <v>6</v>
      </c>
      <c r="Y114" s="165"/>
      <c r="Z114" s="165"/>
      <c r="AA114" s="165"/>
      <c r="AB114" s="165"/>
      <c r="AC114" s="165" t="s">
        <v>1045</v>
      </c>
      <c r="AD114" s="165" t="s">
        <v>206</v>
      </c>
      <c r="AE114" s="165" t="s">
        <v>210</v>
      </c>
      <c r="AF114" s="165">
        <v>29.74</v>
      </c>
    </row>
    <row r="115" spans="1:32" x14ac:dyDescent="0.25">
      <c r="A115" s="165" t="s">
        <v>982</v>
      </c>
      <c r="B115" s="165" t="s">
        <v>215</v>
      </c>
      <c r="C115" s="165" t="s">
        <v>255</v>
      </c>
      <c r="G115" s="165" t="s">
        <v>209</v>
      </c>
      <c r="H115" s="165" t="s">
        <v>206</v>
      </c>
      <c r="I115" s="165" t="s">
        <v>210</v>
      </c>
      <c r="J115" s="165">
        <v>29.07</v>
      </c>
      <c r="L115" s="165" t="s">
        <v>1046</v>
      </c>
      <c r="M115" s="165" t="s">
        <v>204</v>
      </c>
      <c r="N115" s="165"/>
      <c r="O115" s="165"/>
      <c r="P115" s="165"/>
      <c r="Q115" s="165"/>
      <c r="R115" s="165" t="s">
        <v>1045</v>
      </c>
      <c r="S115" s="165" t="s">
        <v>206</v>
      </c>
      <c r="T115" s="165" t="s">
        <v>210</v>
      </c>
      <c r="U115" s="165">
        <v>11.21</v>
      </c>
      <c r="W115" s="165" t="s">
        <v>1046</v>
      </c>
      <c r="X115" s="165">
        <v>6</v>
      </c>
      <c r="Y115" s="165"/>
      <c r="Z115" s="165"/>
      <c r="AA115" s="165"/>
      <c r="AB115" s="165"/>
      <c r="AC115" s="165" t="s">
        <v>981</v>
      </c>
      <c r="AD115" s="165" t="s">
        <v>206</v>
      </c>
      <c r="AE115" s="165" t="s">
        <v>809</v>
      </c>
      <c r="AF115" s="165">
        <v>37.64</v>
      </c>
    </row>
    <row r="116" spans="1:32" x14ac:dyDescent="0.25">
      <c r="A116" s="165" t="s">
        <v>982</v>
      </c>
      <c r="B116" s="165" t="s">
        <v>216</v>
      </c>
      <c r="C116" s="165" t="s">
        <v>256</v>
      </c>
      <c r="G116" s="165" t="s">
        <v>981</v>
      </c>
      <c r="H116" s="165" t="s">
        <v>206</v>
      </c>
      <c r="I116" s="165" t="s">
        <v>809</v>
      </c>
      <c r="J116" s="165">
        <v>34.86</v>
      </c>
      <c r="L116" s="165" t="s">
        <v>1046</v>
      </c>
      <c r="M116" s="165" t="s">
        <v>223</v>
      </c>
      <c r="N116" s="165"/>
      <c r="O116" s="165"/>
      <c r="P116" s="165"/>
      <c r="Q116" s="165"/>
      <c r="R116" s="165" t="s">
        <v>1045</v>
      </c>
      <c r="S116" s="165" t="s">
        <v>206</v>
      </c>
      <c r="T116" s="165" t="s">
        <v>210</v>
      </c>
      <c r="U116" s="165">
        <v>11.35</v>
      </c>
      <c r="W116" s="165" t="s">
        <v>1046</v>
      </c>
      <c r="X116" s="165">
        <v>7</v>
      </c>
      <c r="Y116" s="165"/>
      <c r="Z116" s="165"/>
      <c r="AA116" s="165"/>
      <c r="AB116" s="165"/>
      <c r="AC116" s="165" t="s">
        <v>1045</v>
      </c>
      <c r="AD116" s="165" t="s">
        <v>206</v>
      </c>
      <c r="AE116" s="165" t="s">
        <v>210</v>
      </c>
      <c r="AF116" s="165">
        <v>29.49</v>
      </c>
    </row>
    <row r="117" spans="1:32" x14ac:dyDescent="0.25">
      <c r="A117" s="165" t="s">
        <v>982</v>
      </c>
      <c r="B117" s="165" t="s">
        <v>216</v>
      </c>
      <c r="C117" s="165" t="s">
        <v>256</v>
      </c>
      <c r="G117" s="165" t="s">
        <v>209</v>
      </c>
      <c r="H117" s="165" t="s">
        <v>206</v>
      </c>
      <c r="I117" s="165" t="s">
        <v>210</v>
      </c>
      <c r="J117" s="165">
        <v>32.15</v>
      </c>
      <c r="L117" s="165" t="s">
        <v>1043</v>
      </c>
      <c r="M117" s="165" t="s">
        <v>223</v>
      </c>
      <c r="N117" s="165"/>
      <c r="O117" s="165" t="s">
        <v>1019</v>
      </c>
      <c r="P117" s="165" t="s">
        <v>1020</v>
      </c>
      <c r="Q117" s="165" t="s">
        <v>990</v>
      </c>
      <c r="R117" s="165" t="s">
        <v>991</v>
      </c>
      <c r="S117" s="165"/>
      <c r="T117" s="165" t="s">
        <v>210</v>
      </c>
      <c r="U117" s="165">
        <v>11.76</v>
      </c>
      <c r="W117" s="165" t="s">
        <v>1046</v>
      </c>
      <c r="X117" s="165">
        <v>7</v>
      </c>
      <c r="Y117" s="165"/>
      <c r="Z117" s="165"/>
      <c r="AA117" s="165"/>
      <c r="AB117" s="165"/>
      <c r="AC117" s="165" t="s">
        <v>981</v>
      </c>
      <c r="AD117" s="165" t="s">
        <v>206</v>
      </c>
      <c r="AE117" s="165" t="s">
        <v>809</v>
      </c>
      <c r="AF117" s="165">
        <v>36.32</v>
      </c>
    </row>
    <row r="118" spans="1:32" x14ac:dyDescent="0.25">
      <c r="A118" s="165" t="s">
        <v>982</v>
      </c>
      <c r="B118" s="165" t="s">
        <v>217</v>
      </c>
      <c r="C118" s="165" t="s">
        <v>257</v>
      </c>
      <c r="G118" s="165" t="s">
        <v>981</v>
      </c>
      <c r="H118" s="165" t="s">
        <v>206</v>
      </c>
      <c r="I118" s="165" t="s">
        <v>809</v>
      </c>
      <c r="J118" s="165">
        <v>0</v>
      </c>
      <c r="L118" s="165" t="s">
        <v>982</v>
      </c>
      <c r="M118" s="165" t="s">
        <v>204</v>
      </c>
      <c r="N118" s="165" t="s">
        <v>250</v>
      </c>
      <c r="O118" s="165"/>
      <c r="P118" s="165"/>
      <c r="Q118" s="165"/>
      <c r="R118" s="165" t="s">
        <v>209</v>
      </c>
      <c r="S118" s="165" t="s">
        <v>206</v>
      </c>
      <c r="T118" s="165" t="s">
        <v>210</v>
      </c>
      <c r="U118" s="165">
        <v>11.82</v>
      </c>
      <c r="W118" s="165" t="s">
        <v>1046</v>
      </c>
      <c r="X118" s="165">
        <v>8</v>
      </c>
      <c r="Y118" s="165"/>
      <c r="Z118" s="165"/>
      <c r="AA118" s="165"/>
      <c r="AB118" s="165"/>
      <c r="AC118" s="165" t="s">
        <v>1045</v>
      </c>
      <c r="AD118" s="165" t="s">
        <v>206</v>
      </c>
      <c r="AE118" s="165" t="s">
        <v>210</v>
      </c>
      <c r="AF118" s="165">
        <v>18.37</v>
      </c>
    </row>
    <row r="119" spans="1:32" x14ac:dyDescent="0.25">
      <c r="A119" s="165" t="s">
        <v>982</v>
      </c>
      <c r="B119" s="165" t="s">
        <v>217</v>
      </c>
      <c r="C119" s="165" t="s">
        <v>257</v>
      </c>
      <c r="G119" s="165" t="s">
        <v>209</v>
      </c>
      <c r="H119" s="165" t="s">
        <v>206</v>
      </c>
      <c r="I119" s="165" t="s">
        <v>210</v>
      </c>
      <c r="J119" s="165">
        <v>0</v>
      </c>
      <c r="L119" s="165" t="s">
        <v>1043</v>
      </c>
      <c r="M119" s="165" t="s">
        <v>204</v>
      </c>
      <c r="N119" s="165"/>
      <c r="O119" s="165" t="s">
        <v>988</v>
      </c>
      <c r="P119" s="165" t="s">
        <v>989</v>
      </c>
      <c r="Q119" s="165" t="s">
        <v>990</v>
      </c>
      <c r="R119" s="165" t="s">
        <v>991</v>
      </c>
      <c r="S119" s="165"/>
      <c r="T119" s="165" t="s">
        <v>210</v>
      </c>
      <c r="U119" s="165">
        <v>11.87</v>
      </c>
      <c r="W119" s="165" t="s">
        <v>1046</v>
      </c>
      <c r="X119" s="165">
        <v>8</v>
      </c>
      <c r="Y119" s="165"/>
      <c r="Z119" s="165"/>
      <c r="AA119" s="165"/>
      <c r="AB119" s="165"/>
      <c r="AC119" s="165" t="s">
        <v>981</v>
      </c>
      <c r="AD119" s="165" t="s">
        <v>206</v>
      </c>
      <c r="AE119" s="165" t="s">
        <v>809</v>
      </c>
      <c r="AF119" s="165">
        <v>34.97</v>
      </c>
    </row>
    <row r="120" spans="1:32" x14ac:dyDescent="0.25">
      <c r="A120" s="165" t="s">
        <v>982</v>
      </c>
      <c r="B120" s="165" t="s">
        <v>223</v>
      </c>
      <c r="C120" s="165" t="s">
        <v>262</v>
      </c>
      <c r="G120" s="165" t="s">
        <v>981</v>
      </c>
      <c r="H120" s="165" t="s">
        <v>206</v>
      </c>
      <c r="I120" s="165" t="s">
        <v>809</v>
      </c>
      <c r="J120" s="165">
        <v>40.42</v>
      </c>
      <c r="L120" s="165" t="s">
        <v>982</v>
      </c>
      <c r="M120" s="165" t="s">
        <v>223</v>
      </c>
      <c r="N120" s="165" t="s">
        <v>262</v>
      </c>
      <c r="O120" s="165"/>
      <c r="P120" s="165"/>
      <c r="Q120" s="165"/>
      <c r="R120" s="165" t="s">
        <v>209</v>
      </c>
      <c r="S120" s="165" t="s">
        <v>206</v>
      </c>
      <c r="T120" s="165" t="s">
        <v>210</v>
      </c>
      <c r="U120" s="165">
        <v>13.15</v>
      </c>
      <c r="W120" s="165" t="s">
        <v>1046</v>
      </c>
      <c r="X120" s="165">
        <v>1</v>
      </c>
      <c r="Y120" s="165"/>
      <c r="Z120" s="165"/>
      <c r="AA120" s="165"/>
      <c r="AB120" s="165"/>
      <c r="AC120" s="165" t="s">
        <v>1045</v>
      </c>
      <c r="AD120" s="165" t="s">
        <v>206</v>
      </c>
      <c r="AE120" s="165" t="s">
        <v>210</v>
      </c>
      <c r="AF120" s="165">
        <v>11.35</v>
      </c>
    </row>
    <row r="121" spans="1:32" x14ac:dyDescent="0.25">
      <c r="A121" s="165" t="s">
        <v>982</v>
      </c>
      <c r="B121" s="165" t="s">
        <v>223</v>
      </c>
      <c r="C121" s="165" t="s">
        <v>262</v>
      </c>
      <c r="G121" s="165" t="s">
        <v>209</v>
      </c>
      <c r="H121" s="165" t="s">
        <v>206</v>
      </c>
      <c r="I121" s="165" t="s">
        <v>210</v>
      </c>
      <c r="J121" s="165">
        <v>13.15</v>
      </c>
      <c r="L121" s="165" t="s">
        <v>1046</v>
      </c>
      <c r="M121" s="165" t="s">
        <v>217</v>
      </c>
      <c r="N121" s="165"/>
      <c r="O121" s="165"/>
      <c r="P121" s="165"/>
      <c r="Q121" s="165"/>
      <c r="R121" s="165" t="s">
        <v>1045</v>
      </c>
      <c r="S121" s="165" t="s">
        <v>206</v>
      </c>
      <c r="T121" s="165" t="s">
        <v>210</v>
      </c>
      <c r="U121" s="165">
        <v>18.37</v>
      </c>
      <c r="W121" s="165" t="s">
        <v>1046</v>
      </c>
      <c r="X121" s="165">
        <v>1</v>
      </c>
      <c r="Y121" s="165"/>
      <c r="Z121" s="165"/>
      <c r="AA121" s="165"/>
      <c r="AB121" s="165"/>
      <c r="AC121" s="165" t="s">
        <v>981</v>
      </c>
      <c r="AD121" s="165" t="s">
        <v>206</v>
      </c>
      <c r="AE121" s="165" t="s">
        <v>809</v>
      </c>
      <c r="AF121" s="165">
        <v>38.93</v>
      </c>
    </row>
    <row r="122" spans="1:32" x14ac:dyDescent="0.25">
      <c r="A122" s="165" t="s">
        <v>982</v>
      </c>
      <c r="B122" s="165" t="s">
        <v>234</v>
      </c>
      <c r="C122" s="165" t="s">
        <v>263</v>
      </c>
      <c r="G122" s="165" t="s">
        <v>981</v>
      </c>
      <c r="H122" s="165" t="s">
        <v>206</v>
      </c>
      <c r="I122" s="165" t="s">
        <v>809</v>
      </c>
      <c r="J122" s="165">
        <v>36.69</v>
      </c>
      <c r="L122" s="165" t="s">
        <v>982</v>
      </c>
      <c r="M122" s="165" t="s">
        <v>235</v>
      </c>
      <c r="N122" s="165" t="s">
        <v>264</v>
      </c>
      <c r="O122" s="165"/>
      <c r="P122" s="165"/>
      <c r="Q122" s="165"/>
      <c r="R122" s="165" t="s">
        <v>209</v>
      </c>
      <c r="S122" s="165" t="s">
        <v>206</v>
      </c>
      <c r="T122" s="165" t="s">
        <v>210</v>
      </c>
      <c r="U122" s="165">
        <v>21.31</v>
      </c>
      <c r="W122" s="165" t="s">
        <v>1046</v>
      </c>
      <c r="X122" s="165">
        <v>2</v>
      </c>
      <c r="Y122" s="165"/>
      <c r="Z122" s="165"/>
      <c r="AA122" s="165"/>
      <c r="AB122" s="165"/>
      <c r="AC122" s="165" t="s">
        <v>1045</v>
      </c>
      <c r="AD122" s="165" t="s">
        <v>206</v>
      </c>
      <c r="AE122" s="165" t="s">
        <v>210</v>
      </c>
      <c r="AF122" s="165">
        <v>22.88</v>
      </c>
    </row>
    <row r="123" spans="1:32" x14ac:dyDescent="0.25">
      <c r="A123" s="165" t="s">
        <v>982</v>
      </c>
      <c r="B123" s="165" t="s">
        <v>234</v>
      </c>
      <c r="C123" s="165" t="s">
        <v>263</v>
      </c>
      <c r="G123" s="165" t="s">
        <v>209</v>
      </c>
      <c r="H123" s="165" t="s">
        <v>206</v>
      </c>
      <c r="I123" s="165" t="s">
        <v>210</v>
      </c>
      <c r="J123" s="165">
        <v>22.38</v>
      </c>
      <c r="L123" s="165" t="s">
        <v>1046</v>
      </c>
      <c r="M123" s="165" t="s">
        <v>212</v>
      </c>
      <c r="N123" s="165"/>
      <c r="O123" s="165"/>
      <c r="P123" s="165"/>
      <c r="Q123" s="165"/>
      <c r="R123" s="165" t="s">
        <v>1045</v>
      </c>
      <c r="S123" s="165" t="s">
        <v>206</v>
      </c>
      <c r="T123" s="165" t="s">
        <v>210</v>
      </c>
      <c r="U123" s="165">
        <v>21.59</v>
      </c>
      <c r="W123" s="165" t="s">
        <v>1046</v>
      </c>
      <c r="X123" s="165">
        <v>2</v>
      </c>
      <c r="Y123" s="165"/>
      <c r="Z123" s="165"/>
      <c r="AA123" s="165"/>
      <c r="AB123" s="165"/>
      <c r="AC123" s="165" t="s">
        <v>981</v>
      </c>
      <c r="AD123" s="165" t="s">
        <v>206</v>
      </c>
      <c r="AE123" s="165" t="s">
        <v>809</v>
      </c>
      <c r="AF123" s="165">
        <v>38.75</v>
      </c>
    </row>
    <row r="124" spans="1:32" x14ac:dyDescent="0.25">
      <c r="A124" s="165" t="s">
        <v>982</v>
      </c>
      <c r="B124" s="165" t="s">
        <v>235</v>
      </c>
      <c r="C124" s="165" t="s">
        <v>264</v>
      </c>
      <c r="G124" s="165" t="s">
        <v>981</v>
      </c>
      <c r="H124" s="165" t="s">
        <v>206</v>
      </c>
      <c r="I124" s="165" t="s">
        <v>809</v>
      </c>
      <c r="J124" s="165">
        <v>38.799999999999997</v>
      </c>
      <c r="L124" s="165" t="s">
        <v>982</v>
      </c>
      <c r="M124" s="165" t="s">
        <v>212</v>
      </c>
      <c r="N124" s="165" t="s">
        <v>252</v>
      </c>
      <c r="O124" s="165"/>
      <c r="P124" s="165"/>
      <c r="Q124" s="165"/>
      <c r="R124" s="165" t="s">
        <v>209</v>
      </c>
      <c r="S124" s="165" t="s">
        <v>206</v>
      </c>
      <c r="T124" s="165" t="s">
        <v>210</v>
      </c>
      <c r="U124" s="165">
        <v>21.77</v>
      </c>
      <c r="W124" s="165" t="s">
        <v>1046</v>
      </c>
      <c r="X124" s="165">
        <v>3</v>
      </c>
      <c r="Y124" s="165"/>
      <c r="Z124" s="165"/>
      <c r="AA124" s="165"/>
      <c r="AB124" s="165"/>
      <c r="AC124" s="165" t="s">
        <v>1045</v>
      </c>
      <c r="AD124" s="165" t="s">
        <v>206</v>
      </c>
      <c r="AE124" s="165" t="s">
        <v>210</v>
      </c>
      <c r="AF124" s="165">
        <v>22.56</v>
      </c>
    </row>
    <row r="125" spans="1:32" x14ac:dyDescent="0.25">
      <c r="A125" s="165" t="s">
        <v>982</v>
      </c>
      <c r="B125" s="165" t="s">
        <v>235</v>
      </c>
      <c r="C125" s="165" t="s">
        <v>264</v>
      </c>
      <c r="G125" s="165" t="s">
        <v>209</v>
      </c>
      <c r="H125" s="165" t="s">
        <v>206</v>
      </c>
      <c r="I125" s="165" t="s">
        <v>210</v>
      </c>
      <c r="J125" s="165">
        <v>21.31</v>
      </c>
      <c r="L125" s="165" t="s">
        <v>982</v>
      </c>
      <c r="M125" s="165" t="s">
        <v>234</v>
      </c>
      <c r="N125" s="165" t="s">
        <v>263</v>
      </c>
      <c r="O125" s="165"/>
      <c r="P125" s="165"/>
      <c r="Q125" s="165"/>
      <c r="R125" s="165" t="s">
        <v>209</v>
      </c>
      <c r="S125" s="165" t="s">
        <v>206</v>
      </c>
      <c r="T125" s="165" t="s">
        <v>210</v>
      </c>
      <c r="U125" s="165">
        <v>22.38</v>
      </c>
      <c r="W125" s="165" t="s">
        <v>1046</v>
      </c>
      <c r="X125" s="165">
        <v>3</v>
      </c>
      <c r="Y125" s="165"/>
      <c r="Z125" s="165"/>
      <c r="AA125" s="165"/>
      <c r="AB125" s="165"/>
      <c r="AC125" s="165" t="s">
        <v>981</v>
      </c>
      <c r="AD125" s="165" t="s">
        <v>206</v>
      </c>
      <c r="AE125" s="165" t="s">
        <v>809</v>
      </c>
      <c r="AF125" s="165">
        <v>39.96</v>
      </c>
    </row>
    <row r="126" spans="1:32" x14ac:dyDescent="0.25">
      <c r="A126" s="165" t="s">
        <v>982</v>
      </c>
      <c r="B126" s="165" t="s">
        <v>236</v>
      </c>
      <c r="C126" s="165" t="s">
        <v>265</v>
      </c>
      <c r="G126" s="165" t="s">
        <v>981</v>
      </c>
      <c r="H126" s="165" t="s">
        <v>206</v>
      </c>
      <c r="I126" s="165" t="s">
        <v>809</v>
      </c>
      <c r="J126" s="165">
        <v>38.85</v>
      </c>
      <c r="L126" s="165" t="s">
        <v>1043</v>
      </c>
      <c r="M126" s="165" t="s">
        <v>212</v>
      </c>
      <c r="N126" s="165"/>
      <c r="O126" s="165" t="s">
        <v>999</v>
      </c>
      <c r="P126" s="165" t="s">
        <v>1000</v>
      </c>
      <c r="Q126" s="165" t="s">
        <v>990</v>
      </c>
      <c r="R126" s="165" t="s">
        <v>991</v>
      </c>
      <c r="S126" s="165"/>
      <c r="T126" s="165" t="s">
        <v>210</v>
      </c>
      <c r="U126" s="165">
        <v>22.41</v>
      </c>
      <c r="W126" s="165" t="s">
        <v>1046</v>
      </c>
      <c r="X126" s="165">
        <v>4</v>
      </c>
      <c r="Y126" s="165"/>
      <c r="Z126" s="165"/>
      <c r="AA126" s="165"/>
      <c r="AB126" s="165"/>
      <c r="AC126" s="165" t="s">
        <v>1045</v>
      </c>
      <c r="AD126" s="165" t="s">
        <v>206</v>
      </c>
      <c r="AE126" s="165" t="s">
        <v>210</v>
      </c>
      <c r="AF126" s="165">
        <v>29.45</v>
      </c>
    </row>
    <row r="127" spans="1:32" x14ac:dyDescent="0.25">
      <c r="A127" s="165" t="s">
        <v>982</v>
      </c>
      <c r="B127" s="165" t="s">
        <v>236</v>
      </c>
      <c r="C127" s="165" t="s">
        <v>265</v>
      </c>
      <c r="G127" s="165" t="s">
        <v>209</v>
      </c>
      <c r="H127" s="165" t="s">
        <v>206</v>
      </c>
      <c r="I127" s="165" t="s">
        <v>210</v>
      </c>
      <c r="J127" s="165">
        <v>28.54</v>
      </c>
      <c r="L127" s="165" t="s">
        <v>1043</v>
      </c>
      <c r="M127" s="165" t="s">
        <v>235</v>
      </c>
      <c r="N127" s="165"/>
      <c r="O127" s="165" t="s">
        <v>1025</v>
      </c>
      <c r="P127" s="165" t="s">
        <v>1026</v>
      </c>
      <c r="Q127" s="165" t="s">
        <v>990</v>
      </c>
      <c r="R127" s="165" t="s">
        <v>991</v>
      </c>
      <c r="S127" s="165"/>
      <c r="T127" s="165" t="s">
        <v>210</v>
      </c>
      <c r="U127" s="165">
        <v>22.49</v>
      </c>
      <c r="W127" s="165" t="s">
        <v>1046</v>
      </c>
      <c r="X127" s="165">
        <v>4</v>
      </c>
      <c r="Y127" s="165"/>
      <c r="Z127" s="165"/>
      <c r="AA127" s="165"/>
      <c r="AB127" s="165"/>
      <c r="AC127" s="165" t="s">
        <v>981</v>
      </c>
      <c r="AD127" s="165" t="s">
        <v>206</v>
      </c>
      <c r="AE127" s="165" t="s">
        <v>809</v>
      </c>
      <c r="AF127" s="165">
        <v>36.880000000000003</v>
      </c>
    </row>
    <row r="128" spans="1:32" x14ac:dyDescent="0.25">
      <c r="A128" s="165" t="s">
        <v>982</v>
      </c>
      <c r="B128" s="165" t="s">
        <v>237</v>
      </c>
      <c r="C128" s="165" t="s">
        <v>266</v>
      </c>
      <c r="G128" s="165" t="s">
        <v>981</v>
      </c>
      <c r="H128" s="165" t="s">
        <v>206</v>
      </c>
      <c r="I128" s="165" t="s">
        <v>809</v>
      </c>
      <c r="J128" s="165">
        <v>0</v>
      </c>
      <c r="L128" s="165" t="s">
        <v>1046</v>
      </c>
      <c r="M128" s="165" t="s">
        <v>235</v>
      </c>
      <c r="N128" s="165"/>
      <c r="O128" s="165"/>
      <c r="P128" s="165"/>
      <c r="Q128" s="165"/>
      <c r="R128" s="165" t="s">
        <v>1045</v>
      </c>
      <c r="S128" s="165" t="s">
        <v>206</v>
      </c>
      <c r="T128" s="165" t="s">
        <v>210</v>
      </c>
      <c r="U128" s="165">
        <v>22.56</v>
      </c>
      <c r="W128" s="165" t="s">
        <v>1046</v>
      </c>
      <c r="X128" s="165">
        <v>5</v>
      </c>
      <c r="Y128" s="165"/>
      <c r="Z128" s="165"/>
      <c r="AA128" s="165"/>
      <c r="AB128" s="165"/>
      <c r="AC128" s="165" t="s">
        <v>1045</v>
      </c>
      <c r="AD128" s="165" t="s">
        <v>206</v>
      </c>
      <c r="AE128" s="165" t="s">
        <v>210</v>
      </c>
      <c r="AF128" s="165">
        <v>28.75</v>
      </c>
    </row>
    <row r="129" spans="1:32" x14ac:dyDescent="0.25">
      <c r="A129" s="165" t="s">
        <v>982</v>
      </c>
      <c r="B129" s="165" t="s">
        <v>237</v>
      </c>
      <c r="C129" s="165" t="s">
        <v>266</v>
      </c>
      <c r="G129" s="165" t="s">
        <v>209</v>
      </c>
      <c r="H129" s="165" t="s">
        <v>206</v>
      </c>
      <c r="I129" s="165" t="s">
        <v>210</v>
      </c>
      <c r="J129" s="165">
        <v>28.08</v>
      </c>
      <c r="L129" s="165" t="s">
        <v>982</v>
      </c>
      <c r="M129" s="165" t="s">
        <v>211</v>
      </c>
      <c r="N129" s="165" t="s">
        <v>251</v>
      </c>
      <c r="O129" s="165"/>
      <c r="P129" s="165"/>
      <c r="Q129" s="165"/>
      <c r="R129" s="165" t="s">
        <v>209</v>
      </c>
      <c r="S129" s="165" t="s">
        <v>206</v>
      </c>
      <c r="T129" s="165" t="s">
        <v>210</v>
      </c>
      <c r="U129" s="165">
        <v>22.77</v>
      </c>
      <c r="W129" s="165" t="s">
        <v>1046</v>
      </c>
      <c r="X129" s="165">
        <v>5</v>
      </c>
      <c r="Y129" s="165"/>
      <c r="Z129" s="165"/>
      <c r="AA129" s="165"/>
      <c r="AB129" s="165"/>
      <c r="AC129" s="165" t="s">
        <v>981</v>
      </c>
      <c r="AD129" s="165" t="s">
        <v>206</v>
      </c>
      <c r="AE129" s="165" t="s">
        <v>809</v>
      </c>
      <c r="AF129" s="165">
        <v>37.39</v>
      </c>
    </row>
    <row r="130" spans="1:32" x14ac:dyDescent="0.25">
      <c r="A130" s="165" t="s">
        <v>982</v>
      </c>
      <c r="B130" s="165" t="s">
        <v>238</v>
      </c>
      <c r="C130" s="165" t="s">
        <v>267</v>
      </c>
      <c r="G130" s="165" t="s">
        <v>981</v>
      </c>
      <c r="H130" s="165" t="s">
        <v>206</v>
      </c>
      <c r="I130" s="165" t="s">
        <v>809</v>
      </c>
      <c r="J130" s="165">
        <v>36.42</v>
      </c>
      <c r="L130" s="165" t="s">
        <v>1046</v>
      </c>
      <c r="M130" s="165" t="s">
        <v>234</v>
      </c>
      <c r="N130" s="165"/>
      <c r="O130" s="165"/>
      <c r="P130" s="165"/>
      <c r="Q130" s="165"/>
      <c r="R130" s="165" t="s">
        <v>1045</v>
      </c>
      <c r="S130" s="165" t="s">
        <v>206</v>
      </c>
      <c r="T130" s="165" t="s">
        <v>210</v>
      </c>
      <c r="U130" s="165">
        <v>22.88</v>
      </c>
      <c r="W130" s="165" t="s">
        <v>1046</v>
      </c>
      <c r="X130" s="165">
        <v>6</v>
      </c>
      <c r="Y130" s="165"/>
      <c r="Z130" s="165"/>
      <c r="AA130" s="165"/>
      <c r="AB130" s="165"/>
      <c r="AC130" s="165" t="s">
        <v>1045</v>
      </c>
      <c r="AD130" s="165" t="s">
        <v>206</v>
      </c>
      <c r="AE130" s="165" t="s">
        <v>210</v>
      </c>
      <c r="AF130" s="165">
        <v>29.39</v>
      </c>
    </row>
    <row r="131" spans="1:32" x14ac:dyDescent="0.25">
      <c r="A131" s="165" t="s">
        <v>982</v>
      </c>
      <c r="B131" s="165" t="s">
        <v>238</v>
      </c>
      <c r="C131" s="165" t="s">
        <v>267</v>
      </c>
      <c r="G131" s="165" t="s">
        <v>209</v>
      </c>
      <c r="H131" s="165" t="s">
        <v>206</v>
      </c>
      <c r="I131" s="165" t="s">
        <v>210</v>
      </c>
      <c r="J131" s="165">
        <v>29.27</v>
      </c>
      <c r="L131" s="165" t="s">
        <v>1046</v>
      </c>
      <c r="M131" s="165" t="s">
        <v>211</v>
      </c>
      <c r="N131" s="165"/>
      <c r="O131" s="165"/>
      <c r="P131" s="165"/>
      <c r="Q131" s="165"/>
      <c r="R131" s="165" t="s">
        <v>1045</v>
      </c>
      <c r="S131" s="165" t="s">
        <v>206</v>
      </c>
      <c r="T131" s="165" t="s">
        <v>210</v>
      </c>
      <c r="U131" s="165">
        <v>22.99</v>
      </c>
      <c r="W131" s="165" t="s">
        <v>1046</v>
      </c>
      <c r="X131" s="165">
        <v>6</v>
      </c>
      <c r="Y131" s="165"/>
      <c r="Z131" s="165"/>
      <c r="AA131" s="165"/>
      <c r="AB131" s="165"/>
      <c r="AC131" s="165" t="s">
        <v>981</v>
      </c>
      <c r="AD131" s="165" t="s">
        <v>206</v>
      </c>
      <c r="AE131" s="165" t="s">
        <v>809</v>
      </c>
      <c r="AF131" s="165">
        <v>38.6</v>
      </c>
    </row>
    <row r="132" spans="1:32" x14ac:dyDescent="0.25">
      <c r="A132" s="165" t="s">
        <v>982</v>
      </c>
      <c r="B132" s="165" t="s">
        <v>239</v>
      </c>
      <c r="C132" s="165" t="s">
        <v>268</v>
      </c>
      <c r="G132" s="165" t="s">
        <v>981</v>
      </c>
      <c r="H132" s="165" t="s">
        <v>206</v>
      </c>
      <c r="I132" s="165" t="s">
        <v>809</v>
      </c>
      <c r="J132" s="165">
        <v>38.9</v>
      </c>
      <c r="L132" s="165" t="s">
        <v>1043</v>
      </c>
      <c r="M132" s="165" t="s">
        <v>211</v>
      </c>
      <c r="N132" s="165"/>
      <c r="O132" s="165" t="s">
        <v>996</v>
      </c>
      <c r="P132" s="165" t="s">
        <v>997</v>
      </c>
      <c r="Q132" s="165" t="s">
        <v>990</v>
      </c>
      <c r="R132" s="165" t="s">
        <v>991</v>
      </c>
      <c r="S132" s="165"/>
      <c r="T132" s="165" t="s">
        <v>210</v>
      </c>
      <c r="U132" s="165">
        <v>23.84</v>
      </c>
      <c r="W132" s="165" t="s">
        <v>1046</v>
      </c>
      <c r="X132" s="165">
        <v>7</v>
      </c>
      <c r="Y132" s="165"/>
      <c r="Z132" s="165"/>
      <c r="AA132" s="165"/>
      <c r="AB132" s="165"/>
      <c r="AC132" s="165" t="s">
        <v>1045</v>
      </c>
      <c r="AD132" s="165" t="s">
        <v>206</v>
      </c>
      <c r="AE132" s="165" t="s">
        <v>210</v>
      </c>
      <c r="AF132" s="165">
        <v>31.51</v>
      </c>
    </row>
    <row r="133" spans="1:32" x14ac:dyDescent="0.25">
      <c r="A133" s="165" t="s">
        <v>982</v>
      </c>
      <c r="B133" s="165" t="s">
        <v>239</v>
      </c>
      <c r="C133" s="165" t="s">
        <v>268</v>
      </c>
      <c r="G133" s="165" t="s">
        <v>209</v>
      </c>
      <c r="H133" s="165" t="s">
        <v>206</v>
      </c>
      <c r="I133" s="165" t="s">
        <v>210</v>
      </c>
      <c r="J133" s="165">
        <v>32.53</v>
      </c>
      <c r="L133" s="165" t="s">
        <v>1043</v>
      </c>
      <c r="M133" s="165" t="s">
        <v>234</v>
      </c>
      <c r="N133" s="165"/>
      <c r="O133" s="165" t="s">
        <v>1022</v>
      </c>
      <c r="P133" s="165" t="s">
        <v>1023</v>
      </c>
      <c r="Q133" s="165" t="s">
        <v>990</v>
      </c>
      <c r="R133" s="165" t="s">
        <v>991</v>
      </c>
      <c r="S133" s="165"/>
      <c r="T133" s="165" t="s">
        <v>210</v>
      </c>
      <c r="U133" s="165">
        <v>23.92</v>
      </c>
      <c r="W133" s="165" t="s">
        <v>1046</v>
      </c>
      <c r="X133" s="165">
        <v>7</v>
      </c>
      <c r="Y133" s="165"/>
      <c r="Z133" s="165"/>
      <c r="AA133" s="165"/>
      <c r="AB133" s="165"/>
      <c r="AC133" s="165" t="s">
        <v>981</v>
      </c>
      <c r="AD133" s="165" t="s">
        <v>206</v>
      </c>
      <c r="AE133" s="165" t="s">
        <v>809</v>
      </c>
      <c r="AF133" s="165">
        <v>34.31</v>
      </c>
    </row>
    <row r="134" spans="1:32" x14ac:dyDescent="0.25">
      <c r="A134" s="165" t="s">
        <v>982</v>
      </c>
      <c r="B134" s="165" t="s">
        <v>242</v>
      </c>
      <c r="C134" s="165" t="s">
        <v>270</v>
      </c>
      <c r="G134" s="165" t="s">
        <v>981</v>
      </c>
      <c r="H134" s="165" t="s">
        <v>206</v>
      </c>
      <c r="I134" s="165" t="s">
        <v>809</v>
      </c>
      <c r="J134" s="165">
        <v>0</v>
      </c>
      <c r="L134" s="165" t="s">
        <v>1043</v>
      </c>
      <c r="M134" s="165" t="s">
        <v>213</v>
      </c>
      <c r="N134" s="165"/>
      <c r="O134" s="165" t="s">
        <v>1003</v>
      </c>
      <c r="P134" s="165" t="s">
        <v>1004</v>
      </c>
      <c r="Q134" s="165" t="s">
        <v>990</v>
      </c>
      <c r="R134" s="165" t="s">
        <v>991</v>
      </c>
      <c r="S134" s="165"/>
      <c r="T134" s="165" t="s">
        <v>210</v>
      </c>
      <c r="U134" s="165">
        <v>27.94</v>
      </c>
      <c r="W134" s="165" t="s">
        <v>1046</v>
      </c>
      <c r="X134" s="165">
        <v>8</v>
      </c>
      <c r="Y134" s="165"/>
      <c r="Z134" s="165"/>
      <c r="AA134" s="165"/>
      <c r="AB134" s="165"/>
      <c r="AC134" s="165" t="s">
        <v>1045</v>
      </c>
      <c r="AD134" s="165" t="s">
        <v>206</v>
      </c>
      <c r="AE134" s="165" t="s">
        <v>210</v>
      </c>
      <c r="AF134" s="165">
        <v>0</v>
      </c>
    </row>
    <row r="135" spans="1:32" x14ac:dyDescent="0.25">
      <c r="A135" s="165" t="s">
        <v>982</v>
      </c>
      <c r="B135" s="165" t="s">
        <v>242</v>
      </c>
      <c r="C135" s="165" t="s">
        <v>270</v>
      </c>
      <c r="G135" s="165" t="s">
        <v>209</v>
      </c>
      <c r="H135" s="165" t="s">
        <v>206</v>
      </c>
      <c r="I135" s="165" t="s">
        <v>210</v>
      </c>
      <c r="J135" s="165">
        <v>37.96</v>
      </c>
      <c r="L135" s="165" t="s">
        <v>982</v>
      </c>
      <c r="M135" s="165" t="s">
        <v>237</v>
      </c>
      <c r="N135" s="165" t="s">
        <v>266</v>
      </c>
      <c r="O135" s="165"/>
      <c r="P135" s="165"/>
      <c r="Q135" s="165"/>
      <c r="R135" s="165" t="s">
        <v>209</v>
      </c>
      <c r="S135" s="165" t="s">
        <v>206</v>
      </c>
      <c r="T135" s="165" t="s">
        <v>210</v>
      </c>
      <c r="U135" s="165">
        <v>28.08</v>
      </c>
      <c r="W135" s="165" t="s">
        <v>1046</v>
      </c>
      <c r="X135" s="165">
        <v>8</v>
      </c>
      <c r="Y135" s="165"/>
      <c r="Z135" s="165"/>
      <c r="AA135" s="165"/>
      <c r="AB135" s="165"/>
      <c r="AC135" s="165" t="s">
        <v>981</v>
      </c>
      <c r="AD135" s="165" t="s">
        <v>206</v>
      </c>
      <c r="AE135" s="165" t="s">
        <v>809</v>
      </c>
      <c r="AF135" s="165">
        <v>34.630000000000003</v>
      </c>
    </row>
    <row r="136" spans="1:32" x14ac:dyDescent="0.25">
      <c r="A136" t="s">
        <v>1043</v>
      </c>
      <c r="B136" s="165" t="s">
        <v>204</v>
      </c>
      <c r="D136" s="165" t="s">
        <v>988</v>
      </c>
      <c r="E136" s="165" t="s">
        <v>989</v>
      </c>
      <c r="F136" s="165" t="s">
        <v>990</v>
      </c>
      <c r="G136" s="165" t="s">
        <v>991</v>
      </c>
      <c r="I136" s="165" t="s">
        <v>210</v>
      </c>
      <c r="J136" s="165">
        <v>11.87</v>
      </c>
      <c r="L136" s="165" t="s">
        <v>982</v>
      </c>
      <c r="M136" s="165" t="s">
        <v>214</v>
      </c>
      <c r="N136" s="165" t="s">
        <v>254</v>
      </c>
      <c r="O136" s="165"/>
      <c r="P136" s="165"/>
      <c r="Q136" s="165"/>
      <c r="R136" s="165" t="s">
        <v>209</v>
      </c>
      <c r="S136" s="165" t="s">
        <v>206</v>
      </c>
      <c r="T136" s="165" t="s">
        <v>210</v>
      </c>
      <c r="U136" s="165">
        <v>28.37</v>
      </c>
      <c r="W136" s="165" t="s">
        <v>1043</v>
      </c>
      <c r="X136" s="165">
        <v>1</v>
      </c>
      <c r="Y136" s="165"/>
      <c r="Z136" s="165" t="s">
        <v>988</v>
      </c>
      <c r="AA136" s="165" t="s">
        <v>989</v>
      </c>
      <c r="AB136" s="165" t="s">
        <v>990</v>
      </c>
      <c r="AC136" s="165" t="s">
        <v>991</v>
      </c>
      <c r="AD136" s="165"/>
      <c r="AE136" s="165" t="s">
        <v>210</v>
      </c>
      <c r="AF136" s="165">
        <v>11.87</v>
      </c>
    </row>
    <row r="137" spans="1:32" x14ac:dyDescent="0.25">
      <c r="A137" s="165" t="s">
        <v>1043</v>
      </c>
      <c r="B137" s="165" t="s">
        <v>204</v>
      </c>
      <c r="D137" s="165" t="s">
        <v>993</v>
      </c>
      <c r="E137" s="165" t="s">
        <v>989</v>
      </c>
      <c r="F137" s="165" t="s">
        <v>990</v>
      </c>
      <c r="G137" s="165" t="s">
        <v>994</v>
      </c>
      <c r="I137" s="165" t="s">
        <v>809</v>
      </c>
      <c r="J137" s="165">
        <v>36.67</v>
      </c>
      <c r="L137" s="165" t="s">
        <v>982</v>
      </c>
      <c r="M137" s="165" t="s">
        <v>236</v>
      </c>
      <c r="N137" s="165" t="s">
        <v>265</v>
      </c>
      <c r="O137" s="165"/>
      <c r="P137" s="165"/>
      <c r="Q137" s="165"/>
      <c r="R137" s="165" t="s">
        <v>209</v>
      </c>
      <c r="S137" s="165" t="s">
        <v>206</v>
      </c>
      <c r="T137" s="165" t="s">
        <v>210</v>
      </c>
      <c r="U137" s="165">
        <v>28.54</v>
      </c>
      <c r="W137" s="165" t="s">
        <v>1043</v>
      </c>
      <c r="X137" s="165">
        <v>1</v>
      </c>
      <c r="Y137" s="165"/>
      <c r="Z137" s="165" t="s">
        <v>993</v>
      </c>
      <c r="AA137" s="165" t="s">
        <v>989</v>
      </c>
      <c r="AB137" s="165" t="s">
        <v>990</v>
      </c>
      <c r="AC137" s="165" t="s">
        <v>994</v>
      </c>
      <c r="AD137" s="165"/>
      <c r="AE137" s="165" t="s">
        <v>809</v>
      </c>
      <c r="AF137" s="165">
        <v>36.67</v>
      </c>
    </row>
    <row r="138" spans="1:32" x14ac:dyDescent="0.25">
      <c r="A138" s="165" t="s">
        <v>1043</v>
      </c>
      <c r="B138" s="165" t="s">
        <v>211</v>
      </c>
      <c r="D138" s="165" t="s">
        <v>996</v>
      </c>
      <c r="E138" s="165" t="s">
        <v>997</v>
      </c>
      <c r="F138" s="165" t="s">
        <v>990</v>
      </c>
      <c r="G138" s="165" t="s">
        <v>991</v>
      </c>
      <c r="I138" s="165" t="s">
        <v>210</v>
      </c>
      <c r="J138" s="165">
        <v>23.84</v>
      </c>
      <c r="L138" s="165" t="s">
        <v>1046</v>
      </c>
      <c r="M138" s="165" t="s">
        <v>214</v>
      </c>
      <c r="N138" s="165"/>
      <c r="O138" s="165"/>
      <c r="P138" s="165"/>
      <c r="Q138" s="165"/>
      <c r="R138" s="165" t="s">
        <v>1045</v>
      </c>
      <c r="S138" s="165" t="s">
        <v>206</v>
      </c>
      <c r="T138" s="165" t="s">
        <v>210</v>
      </c>
      <c r="U138" s="165">
        <v>28.62</v>
      </c>
      <c r="W138" s="165" t="s">
        <v>1043</v>
      </c>
      <c r="X138" s="165">
        <v>2</v>
      </c>
      <c r="Y138" s="165"/>
      <c r="Z138" s="165" t="s">
        <v>996</v>
      </c>
      <c r="AA138" s="165" t="s">
        <v>997</v>
      </c>
      <c r="AB138" s="165" t="s">
        <v>990</v>
      </c>
      <c r="AC138" s="165" t="s">
        <v>991</v>
      </c>
      <c r="AD138" s="165"/>
      <c r="AE138" s="165" t="s">
        <v>210</v>
      </c>
      <c r="AF138" s="165">
        <v>23.84</v>
      </c>
    </row>
    <row r="139" spans="1:32" x14ac:dyDescent="0.25">
      <c r="A139" s="165" t="s">
        <v>1043</v>
      </c>
      <c r="B139" s="165" t="s">
        <v>211</v>
      </c>
      <c r="D139" s="165" t="s">
        <v>998</v>
      </c>
      <c r="E139" s="165" t="s">
        <v>997</v>
      </c>
      <c r="F139" s="165" t="s">
        <v>990</v>
      </c>
      <c r="G139" s="165" t="s">
        <v>994</v>
      </c>
      <c r="I139" s="165" t="s">
        <v>809</v>
      </c>
      <c r="J139" s="165">
        <v>36.840000000000003</v>
      </c>
      <c r="L139" s="165" t="s">
        <v>1046</v>
      </c>
      <c r="M139" s="165" t="s">
        <v>237</v>
      </c>
      <c r="N139" s="165"/>
      <c r="O139" s="165"/>
      <c r="P139" s="165"/>
      <c r="Q139" s="165"/>
      <c r="R139" s="165" t="s">
        <v>1045</v>
      </c>
      <c r="S139" s="165" t="s">
        <v>206</v>
      </c>
      <c r="T139" s="165" t="s">
        <v>210</v>
      </c>
      <c r="U139" s="165">
        <v>28.75</v>
      </c>
      <c r="W139" s="165" t="s">
        <v>1043</v>
      </c>
      <c r="X139" s="165">
        <v>2</v>
      </c>
      <c r="Y139" s="165"/>
      <c r="Z139" s="165" t="s">
        <v>998</v>
      </c>
      <c r="AA139" s="165" t="s">
        <v>997</v>
      </c>
      <c r="AB139" s="165" t="s">
        <v>990</v>
      </c>
      <c r="AC139" s="165" t="s">
        <v>994</v>
      </c>
      <c r="AD139" s="165"/>
      <c r="AE139" s="165" t="s">
        <v>809</v>
      </c>
      <c r="AF139" s="165">
        <v>36.840000000000003</v>
      </c>
    </row>
    <row r="140" spans="1:32" x14ac:dyDescent="0.25">
      <c r="A140" s="165" t="s">
        <v>1043</v>
      </c>
      <c r="B140" s="165" t="s">
        <v>212</v>
      </c>
      <c r="D140" s="165" t="s">
        <v>999</v>
      </c>
      <c r="E140" s="165" t="s">
        <v>1000</v>
      </c>
      <c r="F140" s="165" t="s">
        <v>990</v>
      </c>
      <c r="G140" s="165" t="s">
        <v>991</v>
      </c>
      <c r="I140" s="165" t="s">
        <v>210</v>
      </c>
      <c r="J140" s="165">
        <v>22.41</v>
      </c>
      <c r="L140" s="165" t="s">
        <v>1046</v>
      </c>
      <c r="M140" s="165" t="s">
        <v>213</v>
      </c>
      <c r="N140" s="165"/>
      <c r="O140" s="165"/>
      <c r="P140" s="165"/>
      <c r="Q140" s="165"/>
      <c r="R140" s="165" t="s">
        <v>1045</v>
      </c>
      <c r="S140" s="165" t="s">
        <v>206</v>
      </c>
      <c r="T140" s="165" t="s">
        <v>210</v>
      </c>
      <c r="U140" s="165">
        <v>28.9</v>
      </c>
      <c r="W140" s="165" t="s">
        <v>1043</v>
      </c>
      <c r="X140" s="165">
        <v>3</v>
      </c>
      <c r="Y140" s="165"/>
      <c r="Z140" s="165" t="s">
        <v>1001</v>
      </c>
      <c r="AA140" s="165" t="s">
        <v>1000</v>
      </c>
      <c r="AB140" s="165" t="s">
        <v>990</v>
      </c>
      <c r="AC140" s="165" t="s">
        <v>994</v>
      </c>
      <c r="AD140" s="165"/>
      <c r="AE140" s="165" t="s">
        <v>809</v>
      </c>
      <c r="AF140" s="165">
        <v>0</v>
      </c>
    </row>
    <row r="141" spans="1:32" x14ac:dyDescent="0.25">
      <c r="A141" s="165" t="s">
        <v>1043</v>
      </c>
      <c r="B141" s="165" t="s">
        <v>212</v>
      </c>
      <c r="D141" s="165" t="s">
        <v>1001</v>
      </c>
      <c r="E141" s="165" t="s">
        <v>1000</v>
      </c>
      <c r="F141" s="165" t="s">
        <v>990</v>
      </c>
      <c r="G141" s="165" t="s">
        <v>994</v>
      </c>
      <c r="I141" s="165" t="s">
        <v>809</v>
      </c>
      <c r="J141" s="165">
        <v>0</v>
      </c>
      <c r="L141" s="165" t="s">
        <v>1043</v>
      </c>
      <c r="M141" s="165" t="s">
        <v>214</v>
      </c>
      <c r="N141" s="165"/>
      <c r="O141" s="165" t="s">
        <v>1006</v>
      </c>
      <c r="P141" s="165" t="s">
        <v>1007</v>
      </c>
      <c r="Q141" s="165" t="s">
        <v>990</v>
      </c>
      <c r="R141" s="165" t="s">
        <v>991</v>
      </c>
      <c r="S141" s="165"/>
      <c r="T141" s="165" t="s">
        <v>210</v>
      </c>
      <c r="U141" s="165">
        <v>28.91</v>
      </c>
      <c r="W141" s="165" t="s">
        <v>1043</v>
      </c>
      <c r="X141" s="165">
        <v>3</v>
      </c>
      <c r="Y141" s="165"/>
      <c r="Z141" s="165" t="s">
        <v>999</v>
      </c>
      <c r="AA141" s="165" t="s">
        <v>1000</v>
      </c>
      <c r="AB141" s="165" t="s">
        <v>990</v>
      </c>
      <c r="AC141" s="165" t="s">
        <v>991</v>
      </c>
      <c r="AD141" s="165"/>
      <c r="AE141" s="165" t="s">
        <v>210</v>
      </c>
      <c r="AF141" s="165">
        <v>22.41</v>
      </c>
    </row>
    <row r="142" spans="1:32" x14ac:dyDescent="0.25">
      <c r="A142" s="165" t="s">
        <v>1043</v>
      </c>
      <c r="B142" s="165" t="s">
        <v>213</v>
      </c>
      <c r="D142" s="165" t="s">
        <v>1003</v>
      </c>
      <c r="E142" s="165" t="s">
        <v>1004</v>
      </c>
      <c r="F142" s="165" t="s">
        <v>990</v>
      </c>
      <c r="G142" s="165" t="s">
        <v>991</v>
      </c>
      <c r="I142" s="165" t="s">
        <v>210</v>
      </c>
      <c r="J142" s="165">
        <v>27.94</v>
      </c>
      <c r="L142" s="165" t="s">
        <v>982</v>
      </c>
      <c r="M142" s="165" t="s">
        <v>215</v>
      </c>
      <c r="N142" s="165" t="s">
        <v>255</v>
      </c>
      <c r="O142" s="165"/>
      <c r="P142" s="165"/>
      <c r="Q142" s="165"/>
      <c r="R142" s="165" t="s">
        <v>209</v>
      </c>
      <c r="S142" s="165" t="s">
        <v>206</v>
      </c>
      <c r="T142" s="165" t="s">
        <v>210</v>
      </c>
      <c r="U142" s="165">
        <v>29.07</v>
      </c>
      <c r="W142" s="165" t="s">
        <v>1043</v>
      </c>
      <c r="X142" s="165">
        <v>4</v>
      </c>
      <c r="Y142" s="165"/>
      <c r="Z142" s="165" t="s">
        <v>1003</v>
      </c>
      <c r="AA142" s="165" t="s">
        <v>1004</v>
      </c>
      <c r="AB142" s="165" t="s">
        <v>990</v>
      </c>
      <c r="AC142" s="165" t="s">
        <v>991</v>
      </c>
      <c r="AD142" s="165"/>
      <c r="AE142" s="165" t="s">
        <v>210</v>
      </c>
      <c r="AF142" s="165">
        <v>27.94</v>
      </c>
    </row>
    <row r="143" spans="1:32" x14ac:dyDescent="0.25">
      <c r="A143" s="165" t="s">
        <v>1043</v>
      </c>
      <c r="B143" s="165" t="s">
        <v>213</v>
      </c>
      <c r="D143" s="165" t="s">
        <v>1005</v>
      </c>
      <c r="E143" s="165" t="s">
        <v>1004</v>
      </c>
      <c r="F143" s="165" t="s">
        <v>990</v>
      </c>
      <c r="G143" s="165" t="s">
        <v>994</v>
      </c>
      <c r="I143" s="165" t="s">
        <v>809</v>
      </c>
      <c r="J143" s="165">
        <v>32.64</v>
      </c>
      <c r="L143" s="165" t="s">
        <v>1043</v>
      </c>
      <c r="M143" s="165" t="s">
        <v>236</v>
      </c>
      <c r="N143" s="165"/>
      <c r="O143" s="165" t="s">
        <v>1028</v>
      </c>
      <c r="P143" s="165" t="s">
        <v>1029</v>
      </c>
      <c r="Q143" s="165" t="s">
        <v>990</v>
      </c>
      <c r="R143" s="165" t="s">
        <v>991</v>
      </c>
      <c r="S143" s="165"/>
      <c r="T143" s="165" t="s">
        <v>210</v>
      </c>
      <c r="U143" s="165">
        <v>29.09</v>
      </c>
      <c r="W143" s="165" t="s">
        <v>1043</v>
      </c>
      <c r="X143" s="165">
        <v>4</v>
      </c>
      <c r="Y143" s="165"/>
      <c r="Z143" s="165" t="s">
        <v>1005</v>
      </c>
      <c r="AA143" s="165" t="s">
        <v>1004</v>
      </c>
      <c r="AB143" s="165" t="s">
        <v>990</v>
      </c>
      <c r="AC143" s="165" t="s">
        <v>994</v>
      </c>
      <c r="AD143" s="165"/>
      <c r="AE143" s="165" t="s">
        <v>809</v>
      </c>
      <c r="AF143" s="165">
        <v>32.64</v>
      </c>
    </row>
    <row r="144" spans="1:32" x14ac:dyDescent="0.25">
      <c r="A144" s="165" t="s">
        <v>1043</v>
      </c>
      <c r="B144" s="165" t="s">
        <v>214</v>
      </c>
      <c r="D144" s="165" t="s">
        <v>1006</v>
      </c>
      <c r="E144" s="165" t="s">
        <v>1007</v>
      </c>
      <c r="F144" s="165" t="s">
        <v>990</v>
      </c>
      <c r="G144" s="165" t="s">
        <v>991</v>
      </c>
      <c r="I144" s="165" t="s">
        <v>210</v>
      </c>
      <c r="J144" s="165">
        <v>28.91</v>
      </c>
      <c r="L144" s="165" t="s">
        <v>982</v>
      </c>
      <c r="M144" s="165" t="s">
        <v>213</v>
      </c>
      <c r="N144" s="165" t="s">
        <v>253</v>
      </c>
      <c r="O144" s="165"/>
      <c r="P144" s="165"/>
      <c r="Q144" s="165"/>
      <c r="R144" s="165" t="s">
        <v>209</v>
      </c>
      <c r="S144" s="165" t="s">
        <v>206</v>
      </c>
      <c r="T144" s="165" t="s">
        <v>210</v>
      </c>
      <c r="U144" s="165">
        <v>29.1</v>
      </c>
      <c r="W144" s="165" t="s">
        <v>1043</v>
      </c>
      <c r="X144" s="165">
        <v>5</v>
      </c>
      <c r="Y144" s="165"/>
      <c r="Z144" s="165" t="s">
        <v>1006</v>
      </c>
      <c r="AA144" s="165" t="s">
        <v>1007</v>
      </c>
      <c r="AB144" s="165" t="s">
        <v>990</v>
      </c>
      <c r="AC144" s="165" t="s">
        <v>991</v>
      </c>
      <c r="AD144" s="165"/>
      <c r="AE144" s="165" t="s">
        <v>210</v>
      </c>
      <c r="AF144" s="165">
        <v>28.91</v>
      </c>
    </row>
    <row r="145" spans="1:32" x14ac:dyDescent="0.25">
      <c r="A145" s="165" t="s">
        <v>1043</v>
      </c>
      <c r="B145" s="165" t="s">
        <v>214</v>
      </c>
      <c r="D145" s="165" t="s">
        <v>1008</v>
      </c>
      <c r="E145" s="165" t="s">
        <v>1007</v>
      </c>
      <c r="F145" s="165" t="s">
        <v>990</v>
      </c>
      <c r="G145" s="165" t="s">
        <v>994</v>
      </c>
      <c r="I145" s="165" t="s">
        <v>809</v>
      </c>
      <c r="J145" s="165">
        <v>34.19</v>
      </c>
      <c r="L145" s="165" t="s">
        <v>1043</v>
      </c>
      <c r="M145" s="165" t="s">
        <v>237</v>
      </c>
      <c r="N145" s="165"/>
      <c r="O145" s="165" t="s">
        <v>1031</v>
      </c>
      <c r="P145" s="165" t="s">
        <v>1032</v>
      </c>
      <c r="Q145" s="165" t="s">
        <v>990</v>
      </c>
      <c r="R145" s="165" t="s">
        <v>991</v>
      </c>
      <c r="S145" s="165"/>
      <c r="T145" s="165" t="s">
        <v>210</v>
      </c>
      <c r="U145" s="165">
        <v>29.21</v>
      </c>
      <c r="W145" s="165" t="s">
        <v>1043</v>
      </c>
      <c r="X145" s="165">
        <v>5</v>
      </c>
      <c r="Y145" s="165"/>
      <c r="Z145" s="165" t="s">
        <v>1008</v>
      </c>
      <c r="AA145" s="165" t="s">
        <v>1007</v>
      </c>
      <c r="AB145" s="165" t="s">
        <v>990</v>
      </c>
      <c r="AC145" s="165" t="s">
        <v>994</v>
      </c>
      <c r="AD145" s="165"/>
      <c r="AE145" s="165" t="s">
        <v>809</v>
      </c>
      <c r="AF145" s="165">
        <v>34.19</v>
      </c>
    </row>
    <row r="146" spans="1:32" x14ac:dyDescent="0.25">
      <c r="A146" s="165" t="s">
        <v>1043</v>
      </c>
      <c r="B146" s="165" t="s">
        <v>215</v>
      </c>
      <c r="D146" s="165" t="s">
        <v>1009</v>
      </c>
      <c r="E146" s="165" t="s">
        <v>1010</v>
      </c>
      <c r="F146" s="165" t="s">
        <v>990</v>
      </c>
      <c r="G146" s="165" t="s">
        <v>991</v>
      </c>
      <c r="I146" s="165" t="s">
        <v>210</v>
      </c>
      <c r="J146" s="165">
        <v>30.49</v>
      </c>
      <c r="L146" s="165" t="s">
        <v>982</v>
      </c>
      <c r="M146" s="165" t="s">
        <v>238</v>
      </c>
      <c r="N146" s="165" t="s">
        <v>267</v>
      </c>
      <c r="O146" s="165"/>
      <c r="P146" s="165"/>
      <c r="Q146" s="165"/>
      <c r="R146" s="165" t="s">
        <v>209</v>
      </c>
      <c r="S146" s="165" t="s">
        <v>206</v>
      </c>
      <c r="T146" s="165" t="s">
        <v>210</v>
      </c>
      <c r="U146" s="165">
        <v>29.27</v>
      </c>
      <c r="W146" s="165" t="s">
        <v>1043</v>
      </c>
      <c r="X146" s="165">
        <v>6</v>
      </c>
      <c r="Y146" s="165"/>
      <c r="Z146" s="165" t="s">
        <v>1009</v>
      </c>
      <c r="AA146" s="165" t="s">
        <v>1010</v>
      </c>
      <c r="AB146" s="165" t="s">
        <v>990</v>
      </c>
      <c r="AC146" s="165" t="s">
        <v>991</v>
      </c>
      <c r="AD146" s="165"/>
      <c r="AE146" s="165" t="s">
        <v>210</v>
      </c>
      <c r="AF146" s="165">
        <v>30.49</v>
      </c>
    </row>
    <row r="147" spans="1:32" x14ac:dyDescent="0.25">
      <c r="A147" s="165" t="s">
        <v>1043</v>
      </c>
      <c r="B147" s="165" t="s">
        <v>215</v>
      </c>
      <c r="D147" s="165" t="s">
        <v>1011</v>
      </c>
      <c r="E147" s="165" t="s">
        <v>1010</v>
      </c>
      <c r="F147" s="165" t="s">
        <v>990</v>
      </c>
      <c r="G147" s="165" t="s">
        <v>994</v>
      </c>
      <c r="I147" s="165" t="s">
        <v>809</v>
      </c>
      <c r="J147" s="165">
        <v>33.51</v>
      </c>
      <c r="L147" s="165" t="s">
        <v>1046</v>
      </c>
      <c r="M147" s="165" t="s">
        <v>238</v>
      </c>
      <c r="N147" s="165"/>
      <c r="O147" s="165"/>
      <c r="P147" s="165"/>
      <c r="Q147" s="165"/>
      <c r="R147" s="165" t="s">
        <v>1045</v>
      </c>
      <c r="S147" s="165" t="s">
        <v>206</v>
      </c>
      <c r="T147" s="165" t="s">
        <v>210</v>
      </c>
      <c r="U147" s="165">
        <v>29.39</v>
      </c>
      <c r="W147" s="165" t="s">
        <v>1043</v>
      </c>
      <c r="X147" s="165">
        <v>6</v>
      </c>
      <c r="Y147" s="165"/>
      <c r="Z147" s="165" t="s">
        <v>1011</v>
      </c>
      <c r="AA147" s="165" t="s">
        <v>1010</v>
      </c>
      <c r="AB147" s="165" t="s">
        <v>990</v>
      </c>
      <c r="AC147" s="165" t="s">
        <v>994</v>
      </c>
      <c r="AD147" s="165"/>
      <c r="AE147" s="165" t="s">
        <v>809</v>
      </c>
      <c r="AF147" s="165">
        <v>33.51</v>
      </c>
    </row>
    <row r="148" spans="1:32" x14ac:dyDescent="0.25">
      <c r="A148" s="165" t="s">
        <v>1043</v>
      </c>
      <c r="B148" s="165" t="s">
        <v>216</v>
      </c>
      <c r="D148" s="165" t="s">
        <v>1012</v>
      </c>
      <c r="E148" s="165" t="s">
        <v>1013</v>
      </c>
      <c r="F148" s="165" t="s">
        <v>990</v>
      </c>
      <c r="G148" s="165" t="s">
        <v>991</v>
      </c>
      <c r="I148" s="165" t="s">
        <v>210</v>
      </c>
      <c r="J148" s="165">
        <v>31.67</v>
      </c>
      <c r="L148" s="165" t="s">
        <v>1046</v>
      </c>
      <c r="M148" s="165" t="s">
        <v>236</v>
      </c>
      <c r="N148" s="165"/>
      <c r="O148" s="165"/>
      <c r="P148" s="165"/>
      <c r="Q148" s="165"/>
      <c r="R148" s="165" t="s">
        <v>1045</v>
      </c>
      <c r="S148" s="165" t="s">
        <v>206</v>
      </c>
      <c r="T148" s="165" t="s">
        <v>210</v>
      </c>
      <c r="U148" s="165">
        <v>29.45</v>
      </c>
      <c r="W148" s="165" t="s">
        <v>1043</v>
      </c>
      <c r="X148" s="165">
        <v>7</v>
      </c>
      <c r="Y148" s="165"/>
      <c r="Z148" s="165" t="s">
        <v>1012</v>
      </c>
      <c r="AA148" s="165" t="s">
        <v>1013</v>
      </c>
      <c r="AB148" s="165" t="s">
        <v>990</v>
      </c>
      <c r="AC148" s="165" t="s">
        <v>991</v>
      </c>
      <c r="AD148" s="165"/>
      <c r="AE148" s="165" t="s">
        <v>210</v>
      </c>
      <c r="AF148" s="165">
        <v>31.67</v>
      </c>
    </row>
    <row r="149" spans="1:32" x14ac:dyDescent="0.25">
      <c r="A149" s="165" t="s">
        <v>1043</v>
      </c>
      <c r="B149" s="165" t="s">
        <v>216</v>
      </c>
      <c r="D149" s="165" t="s">
        <v>1014</v>
      </c>
      <c r="E149" s="165" t="s">
        <v>1013</v>
      </c>
      <c r="F149" s="165" t="s">
        <v>990</v>
      </c>
      <c r="G149" s="165" t="s">
        <v>994</v>
      </c>
      <c r="I149" s="165" t="s">
        <v>809</v>
      </c>
      <c r="J149" s="165">
        <v>34.57</v>
      </c>
      <c r="L149" s="165" t="s">
        <v>1046</v>
      </c>
      <c r="M149" s="165" t="s">
        <v>216</v>
      </c>
      <c r="N149" s="165"/>
      <c r="O149" s="165"/>
      <c r="P149" s="165"/>
      <c r="Q149" s="165"/>
      <c r="R149" s="165" t="s">
        <v>1045</v>
      </c>
      <c r="S149" s="165" t="s">
        <v>206</v>
      </c>
      <c r="T149" s="165" t="s">
        <v>210</v>
      </c>
      <c r="U149" s="165">
        <v>29.49</v>
      </c>
      <c r="W149" s="165" t="s">
        <v>1043</v>
      </c>
      <c r="X149" s="165">
        <v>7</v>
      </c>
      <c r="Y149" s="165"/>
      <c r="Z149" s="165" t="s">
        <v>1014</v>
      </c>
      <c r="AA149" s="165" t="s">
        <v>1013</v>
      </c>
      <c r="AB149" s="165" t="s">
        <v>990</v>
      </c>
      <c r="AC149" s="165" t="s">
        <v>994</v>
      </c>
      <c r="AD149" s="165"/>
      <c r="AE149" s="165" t="s">
        <v>809</v>
      </c>
      <c r="AF149" s="165">
        <v>34.57</v>
      </c>
    </row>
    <row r="150" spans="1:32" x14ac:dyDescent="0.25">
      <c r="A150" s="165" t="s">
        <v>1043</v>
      </c>
      <c r="B150" s="165" t="s">
        <v>217</v>
      </c>
      <c r="D150" s="165" t="s">
        <v>1015</v>
      </c>
      <c r="E150" s="165" t="s">
        <v>1016</v>
      </c>
      <c r="F150" s="165" t="s">
        <v>990</v>
      </c>
      <c r="G150" s="165" t="s">
        <v>991</v>
      </c>
      <c r="I150" s="165" t="s">
        <v>210</v>
      </c>
      <c r="J150" s="165">
        <v>0</v>
      </c>
      <c r="L150" s="165" t="s">
        <v>1046</v>
      </c>
      <c r="M150" s="165" t="s">
        <v>215</v>
      </c>
      <c r="N150" s="165"/>
      <c r="O150" s="165"/>
      <c r="P150" s="165"/>
      <c r="Q150" s="165"/>
      <c r="R150" s="165" t="s">
        <v>1045</v>
      </c>
      <c r="S150" s="165" t="s">
        <v>206</v>
      </c>
      <c r="T150" s="165" t="s">
        <v>210</v>
      </c>
      <c r="U150" s="165">
        <v>29.74</v>
      </c>
      <c r="W150" s="165" t="s">
        <v>1043</v>
      </c>
      <c r="X150" s="165">
        <v>8</v>
      </c>
      <c r="Y150" s="165"/>
      <c r="Z150" s="165" t="s">
        <v>1015</v>
      </c>
      <c r="AA150" s="165" t="s">
        <v>1016</v>
      </c>
      <c r="AB150" s="165" t="s">
        <v>990</v>
      </c>
      <c r="AC150" s="165" t="s">
        <v>991</v>
      </c>
      <c r="AD150" s="165"/>
      <c r="AE150" s="165" t="s">
        <v>210</v>
      </c>
      <c r="AF150" s="165">
        <v>0</v>
      </c>
    </row>
    <row r="151" spans="1:32" x14ac:dyDescent="0.25">
      <c r="A151" s="165" t="s">
        <v>1043</v>
      </c>
      <c r="B151" s="165" t="s">
        <v>217</v>
      </c>
      <c r="D151" s="165" t="s">
        <v>1018</v>
      </c>
      <c r="E151" s="165" t="s">
        <v>1016</v>
      </c>
      <c r="F151" s="165" t="s">
        <v>990</v>
      </c>
      <c r="G151" s="165" t="s">
        <v>994</v>
      </c>
      <c r="I151" s="165" t="s">
        <v>809</v>
      </c>
      <c r="J151" s="165">
        <v>35.520000000000003</v>
      </c>
      <c r="L151" s="165" t="s">
        <v>1043</v>
      </c>
      <c r="M151" s="165" t="s">
        <v>238</v>
      </c>
      <c r="N151" s="165"/>
      <c r="O151" s="165" t="s">
        <v>1034</v>
      </c>
      <c r="P151" s="165" t="s">
        <v>1035</v>
      </c>
      <c r="Q151" s="165" t="s">
        <v>990</v>
      </c>
      <c r="R151" s="165" t="s">
        <v>991</v>
      </c>
      <c r="S151" s="165"/>
      <c r="T151" s="165" t="s">
        <v>210</v>
      </c>
      <c r="U151" s="165">
        <v>30.26</v>
      </c>
      <c r="W151" s="165" t="s">
        <v>1043</v>
      </c>
      <c r="X151" s="165">
        <v>8</v>
      </c>
      <c r="Y151" s="165"/>
      <c r="Z151" s="165" t="s">
        <v>1018</v>
      </c>
      <c r="AA151" s="165" t="s">
        <v>1016</v>
      </c>
      <c r="AB151" s="165" t="s">
        <v>990</v>
      </c>
      <c r="AC151" s="165" t="s">
        <v>994</v>
      </c>
      <c r="AD151" s="165"/>
      <c r="AE151" s="165" t="s">
        <v>809</v>
      </c>
      <c r="AF151" s="165">
        <v>35.520000000000003</v>
      </c>
    </row>
    <row r="152" spans="1:32" x14ac:dyDescent="0.25">
      <c r="A152" s="165" t="s">
        <v>1043</v>
      </c>
      <c r="B152" s="165" t="s">
        <v>223</v>
      </c>
      <c r="D152" s="165" t="s">
        <v>1019</v>
      </c>
      <c r="E152" s="165" t="s">
        <v>1020</v>
      </c>
      <c r="F152" s="165" t="s">
        <v>990</v>
      </c>
      <c r="G152" s="165" t="s">
        <v>991</v>
      </c>
      <c r="I152" s="165" t="s">
        <v>210</v>
      </c>
      <c r="J152" s="165">
        <v>11.76</v>
      </c>
      <c r="L152" s="165" t="s">
        <v>1043</v>
      </c>
      <c r="M152" s="165" t="s">
        <v>215</v>
      </c>
      <c r="N152" s="165"/>
      <c r="O152" s="165" t="s">
        <v>1009</v>
      </c>
      <c r="P152" s="165" t="s">
        <v>1010</v>
      </c>
      <c r="Q152" s="165" t="s">
        <v>990</v>
      </c>
      <c r="R152" s="165" t="s">
        <v>991</v>
      </c>
      <c r="S152" s="165"/>
      <c r="T152" s="165" t="s">
        <v>210</v>
      </c>
      <c r="U152" s="165">
        <v>30.49</v>
      </c>
      <c r="W152" s="165" t="s">
        <v>1043</v>
      </c>
      <c r="X152" s="165">
        <v>1</v>
      </c>
      <c r="Y152" s="165"/>
      <c r="Z152" s="165" t="s">
        <v>1019</v>
      </c>
      <c r="AA152" s="165" t="s">
        <v>1020</v>
      </c>
      <c r="AB152" s="165" t="s">
        <v>990</v>
      </c>
      <c r="AC152" s="165" t="s">
        <v>991</v>
      </c>
      <c r="AD152" s="165"/>
      <c r="AE152" s="165" t="s">
        <v>210</v>
      </c>
      <c r="AF152" s="165">
        <v>11.76</v>
      </c>
    </row>
    <row r="153" spans="1:32" x14ac:dyDescent="0.25">
      <c r="A153" s="165" t="s">
        <v>1043</v>
      </c>
      <c r="B153" s="165" t="s">
        <v>223</v>
      </c>
      <c r="D153" s="165" t="s">
        <v>1021</v>
      </c>
      <c r="E153" s="165" t="s">
        <v>1020</v>
      </c>
      <c r="F153" s="165" t="s">
        <v>990</v>
      </c>
      <c r="G153" s="165" t="s">
        <v>994</v>
      </c>
      <c r="I153" s="165" t="s">
        <v>809</v>
      </c>
      <c r="J153" s="165">
        <v>34.31</v>
      </c>
      <c r="L153" s="165" t="s">
        <v>1046</v>
      </c>
      <c r="M153" s="165" t="s">
        <v>239</v>
      </c>
      <c r="N153" s="165"/>
      <c r="O153" s="165"/>
      <c r="P153" s="165"/>
      <c r="Q153" s="165"/>
      <c r="R153" s="165" t="s">
        <v>1045</v>
      </c>
      <c r="S153" s="165" t="s">
        <v>206</v>
      </c>
      <c r="T153" s="165" t="s">
        <v>210</v>
      </c>
      <c r="U153" s="165">
        <v>31.51</v>
      </c>
      <c r="W153" s="165" t="s">
        <v>1043</v>
      </c>
      <c r="X153" s="165">
        <v>1</v>
      </c>
      <c r="Y153" s="165"/>
      <c r="Z153" s="165" t="s">
        <v>1021</v>
      </c>
      <c r="AA153" s="165" t="s">
        <v>1020</v>
      </c>
      <c r="AB153" s="165" t="s">
        <v>990</v>
      </c>
      <c r="AC153" s="165" t="s">
        <v>994</v>
      </c>
      <c r="AD153" s="165"/>
      <c r="AE153" s="165" t="s">
        <v>809</v>
      </c>
      <c r="AF153" s="165">
        <v>34.31</v>
      </c>
    </row>
    <row r="154" spans="1:32" x14ac:dyDescent="0.25">
      <c r="A154" s="165" t="s">
        <v>1043</v>
      </c>
      <c r="B154" s="165" t="s">
        <v>234</v>
      </c>
      <c r="D154" s="165" t="s">
        <v>1022</v>
      </c>
      <c r="E154" s="165" t="s">
        <v>1023</v>
      </c>
      <c r="F154" s="165" t="s">
        <v>990</v>
      </c>
      <c r="G154" s="165" t="s">
        <v>991</v>
      </c>
      <c r="I154" s="165" t="s">
        <v>210</v>
      </c>
      <c r="J154" s="165">
        <v>23.92</v>
      </c>
      <c r="L154" s="165" t="s">
        <v>1043</v>
      </c>
      <c r="M154" s="165" t="s">
        <v>216</v>
      </c>
      <c r="N154" s="165"/>
      <c r="O154" s="165" t="s">
        <v>1012</v>
      </c>
      <c r="P154" s="165" t="s">
        <v>1013</v>
      </c>
      <c r="Q154" s="165" t="s">
        <v>990</v>
      </c>
      <c r="R154" s="165" t="s">
        <v>991</v>
      </c>
      <c r="S154" s="165"/>
      <c r="T154" s="165" t="s">
        <v>210</v>
      </c>
      <c r="U154" s="165">
        <v>31.67</v>
      </c>
      <c r="W154" s="165" t="s">
        <v>1043</v>
      </c>
      <c r="X154" s="165">
        <v>2</v>
      </c>
      <c r="Y154" s="165"/>
      <c r="Z154" s="165" t="s">
        <v>1022</v>
      </c>
      <c r="AA154" s="165" t="s">
        <v>1023</v>
      </c>
      <c r="AB154" s="165" t="s">
        <v>990</v>
      </c>
      <c r="AC154" s="165" t="s">
        <v>991</v>
      </c>
      <c r="AD154" s="165"/>
      <c r="AE154" s="165" t="s">
        <v>210</v>
      </c>
      <c r="AF154" s="165">
        <v>23.92</v>
      </c>
    </row>
    <row r="155" spans="1:32" x14ac:dyDescent="0.25">
      <c r="A155" s="165" t="s">
        <v>1043</v>
      </c>
      <c r="B155" s="165" t="s">
        <v>234</v>
      </c>
      <c r="D155" s="165" t="s">
        <v>1024</v>
      </c>
      <c r="E155" s="165" t="s">
        <v>1023</v>
      </c>
      <c r="F155" s="165" t="s">
        <v>990</v>
      </c>
      <c r="G155" s="165" t="s">
        <v>994</v>
      </c>
      <c r="I155" s="165" t="s">
        <v>809</v>
      </c>
      <c r="J155" s="165">
        <v>35.54</v>
      </c>
      <c r="L155" s="165" t="s">
        <v>982</v>
      </c>
      <c r="M155" s="165" t="s">
        <v>216</v>
      </c>
      <c r="N155" s="165" t="s">
        <v>256</v>
      </c>
      <c r="O155" s="165"/>
      <c r="P155" s="165"/>
      <c r="Q155" s="165"/>
      <c r="R155" s="165" t="s">
        <v>209</v>
      </c>
      <c r="S155" s="165" t="s">
        <v>206</v>
      </c>
      <c r="T155" s="165" t="s">
        <v>210</v>
      </c>
      <c r="U155" s="165">
        <v>32.15</v>
      </c>
      <c r="W155" s="165" t="s">
        <v>1043</v>
      </c>
      <c r="X155" s="165">
        <v>2</v>
      </c>
      <c r="Y155" s="165"/>
      <c r="Z155" s="165" t="s">
        <v>1024</v>
      </c>
      <c r="AA155" s="165" t="s">
        <v>1023</v>
      </c>
      <c r="AB155" s="165" t="s">
        <v>990</v>
      </c>
      <c r="AC155" s="165" t="s">
        <v>994</v>
      </c>
      <c r="AD155" s="165"/>
      <c r="AE155" s="165" t="s">
        <v>809</v>
      </c>
      <c r="AF155" s="165">
        <v>35.54</v>
      </c>
    </row>
    <row r="156" spans="1:32" x14ac:dyDescent="0.25">
      <c r="A156" s="165" t="s">
        <v>1043</v>
      </c>
      <c r="B156" s="165" t="s">
        <v>235</v>
      </c>
      <c r="D156" s="165" t="s">
        <v>1025</v>
      </c>
      <c r="E156" s="165" t="s">
        <v>1026</v>
      </c>
      <c r="F156" s="165" t="s">
        <v>990</v>
      </c>
      <c r="G156" s="165" t="s">
        <v>991</v>
      </c>
      <c r="I156" s="165" t="s">
        <v>210</v>
      </c>
      <c r="J156" s="165">
        <v>22.49</v>
      </c>
      <c r="L156" s="165" t="s">
        <v>1043</v>
      </c>
      <c r="M156" s="165" t="s">
        <v>239</v>
      </c>
      <c r="N156" s="165"/>
      <c r="O156" s="165" t="s">
        <v>1037</v>
      </c>
      <c r="P156" s="165" t="s">
        <v>1038</v>
      </c>
      <c r="Q156" s="165" t="s">
        <v>990</v>
      </c>
      <c r="R156" s="165" t="s">
        <v>991</v>
      </c>
      <c r="S156" s="165"/>
      <c r="T156" s="165" t="s">
        <v>210</v>
      </c>
      <c r="U156" s="165">
        <v>32.270000000000003</v>
      </c>
      <c r="W156" s="165" t="s">
        <v>1043</v>
      </c>
      <c r="X156" s="165">
        <v>3</v>
      </c>
      <c r="Y156" s="165"/>
      <c r="Z156" s="165" t="s">
        <v>1025</v>
      </c>
      <c r="AA156" s="165" t="s">
        <v>1026</v>
      </c>
      <c r="AB156" s="165" t="s">
        <v>990</v>
      </c>
      <c r="AC156" s="165" t="s">
        <v>991</v>
      </c>
      <c r="AD156" s="165"/>
      <c r="AE156" s="165" t="s">
        <v>210</v>
      </c>
      <c r="AF156" s="165">
        <v>22.49</v>
      </c>
    </row>
    <row r="157" spans="1:32" x14ac:dyDescent="0.25">
      <c r="A157" s="165" t="s">
        <v>1043</v>
      </c>
      <c r="B157" s="165" t="s">
        <v>235</v>
      </c>
      <c r="D157" s="165" t="s">
        <v>1027</v>
      </c>
      <c r="E157" s="165" t="s">
        <v>1026</v>
      </c>
      <c r="F157" s="165" t="s">
        <v>990</v>
      </c>
      <c r="G157" s="165" t="s">
        <v>994</v>
      </c>
      <c r="I157" s="165" t="s">
        <v>809</v>
      </c>
      <c r="J157" s="165">
        <v>36</v>
      </c>
      <c r="L157" s="165" t="s">
        <v>1043</v>
      </c>
      <c r="M157" s="165" t="s">
        <v>242</v>
      </c>
      <c r="N157" s="165"/>
      <c r="O157" s="165" t="s">
        <v>1042</v>
      </c>
      <c r="P157" s="165" t="s">
        <v>1041</v>
      </c>
      <c r="Q157" s="165" t="s">
        <v>990</v>
      </c>
      <c r="R157" s="165" t="s">
        <v>994</v>
      </c>
      <c r="S157" s="165"/>
      <c r="T157" s="165" t="s">
        <v>809</v>
      </c>
      <c r="U157" s="165">
        <v>32.450000000000003</v>
      </c>
      <c r="W157" s="165" t="s">
        <v>1043</v>
      </c>
      <c r="X157" s="165">
        <v>3</v>
      </c>
      <c r="Y157" s="165"/>
      <c r="Z157" s="165" t="s">
        <v>1027</v>
      </c>
      <c r="AA157" s="165" t="s">
        <v>1026</v>
      </c>
      <c r="AB157" s="165" t="s">
        <v>990</v>
      </c>
      <c r="AC157" s="165" t="s">
        <v>994</v>
      </c>
      <c r="AD157" s="165"/>
      <c r="AE157" s="165" t="s">
        <v>809</v>
      </c>
      <c r="AF157" s="165">
        <v>36</v>
      </c>
    </row>
    <row r="158" spans="1:32" x14ac:dyDescent="0.25">
      <c r="A158" s="165" t="s">
        <v>1043</v>
      </c>
      <c r="B158" s="165" t="s">
        <v>236</v>
      </c>
      <c r="D158" s="165" t="s">
        <v>1028</v>
      </c>
      <c r="E158" s="165" t="s">
        <v>1029</v>
      </c>
      <c r="F158" s="165" t="s">
        <v>990</v>
      </c>
      <c r="G158" s="165" t="s">
        <v>991</v>
      </c>
      <c r="I158" s="165" t="s">
        <v>210</v>
      </c>
      <c r="J158" s="165">
        <v>29.09</v>
      </c>
      <c r="L158" s="165" t="s">
        <v>982</v>
      </c>
      <c r="M158" s="165" t="s">
        <v>239</v>
      </c>
      <c r="N158" s="165" t="s">
        <v>268</v>
      </c>
      <c r="O158" s="165"/>
      <c r="P158" s="165"/>
      <c r="Q158" s="165"/>
      <c r="R158" s="165" t="s">
        <v>209</v>
      </c>
      <c r="S158" s="165" t="s">
        <v>206</v>
      </c>
      <c r="T158" s="165" t="s">
        <v>210</v>
      </c>
      <c r="U158" s="165">
        <v>32.53</v>
      </c>
      <c r="W158" s="165" t="s">
        <v>1043</v>
      </c>
      <c r="X158" s="165">
        <v>4</v>
      </c>
      <c r="Y158" s="165"/>
      <c r="Z158" s="165" t="s">
        <v>1028</v>
      </c>
      <c r="AA158" s="165" t="s">
        <v>1029</v>
      </c>
      <c r="AB158" s="165" t="s">
        <v>990</v>
      </c>
      <c r="AC158" s="165" t="s">
        <v>991</v>
      </c>
      <c r="AD158" s="165"/>
      <c r="AE158" s="165" t="s">
        <v>210</v>
      </c>
      <c r="AF158" s="165">
        <v>29.09</v>
      </c>
    </row>
    <row r="159" spans="1:32" x14ac:dyDescent="0.25">
      <c r="A159" s="165" t="s">
        <v>1043</v>
      </c>
      <c r="B159" s="165" t="s">
        <v>236</v>
      </c>
      <c r="D159" s="165" t="s">
        <v>1030</v>
      </c>
      <c r="E159" s="165" t="s">
        <v>1029</v>
      </c>
      <c r="F159" s="165" t="s">
        <v>990</v>
      </c>
      <c r="G159" s="165" t="s">
        <v>994</v>
      </c>
      <c r="I159" s="165" t="s">
        <v>809</v>
      </c>
      <c r="J159" s="165">
        <v>33.950000000000003</v>
      </c>
      <c r="L159" s="165" t="s">
        <v>1043</v>
      </c>
      <c r="M159" s="165" t="s">
        <v>213</v>
      </c>
      <c r="N159" s="165"/>
      <c r="O159" s="165" t="s">
        <v>1005</v>
      </c>
      <c r="P159" s="165" t="s">
        <v>1004</v>
      </c>
      <c r="Q159" s="165" t="s">
        <v>990</v>
      </c>
      <c r="R159" s="165" t="s">
        <v>994</v>
      </c>
      <c r="S159" s="165"/>
      <c r="T159" s="165" t="s">
        <v>809</v>
      </c>
      <c r="U159" s="165">
        <v>32.64</v>
      </c>
      <c r="W159" s="165" t="s">
        <v>1043</v>
      </c>
      <c r="X159" s="165">
        <v>4</v>
      </c>
      <c r="Y159" s="165"/>
      <c r="Z159" s="165" t="s">
        <v>1030</v>
      </c>
      <c r="AA159" s="165" t="s">
        <v>1029</v>
      </c>
      <c r="AB159" s="165" t="s">
        <v>990</v>
      </c>
      <c r="AC159" s="165" t="s">
        <v>994</v>
      </c>
      <c r="AD159" s="165"/>
      <c r="AE159" s="165" t="s">
        <v>809</v>
      </c>
      <c r="AF159" s="165">
        <v>33.950000000000003</v>
      </c>
    </row>
    <row r="160" spans="1:32" x14ac:dyDescent="0.25">
      <c r="A160" s="165" t="s">
        <v>1043</v>
      </c>
      <c r="B160" s="165" t="s">
        <v>237</v>
      </c>
      <c r="D160" s="165" t="s">
        <v>1031</v>
      </c>
      <c r="E160" s="165" t="s">
        <v>1032</v>
      </c>
      <c r="F160" s="165" t="s">
        <v>990</v>
      </c>
      <c r="G160" s="165" t="s">
        <v>991</v>
      </c>
      <c r="I160" s="165" t="s">
        <v>210</v>
      </c>
      <c r="J160" s="165">
        <v>29.21</v>
      </c>
      <c r="L160" s="165" t="s">
        <v>1043</v>
      </c>
      <c r="M160" s="165" t="s">
        <v>237</v>
      </c>
      <c r="N160" s="165"/>
      <c r="O160" s="165" t="s">
        <v>1033</v>
      </c>
      <c r="P160" s="165" t="s">
        <v>1032</v>
      </c>
      <c r="Q160" s="165" t="s">
        <v>990</v>
      </c>
      <c r="R160" s="165" t="s">
        <v>994</v>
      </c>
      <c r="S160" s="165"/>
      <c r="T160" s="165" t="s">
        <v>809</v>
      </c>
      <c r="U160" s="165">
        <v>33.11</v>
      </c>
      <c r="W160" s="165" t="s">
        <v>1043</v>
      </c>
      <c r="X160" s="165">
        <v>5</v>
      </c>
      <c r="Y160" s="165"/>
      <c r="Z160" s="165" t="s">
        <v>1031</v>
      </c>
      <c r="AA160" s="165" t="s">
        <v>1032</v>
      </c>
      <c r="AB160" s="165" t="s">
        <v>990</v>
      </c>
      <c r="AC160" s="165" t="s">
        <v>991</v>
      </c>
      <c r="AD160" s="165"/>
      <c r="AE160" s="165" t="s">
        <v>210</v>
      </c>
      <c r="AF160" s="165">
        <v>29.21</v>
      </c>
    </row>
    <row r="161" spans="1:32" x14ac:dyDescent="0.25">
      <c r="A161" s="165" t="s">
        <v>1043</v>
      </c>
      <c r="B161" s="165" t="s">
        <v>237</v>
      </c>
      <c r="D161" s="165" t="s">
        <v>1033</v>
      </c>
      <c r="E161" s="165" t="s">
        <v>1032</v>
      </c>
      <c r="F161" s="165" t="s">
        <v>990</v>
      </c>
      <c r="G161" s="165" t="s">
        <v>994</v>
      </c>
      <c r="I161" s="165" t="s">
        <v>809</v>
      </c>
      <c r="J161" s="165">
        <v>33.11</v>
      </c>
      <c r="L161" s="165" t="s">
        <v>1043</v>
      </c>
      <c r="M161" s="165" t="s">
        <v>215</v>
      </c>
      <c r="N161" s="165"/>
      <c r="O161" s="165" t="s">
        <v>1011</v>
      </c>
      <c r="P161" s="165" t="s">
        <v>1010</v>
      </c>
      <c r="Q161" s="165" t="s">
        <v>990</v>
      </c>
      <c r="R161" s="165" t="s">
        <v>994</v>
      </c>
      <c r="S161" s="165"/>
      <c r="T161" s="165" t="s">
        <v>809</v>
      </c>
      <c r="U161" s="165">
        <v>33.51</v>
      </c>
      <c r="W161" s="165" t="s">
        <v>1043</v>
      </c>
      <c r="X161" s="165">
        <v>5</v>
      </c>
      <c r="Y161" s="165"/>
      <c r="Z161" s="165" t="s">
        <v>1033</v>
      </c>
      <c r="AA161" s="165" t="s">
        <v>1032</v>
      </c>
      <c r="AB161" s="165" t="s">
        <v>990</v>
      </c>
      <c r="AC161" s="165" t="s">
        <v>994</v>
      </c>
      <c r="AD161" s="165"/>
      <c r="AE161" s="165" t="s">
        <v>809</v>
      </c>
      <c r="AF161" s="165">
        <v>33.11</v>
      </c>
    </row>
    <row r="162" spans="1:32" x14ac:dyDescent="0.25">
      <c r="A162" s="165" t="s">
        <v>1043</v>
      </c>
      <c r="B162" s="165" t="s">
        <v>238</v>
      </c>
      <c r="D162" s="165" t="s">
        <v>1034</v>
      </c>
      <c r="E162" s="165" t="s">
        <v>1035</v>
      </c>
      <c r="F162" s="165" t="s">
        <v>990</v>
      </c>
      <c r="G162" s="165" t="s">
        <v>991</v>
      </c>
      <c r="I162" s="165" t="s">
        <v>210</v>
      </c>
      <c r="J162" s="165">
        <v>30.26</v>
      </c>
      <c r="L162" s="165" t="s">
        <v>1043</v>
      </c>
      <c r="M162" s="165" t="s">
        <v>236</v>
      </c>
      <c r="N162" s="165"/>
      <c r="O162" s="165" t="s">
        <v>1030</v>
      </c>
      <c r="P162" s="165" t="s">
        <v>1029</v>
      </c>
      <c r="Q162" s="165" t="s">
        <v>990</v>
      </c>
      <c r="R162" s="165" t="s">
        <v>994</v>
      </c>
      <c r="S162" s="165"/>
      <c r="T162" s="165" t="s">
        <v>809</v>
      </c>
      <c r="U162" s="165">
        <v>33.950000000000003</v>
      </c>
      <c r="W162" s="165" t="s">
        <v>1043</v>
      </c>
      <c r="X162" s="165">
        <v>6</v>
      </c>
      <c r="Y162" s="165"/>
      <c r="Z162" s="165" t="s">
        <v>1036</v>
      </c>
      <c r="AA162" s="165" t="s">
        <v>1035</v>
      </c>
      <c r="AB162" s="165" t="s">
        <v>990</v>
      </c>
      <c r="AC162" s="165" t="s">
        <v>994</v>
      </c>
      <c r="AD162" s="165"/>
      <c r="AE162" s="165" t="s">
        <v>809</v>
      </c>
      <c r="AF162" s="165">
        <v>0</v>
      </c>
    </row>
    <row r="163" spans="1:32" x14ac:dyDescent="0.25">
      <c r="A163" s="165" t="s">
        <v>1043</v>
      </c>
      <c r="B163" s="165" t="s">
        <v>238</v>
      </c>
      <c r="D163" s="165" t="s">
        <v>1036</v>
      </c>
      <c r="E163" s="165" t="s">
        <v>1035</v>
      </c>
      <c r="F163" s="165" t="s">
        <v>990</v>
      </c>
      <c r="G163" s="165" t="s">
        <v>994</v>
      </c>
      <c r="I163" s="165" t="s">
        <v>809</v>
      </c>
      <c r="J163" s="165">
        <v>0</v>
      </c>
      <c r="L163" s="165" t="s">
        <v>1043</v>
      </c>
      <c r="M163" s="165" t="s">
        <v>214</v>
      </c>
      <c r="N163" s="165"/>
      <c r="O163" s="165" t="s">
        <v>1008</v>
      </c>
      <c r="P163" s="165" t="s">
        <v>1007</v>
      </c>
      <c r="Q163" s="165" t="s">
        <v>990</v>
      </c>
      <c r="R163" s="165" t="s">
        <v>994</v>
      </c>
      <c r="S163" s="165"/>
      <c r="T163" s="165" t="s">
        <v>809</v>
      </c>
      <c r="U163" s="165">
        <v>34.19</v>
      </c>
      <c r="W163" s="165" t="s">
        <v>1043</v>
      </c>
      <c r="X163" s="165">
        <v>6</v>
      </c>
      <c r="Y163" s="165"/>
      <c r="Z163" s="165" t="s">
        <v>1034</v>
      </c>
      <c r="AA163" s="165" t="s">
        <v>1035</v>
      </c>
      <c r="AB163" s="165" t="s">
        <v>990</v>
      </c>
      <c r="AC163" s="165" t="s">
        <v>991</v>
      </c>
      <c r="AD163" s="165"/>
      <c r="AE163" s="165" t="s">
        <v>210</v>
      </c>
      <c r="AF163" s="165">
        <v>30.26</v>
      </c>
    </row>
    <row r="164" spans="1:32" x14ac:dyDescent="0.25">
      <c r="A164" s="165" t="s">
        <v>1043</v>
      </c>
      <c r="B164" s="165" t="s">
        <v>239</v>
      </c>
      <c r="D164" s="165" t="s">
        <v>1037</v>
      </c>
      <c r="E164" s="165" t="s">
        <v>1038</v>
      </c>
      <c r="F164" s="165" t="s">
        <v>990</v>
      </c>
      <c r="G164" s="165" t="s">
        <v>991</v>
      </c>
      <c r="I164" s="165" t="s">
        <v>210</v>
      </c>
      <c r="J164" s="165">
        <v>32.270000000000003</v>
      </c>
      <c r="L164" s="165" t="s">
        <v>1043</v>
      </c>
      <c r="M164" s="165" t="s">
        <v>223</v>
      </c>
      <c r="N164" s="165"/>
      <c r="O164" s="165" t="s">
        <v>1021</v>
      </c>
      <c r="P164" s="165" t="s">
        <v>1020</v>
      </c>
      <c r="Q164" s="165" t="s">
        <v>990</v>
      </c>
      <c r="R164" s="165" t="s">
        <v>994</v>
      </c>
      <c r="S164" s="165"/>
      <c r="T164" s="165" t="s">
        <v>809</v>
      </c>
      <c r="U164" s="165">
        <v>34.31</v>
      </c>
      <c r="W164" s="165" t="s">
        <v>1043</v>
      </c>
      <c r="X164" s="165">
        <v>7</v>
      </c>
      <c r="Y164" s="165"/>
      <c r="Z164" s="165" t="s">
        <v>1039</v>
      </c>
      <c r="AA164" s="165" t="s">
        <v>1038</v>
      </c>
      <c r="AB164" s="165" t="s">
        <v>990</v>
      </c>
      <c r="AC164" s="165" t="s">
        <v>994</v>
      </c>
      <c r="AD164" s="165"/>
      <c r="AE164" s="165" t="s">
        <v>809</v>
      </c>
      <c r="AF164" s="165">
        <v>0</v>
      </c>
    </row>
    <row r="165" spans="1:32" x14ac:dyDescent="0.25">
      <c r="A165" s="165" t="s">
        <v>1043</v>
      </c>
      <c r="B165" s="165" t="s">
        <v>239</v>
      </c>
      <c r="D165" s="165" t="s">
        <v>1039</v>
      </c>
      <c r="E165" s="165" t="s">
        <v>1038</v>
      </c>
      <c r="F165" s="165" t="s">
        <v>990</v>
      </c>
      <c r="G165" s="165" t="s">
        <v>994</v>
      </c>
      <c r="I165" s="165" t="s">
        <v>809</v>
      </c>
      <c r="J165" s="165">
        <v>0</v>
      </c>
      <c r="L165" s="165" t="s">
        <v>1046</v>
      </c>
      <c r="M165" s="165" t="s">
        <v>239</v>
      </c>
      <c r="N165" s="165"/>
      <c r="O165" s="165"/>
      <c r="P165" s="165"/>
      <c r="Q165" s="165"/>
      <c r="R165" s="165" t="s">
        <v>981</v>
      </c>
      <c r="S165" s="165" t="s">
        <v>206</v>
      </c>
      <c r="T165" s="165" t="s">
        <v>809</v>
      </c>
      <c r="U165" s="165">
        <v>34.31</v>
      </c>
      <c r="W165" s="165" t="s">
        <v>1043</v>
      </c>
      <c r="X165" s="165">
        <v>7</v>
      </c>
      <c r="Y165" s="165"/>
      <c r="Z165" s="165" t="s">
        <v>1037</v>
      </c>
      <c r="AA165" s="165" t="s">
        <v>1038</v>
      </c>
      <c r="AB165" s="165" t="s">
        <v>990</v>
      </c>
      <c r="AC165" s="165" t="s">
        <v>991</v>
      </c>
      <c r="AD165" s="165"/>
      <c r="AE165" s="165" t="s">
        <v>210</v>
      </c>
      <c r="AF165" s="165">
        <v>32.270000000000003</v>
      </c>
    </row>
    <row r="166" spans="1:32" x14ac:dyDescent="0.25">
      <c r="A166" s="165" t="s">
        <v>1043</v>
      </c>
      <c r="B166" s="165" t="s">
        <v>242</v>
      </c>
      <c r="D166" s="165" t="s">
        <v>1040</v>
      </c>
      <c r="E166" s="165" t="s">
        <v>1041</v>
      </c>
      <c r="F166" s="165" t="s">
        <v>990</v>
      </c>
      <c r="G166" s="165" t="s">
        <v>991</v>
      </c>
      <c r="I166" s="165" t="s">
        <v>210</v>
      </c>
      <c r="J166" s="165">
        <v>0</v>
      </c>
      <c r="L166" s="165" t="s">
        <v>1043</v>
      </c>
      <c r="M166" s="165" t="s">
        <v>216</v>
      </c>
      <c r="N166" s="165"/>
      <c r="O166" s="165" t="s">
        <v>1014</v>
      </c>
      <c r="P166" s="165" t="s">
        <v>1013</v>
      </c>
      <c r="Q166" s="165" t="s">
        <v>990</v>
      </c>
      <c r="R166" s="165" t="s">
        <v>994</v>
      </c>
      <c r="S166" s="165"/>
      <c r="T166" s="165" t="s">
        <v>809</v>
      </c>
      <c r="U166" s="165">
        <v>34.57</v>
      </c>
      <c r="W166" s="165" t="s">
        <v>1043</v>
      </c>
      <c r="X166" s="165">
        <v>8</v>
      </c>
      <c r="Y166" s="165"/>
      <c r="Z166" s="165" t="s">
        <v>1040</v>
      </c>
      <c r="AA166" s="165" t="s">
        <v>1041</v>
      </c>
      <c r="AB166" s="165" t="s">
        <v>990</v>
      </c>
      <c r="AC166" s="165" t="s">
        <v>991</v>
      </c>
      <c r="AD166" s="165"/>
      <c r="AE166" s="165" t="s">
        <v>210</v>
      </c>
      <c r="AF166" s="165">
        <v>0</v>
      </c>
    </row>
    <row r="167" spans="1:32" x14ac:dyDescent="0.25">
      <c r="A167" s="165" t="s">
        <v>1043</v>
      </c>
      <c r="B167" s="165" t="s">
        <v>242</v>
      </c>
      <c r="D167" s="165" t="s">
        <v>1042</v>
      </c>
      <c r="E167" s="165" t="s">
        <v>1041</v>
      </c>
      <c r="F167" s="165" t="s">
        <v>990</v>
      </c>
      <c r="G167" s="165" t="s">
        <v>994</v>
      </c>
      <c r="I167" s="165" t="s">
        <v>809</v>
      </c>
      <c r="J167" s="165">
        <v>32.450000000000003</v>
      </c>
      <c r="L167" s="165" t="s">
        <v>1046</v>
      </c>
      <c r="M167" s="165" t="s">
        <v>242</v>
      </c>
      <c r="N167" s="165"/>
      <c r="O167" s="165"/>
      <c r="P167" s="165"/>
      <c r="Q167" s="165"/>
      <c r="R167" s="165" t="s">
        <v>981</v>
      </c>
      <c r="S167" s="165" t="s">
        <v>206</v>
      </c>
      <c r="T167" s="165" t="s">
        <v>809</v>
      </c>
      <c r="U167" s="165">
        <v>34.630000000000003</v>
      </c>
      <c r="W167" s="165" t="s">
        <v>1043</v>
      </c>
      <c r="X167" s="165">
        <v>8</v>
      </c>
      <c r="Y167" s="165"/>
      <c r="Z167" s="165" t="s">
        <v>1042</v>
      </c>
      <c r="AA167" s="165" t="s">
        <v>1041</v>
      </c>
      <c r="AB167" s="165" t="s">
        <v>990</v>
      </c>
      <c r="AC167" s="165" t="s">
        <v>994</v>
      </c>
      <c r="AD167" s="165"/>
      <c r="AE167" s="165" t="s">
        <v>809</v>
      </c>
      <c r="AF167" s="165">
        <v>32.450000000000003</v>
      </c>
    </row>
    <row r="168" spans="1:32" x14ac:dyDescent="0.25">
      <c r="A168" s="165" t="s">
        <v>1046</v>
      </c>
      <c r="B168" s="165" t="s">
        <v>204</v>
      </c>
      <c r="G168" s="165" t="s">
        <v>981</v>
      </c>
      <c r="H168" s="165" t="s">
        <v>206</v>
      </c>
      <c r="I168" s="165" t="s">
        <v>809</v>
      </c>
      <c r="J168" s="165">
        <v>0</v>
      </c>
      <c r="L168" s="165" t="s">
        <v>982</v>
      </c>
      <c r="M168" s="165" t="s">
        <v>216</v>
      </c>
      <c r="N168" s="165" t="s">
        <v>256</v>
      </c>
      <c r="O168" s="165"/>
      <c r="P168" s="165"/>
      <c r="Q168" s="165"/>
      <c r="R168" s="165" t="s">
        <v>981</v>
      </c>
      <c r="S168" s="165" t="s">
        <v>206</v>
      </c>
      <c r="T168" s="165" t="s">
        <v>809</v>
      </c>
      <c r="U168" s="165">
        <v>34.86</v>
      </c>
      <c r="W168" s="165" t="s">
        <v>982</v>
      </c>
      <c r="X168" s="165">
        <v>1</v>
      </c>
      <c r="Y168" s="165" t="s">
        <v>250</v>
      </c>
      <c r="Z168" s="165"/>
      <c r="AA168" s="165"/>
      <c r="AB168" s="165"/>
      <c r="AC168" s="165" t="s">
        <v>209</v>
      </c>
      <c r="AD168" s="165" t="s">
        <v>206</v>
      </c>
      <c r="AE168" s="165" t="s">
        <v>210</v>
      </c>
      <c r="AF168" s="165">
        <v>11.82</v>
      </c>
    </row>
    <row r="169" spans="1:32" x14ac:dyDescent="0.25">
      <c r="A169" s="165" t="s">
        <v>1046</v>
      </c>
      <c r="B169" s="165" t="s">
        <v>204</v>
      </c>
      <c r="G169" s="165" t="s">
        <v>1045</v>
      </c>
      <c r="H169" s="165" t="s">
        <v>206</v>
      </c>
      <c r="I169" s="165" t="s">
        <v>210</v>
      </c>
      <c r="J169" s="165">
        <v>11.21</v>
      </c>
      <c r="L169" s="165" t="s">
        <v>1046</v>
      </c>
      <c r="M169" s="165" t="s">
        <v>217</v>
      </c>
      <c r="N169" s="165"/>
      <c r="O169" s="165"/>
      <c r="P169" s="165"/>
      <c r="Q169" s="165"/>
      <c r="R169" s="165" t="s">
        <v>981</v>
      </c>
      <c r="S169" s="165" t="s">
        <v>206</v>
      </c>
      <c r="T169" s="165" t="s">
        <v>809</v>
      </c>
      <c r="U169" s="165">
        <v>34.97</v>
      </c>
      <c r="W169" s="165" t="s">
        <v>982</v>
      </c>
      <c r="X169" s="165">
        <v>1</v>
      </c>
      <c r="Y169" s="165" t="s">
        <v>250</v>
      </c>
      <c r="Z169" s="165"/>
      <c r="AA169" s="165"/>
      <c r="AB169" s="165"/>
      <c r="AC169" s="165" t="s">
        <v>981</v>
      </c>
      <c r="AD169" s="165" t="s">
        <v>206</v>
      </c>
      <c r="AE169" s="165" t="s">
        <v>809</v>
      </c>
      <c r="AF169" s="165">
        <v>41.2</v>
      </c>
    </row>
    <row r="170" spans="1:32" x14ac:dyDescent="0.25">
      <c r="A170" s="165" t="s">
        <v>1046</v>
      </c>
      <c r="B170" s="165" t="s">
        <v>211</v>
      </c>
      <c r="G170" s="165" t="s">
        <v>981</v>
      </c>
      <c r="H170" s="165" t="s">
        <v>206</v>
      </c>
      <c r="I170" s="165" t="s">
        <v>809</v>
      </c>
      <c r="J170" s="165">
        <v>39.56</v>
      </c>
      <c r="L170" s="165" t="s">
        <v>1043</v>
      </c>
      <c r="M170" s="165" t="s">
        <v>217</v>
      </c>
      <c r="N170" s="165"/>
      <c r="O170" s="165" t="s">
        <v>1018</v>
      </c>
      <c r="P170" s="165" t="s">
        <v>1016</v>
      </c>
      <c r="Q170" s="165" t="s">
        <v>990</v>
      </c>
      <c r="R170" s="165" t="s">
        <v>994</v>
      </c>
      <c r="S170" s="165"/>
      <c r="T170" s="165" t="s">
        <v>809</v>
      </c>
      <c r="U170" s="165">
        <v>35.520000000000003</v>
      </c>
      <c r="W170" s="165" t="s">
        <v>982</v>
      </c>
      <c r="X170" s="165">
        <v>2</v>
      </c>
      <c r="Y170" s="165" t="s">
        <v>251</v>
      </c>
      <c r="Z170" s="165"/>
      <c r="AA170" s="165"/>
      <c r="AB170" s="165"/>
      <c r="AC170" s="165" t="s">
        <v>209</v>
      </c>
      <c r="AD170" s="165" t="s">
        <v>206</v>
      </c>
      <c r="AE170" s="165" t="s">
        <v>210</v>
      </c>
      <c r="AF170" s="165">
        <v>22.77</v>
      </c>
    </row>
    <row r="171" spans="1:32" x14ac:dyDescent="0.25">
      <c r="A171" s="165" t="s">
        <v>1046</v>
      </c>
      <c r="B171" s="165" t="s">
        <v>211</v>
      </c>
      <c r="G171" s="165" t="s">
        <v>1045</v>
      </c>
      <c r="H171" s="165" t="s">
        <v>206</v>
      </c>
      <c r="I171" s="165" t="s">
        <v>210</v>
      </c>
      <c r="J171" s="165">
        <v>22.99</v>
      </c>
      <c r="L171" s="165" t="s">
        <v>1043</v>
      </c>
      <c r="M171" s="165" t="s">
        <v>234</v>
      </c>
      <c r="N171" s="165"/>
      <c r="O171" s="165" t="s">
        <v>1024</v>
      </c>
      <c r="P171" s="165" t="s">
        <v>1023</v>
      </c>
      <c r="Q171" s="165" t="s">
        <v>990</v>
      </c>
      <c r="R171" s="165" t="s">
        <v>994</v>
      </c>
      <c r="S171" s="165"/>
      <c r="T171" s="165" t="s">
        <v>809</v>
      </c>
      <c r="U171" s="165">
        <v>35.54</v>
      </c>
      <c r="W171" s="165" t="s">
        <v>982</v>
      </c>
      <c r="X171" s="165">
        <v>2</v>
      </c>
      <c r="Y171" s="165" t="s">
        <v>251</v>
      </c>
      <c r="Z171" s="165"/>
      <c r="AA171" s="165"/>
      <c r="AB171" s="165"/>
      <c r="AC171" s="165" t="s">
        <v>981</v>
      </c>
      <c r="AD171" s="165" t="s">
        <v>206</v>
      </c>
      <c r="AE171" s="165" t="s">
        <v>809</v>
      </c>
      <c r="AF171" s="165">
        <v>39.5</v>
      </c>
    </row>
    <row r="172" spans="1:32" x14ac:dyDescent="0.25">
      <c r="A172" s="165" t="s">
        <v>1046</v>
      </c>
      <c r="B172" s="165" t="s">
        <v>212</v>
      </c>
      <c r="G172" s="165" t="s">
        <v>981</v>
      </c>
      <c r="H172" s="165" t="s">
        <v>206</v>
      </c>
      <c r="I172" s="165" t="s">
        <v>809</v>
      </c>
      <c r="J172" s="165">
        <v>38.28</v>
      </c>
      <c r="L172" s="165" t="s">
        <v>982</v>
      </c>
      <c r="M172" s="165" t="s">
        <v>214</v>
      </c>
      <c r="N172" s="165" t="s">
        <v>254</v>
      </c>
      <c r="O172" s="165"/>
      <c r="P172" s="165"/>
      <c r="Q172" s="165"/>
      <c r="R172" s="165" t="s">
        <v>981</v>
      </c>
      <c r="S172" s="165" t="s">
        <v>206</v>
      </c>
      <c r="T172" s="165" t="s">
        <v>809</v>
      </c>
      <c r="U172" s="165">
        <v>35.92</v>
      </c>
      <c r="W172" s="165" t="s">
        <v>982</v>
      </c>
      <c r="X172" s="165">
        <v>3</v>
      </c>
      <c r="Y172" s="165" t="s">
        <v>252</v>
      </c>
      <c r="Z172" s="165"/>
      <c r="AA172" s="165"/>
      <c r="AB172" s="165"/>
      <c r="AC172" s="165" t="s">
        <v>209</v>
      </c>
      <c r="AD172" s="165" t="s">
        <v>206</v>
      </c>
      <c r="AE172" s="165" t="s">
        <v>210</v>
      </c>
      <c r="AF172" s="165">
        <v>21.77</v>
      </c>
    </row>
    <row r="173" spans="1:32" x14ac:dyDescent="0.25">
      <c r="A173" s="165" t="s">
        <v>1046</v>
      </c>
      <c r="B173" s="165" t="s">
        <v>212</v>
      </c>
      <c r="G173" s="165" t="s">
        <v>1045</v>
      </c>
      <c r="H173" s="165" t="s">
        <v>206</v>
      </c>
      <c r="I173" s="165" t="s">
        <v>210</v>
      </c>
      <c r="J173" s="165">
        <v>21.59</v>
      </c>
      <c r="L173" s="165" t="s">
        <v>1043</v>
      </c>
      <c r="M173" s="165" t="s">
        <v>235</v>
      </c>
      <c r="N173" s="165"/>
      <c r="O173" s="165" t="s">
        <v>1027</v>
      </c>
      <c r="P173" s="165" t="s">
        <v>1026</v>
      </c>
      <c r="Q173" s="165" t="s">
        <v>990</v>
      </c>
      <c r="R173" s="165" t="s">
        <v>994</v>
      </c>
      <c r="S173" s="165"/>
      <c r="T173" s="165" t="s">
        <v>809</v>
      </c>
      <c r="U173" s="165">
        <v>36</v>
      </c>
      <c r="W173" s="165" t="s">
        <v>982</v>
      </c>
      <c r="X173" s="165">
        <v>3</v>
      </c>
      <c r="Y173" s="165" t="s">
        <v>252</v>
      </c>
      <c r="Z173" s="165"/>
      <c r="AA173" s="165"/>
      <c r="AB173" s="165"/>
      <c r="AC173" s="165" t="s">
        <v>981</v>
      </c>
      <c r="AD173" s="165" t="s">
        <v>206</v>
      </c>
      <c r="AE173" s="165" t="s">
        <v>809</v>
      </c>
      <c r="AF173" s="165">
        <v>44.12</v>
      </c>
    </row>
    <row r="174" spans="1:32" x14ac:dyDescent="0.25">
      <c r="A174" s="165" t="s">
        <v>1046</v>
      </c>
      <c r="B174" s="165" t="s">
        <v>213</v>
      </c>
      <c r="G174" s="165" t="s">
        <v>981</v>
      </c>
      <c r="H174" s="165" t="s">
        <v>206</v>
      </c>
      <c r="I174" s="165" t="s">
        <v>809</v>
      </c>
      <c r="J174" s="165">
        <v>36.61</v>
      </c>
      <c r="L174" s="165" t="s">
        <v>1046</v>
      </c>
      <c r="M174" s="165" t="s">
        <v>216</v>
      </c>
      <c r="N174" s="165"/>
      <c r="O174" s="165"/>
      <c r="P174" s="165"/>
      <c r="Q174" s="165"/>
      <c r="R174" s="165" t="s">
        <v>981</v>
      </c>
      <c r="S174" s="165" t="s">
        <v>206</v>
      </c>
      <c r="T174" s="165" t="s">
        <v>809</v>
      </c>
      <c r="U174" s="165">
        <v>36.32</v>
      </c>
      <c r="W174" s="165" t="s">
        <v>982</v>
      </c>
      <c r="X174" s="165">
        <v>4</v>
      </c>
      <c r="Y174" s="165" t="s">
        <v>253</v>
      </c>
      <c r="Z174" s="165"/>
      <c r="AA174" s="165"/>
      <c r="AB174" s="165"/>
      <c r="AC174" s="165" t="s">
        <v>209</v>
      </c>
      <c r="AD174" s="165" t="s">
        <v>206</v>
      </c>
      <c r="AE174" s="165" t="s">
        <v>210</v>
      </c>
      <c r="AF174" s="165">
        <v>29.1</v>
      </c>
    </row>
    <row r="175" spans="1:32" x14ac:dyDescent="0.25">
      <c r="A175" s="165" t="s">
        <v>1046</v>
      </c>
      <c r="B175" s="165" t="s">
        <v>213</v>
      </c>
      <c r="G175" s="165" t="s">
        <v>1045</v>
      </c>
      <c r="H175" s="165" t="s">
        <v>206</v>
      </c>
      <c r="I175" s="165" t="s">
        <v>210</v>
      </c>
      <c r="J175" s="165">
        <v>28.9</v>
      </c>
      <c r="L175" s="165" t="s">
        <v>982</v>
      </c>
      <c r="M175" s="165" t="s">
        <v>238</v>
      </c>
      <c r="N175" s="165" t="s">
        <v>267</v>
      </c>
      <c r="O175" s="165"/>
      <c r="P175" s="165"/>
      <c r="Q175" s="165"/>
      <c r="R175" s="165" t="s">
        <v>981</v>
      </c>
      <c r="S175" s="165" t="s">
        <v>206</v>
      </c>
      <c r="T175" s="165" t="s">
        <v>809</v>
      </c>
      <c r="U175" s="165">
        <v>36.42</v>
      </c>
      <c r="W175" s="165" t="s">
        <v>982</v>
      </c>
      <c r="X175" s="165">
        <v>4</v>
      </c>
      <c r="Y175" s="165" t="s">
        <v>253</v>
      </c>
      <c r="Z175" s="165"/>
      <c r="AA175" s="165"/>
      <c r="AB175" s="165"/>
      <c r="AC175" s="165" t="s">
        <v>981</v>
      </c>
      <c r="AD175" s="165" t="s">
        <v>206</v>
      </c>
      <c r="AE175" s="165" t="s">
        <v>809</v>
      </c>
      <c r="AF175" s="165">
        <v>38.630000000000003</v>
      </c>
    </row>
    <row r="176" spans="1:32" x14ac:dyDescent="0.25">
      <c r="A176" s="165" t="s">
        <v>1046</v>
      </c>
      <c r="B176" s="165" t="s">
        <v>214</v>
      </c>
      <c r="G176" s="165" t="s">
        <v>981</v>
      </c>
      <c r="H176" s="165" t="s">
        <v>206</v>
      </c>
      <c r="I176" s="165" t="s">
        <v>809</v>
      </c>
      <c r="J176" s="165">
        <v>38.4</v>
      </c>
      <c r="L176" s="165" t="s">
        <v>1046</v>
      </c>
      <c r="M176" s="165" t="s">
        <v>213</v>
      </c>
      <c r="N176" s="165"/>
      <c r="O176" s="165"/>
      <c r="P176" s="165"/>
      <c r="Q176" s="165"/>
      <c r="R176" s="165" t="s">
        <v>981</v>
      </c>
      <c r="S176" s="165" t="s">
        <v>206</v>
      </c>
      <c r="T176" s="165" t="s">
        <v>809</v>
      </c>
      <c r="U176" s="165">
        <v>36.61</v>
      </c>
      <c r="W176" s="165" t="s">
        <v>982</v>
      </c>
      <c r="X176" s="165">
        <v>5</v>
      </c>
      <c r="Y176" s="165" t="s">
        <v>254</v>
      </c>
      <c r="Z176" s="165"/>
      <c r="AA176" s="165"/>
      <c r="AB176" s="165"/>
      <c r="AC176" s="165" t="s">
        <v>209</v>
      </c>
      <c r="AD176" s="165" t="s">
        <v>206</v>
      </c>
      <c r="AE176" s="165" t="s">
        <v>210</v>
      </c>
      <c r="AF176" s="165">
        <v>28.37</v>
      </c>
    </row>
    <row r="177" spans="1:32" x14ac:dyDescent="0.25">
      <c r="A177" s="165" t="s">
        <v>1046</v>
      </c>
      <c r="B177" s="165" t="s">
        <v>214</v>
      </c>
      <c r="G177" s="165" t="s">
        <v>1045</v>
      </c>
      <c r="H177" s="165" t="s">
        <v>206</v>
      </c>
      <c r="I177" s="165" t="s">
        <v>210</v>
      </c>
      <c r="J177" s="165">
        <v>28.62</v>
      </c>
      <c r="L177" s="165" t="s">
        <v>1043</v>
      </c>
      <c r="M177" s="165" t="s">
        <v>204</v>
      </c>
      <c r="N177" s="165"/>
      <c r="O177" s="165" t="s">
        <v>993</v>
      </c>
      <c r="P177" s="165" t="s">
        <v>989</v>
      </c>
      <c r="Q177" s="165" t="s">
        <v>990</v>
      </c>
      <c r="R177" s="165" t="s">
        <v>994</v>
      </c>
      <c r="S177" s="165"/>
      <c r="T177" s="165" t="s">
        <v>809</v>
      </c>
      <c r="U177" s="165">
        <v>36.67</v>
      </c>
      <c r="W177" s="165" t="s">
        <v>982</v>
      </c>
      <c r="X177" s="165">
        <v>5</v>
      </c>
      <c r="Y177" s="165" t="s">
        <v>254</v>
      </c>
      <c r="Z177" s="165"/>
      <c r="AA177" s="165"/>
      <c r="AB177" s="165"/>
      <c r="AC177" s="165" t="s">
        <v>981</v>
      </c>
      <c r="AD177" s="165" t="s">
        <v>206</v>
      </c>
      <c r="AE177" s="165" t="s">
        <v>809</v>
      </c>
      <c r="AF177" s="165">
        <v>35.92</v>
      </c>
    </row>
    <row r="178" spans="1:32" x14ac:dyDescent="0.25">
      <c r="A178" s="165" t="s">
        <v>1046</v>
      </c>
      <c r="B178" s="165" t="s">
        <v>215</v>
      </c>
      <c r="G178" s="165" t="s">
        <v>981</v>
      </c>
      <c r="H178" s="165" t="s">
        <v>206</v>
      </c>
      <c r="I178" s="165" t="s">
        <v>809</v>
      </c>
      <c r="J178" s="165">
        <v>37.64</v>
      </c>
      <c r="L178" s="165" t="s">
        <v>982</v>
      </c>
      <c r="M178" s="165" t="s">
        <v>234</v>
      </c>
      <c r="N178" s="165" t="s">
        <v>263</v>
      </c>
      <c r="O178" s="165"/>
      <c r="P178" s="165"/>
      <c r="Q178" s="165"/>
      <c r="R178" s="165" t="s">
        <v>981</v>
      </c>
      <c r="S178" s="165" t="s">
        <v>206</v>
      </c>
      <c r="T178" s="165" t="s">
        <v>809</v>
      </c>
      <c r="U178" s="165">
        <v>36.69</v>
      </c>
      <c r="W178" s="165" t="s">
        <v>982</v>
      </c>
      <c r="X178" s="165">
        <v>6</v>
      </c>
      <c r="Y178" s="165" t="s">
        <v>255</v>
      </c>
      <c r="Z178" s="165"/>
      <c r="AA178" s="165"/>
      <c r="AB178" s="165"/>
      <c r="AC178" s="165" t="s">
        <v>209</v>
      </c>
      <c r="AD178" s="165" t="s">
        <v>206</v>
      </c>
      <c r="AE178" s="165" t="s">
        <v>210</v>
      </c>
      <c r="AF178" s="165">
        <v>29.07</v>
      </c>
    </row>
    <row r="179" spans="1:32" x14ac:dyDescent="0.25">
      <c r="A179" s="165" t="s">
        <v>1046</v>
      </c>
      <c r="B179" s="165" t="s">
        <v>215</v>
      </c>
      <c r="G179" s="165" t="s">
        <v>1045</v>
      </c>
      <c r="H179" s="165" t="s">
        <v>206</v>
      </c>
      <c r="I179" s="165" t="s">
        <v>210</v>
      </c>
      <c r="J179" s="165">
        <v>29.74</v>
      </c>
      <c r="L179" s="165" t="s">
        <v>1043</v>
      </c>
      <c r="M179" s="165" t="s">
        <v>211</v>
      </c>
      <c r="N179" s="165"/>
      <c r="O179" s="165" t="s">
        <v>998</v>
      </c>
      <c r="P179" s="165" t="s">
        <v>997</v>
      </c>
      <c r="Q179" s="165" t="s">
        <v>990</v>
      </c>
      <c r="R179" s="165" t="s">
        <v>994</v>
      </c>
      <c r="S179" s="165"/>
      <c r="T179" s="165" t="s">
        <v>809</v>
      </c>
      <c r="U179" s="165">
        <v>36.840000000000003</v>
      </c>
      <c r="W179" s="165" t="s">
        <v>982</v>
      </c>
      <c r="X179" s="165">
        <v>6</v>
      </c>
      <c r="Y179" s="165" t="s">
        <v>255</v>
      </c>
      <c r="Z179" s="165"/>
      <c r="AA179" s="165"/>
      <c r="AB179" s="165"/>
      <c r="AC179" s="165" t="s">
        <v>981</v>
      </c>
      <c r="AD179" s="165" t="s">
        <v>206</v>
      </c>
      <c r="AE179" s="165" t="s">
        <v>809</v>
      </c>
      <c r="AF179" s="165">
        <v>36.950000000000003</v>
      </c>
    </row>
    <row r="180" spans="1:32" x14ac:dyDescent="0.25">
      <c r="A180" s="165" t="s">
        <v>1046</v>
      </c>
      <c r="B180" s="165" t="s">
        <v>216</v>
      </c>
      <c r="G180" s="165" t="s">
        <v>981</v>
      </c>
      <c r="H180" s="165" t="s">
        <v>206</v>
      </c>
      <c r="I180" s="165" t="s">
        <v>809</v>
      </c>
      <c r="J180" s="165">
        <v>36.32</v>
      </c>
      <c r="L180" s="165" t="s">
        <v>1046</v>
      </c>
      <c r="M180" s="165" t="s">
        <v>236</v>
      </c>
      <c r="N180" s="165"/>
      <c r="O180" s="165"/>
      <c r="P180" s="165"/>
      <c r="Q180" s="165"/>
      <c r="R180" s="165" t="s">
        <v>981</v>
      </c>
      <c r="S180" s="165" t="s">
        <v>206</v>
      </c>
      <c r="T180" s="165" t="s">
        <v>809</v>
      </c>
      <c r="U180" s="165">
        <v>36.880000000000003</v>
      </c>
      <c r="W180" s="165" t="s">
        <v>982</v>
      </c>
      <c r="X180" s="165">
        <v>7</v>
      </c>
      <c r="Y180" s="165" t="s">
        <v>256</v>
      </c>
      <c r="Z180" s="165"/>
      <c r="AA180" s="165"/>
      <c r="AB180" s="165"/>
      <c r="AC180" s="165" t="s">
        <v>209</v>
      </c>
      <c r="AD180" s="165" t="s">
        <v>206</v>
      </c>
      <c r="AE180" s="165" t="s">
        <v>210</v>
      </c>
      <c r="AF180" s="165">
        <v>32.15</v>
      </c>
    </row>
    <row r="181" spans="1:32" x14ac:dyDescent="0.25">
      <c r="A181" s="165" t="s">
        <v>1046</v>
      </c>
      <c r="B181" s="165" t="s">
        <v>216</v>
      </c>
      <c r="G181" s="165" t="s">
        <v>1045</v>
      </c>
      <c r="H181" s="165" t="s">
        <v>206</v>
      </c>
      <c r="I181" s="165" t="s">
        <v>210</v>
      </c>
      <c r="J181" s="165">
        <v>29.49</v>
      </c>
      <c r="L181" s="165" t="s">
        <v>982</v>
      </c>
      <c r="M181" s="165" t="s">
        <v>215</v>
      </c>
      <c r="N181" s="165" t="s">
        <v>255</v>
      </c>
      <c r="O181" s="165"/>
      <c r="P181" s="165"/>
      <c r="Q181" s="165"/>
      <c r="R181" s="165" t="s">
        <v>981</v>
      </c>
      <c r="S181" s="165" t="s">
        <v>206</v>
      </c>
      <c r="T181" s="165" t="s">
        <v>809</v>
      </c>
      <c r="U181" s="165">
        <v>36.950000000000003</v>
      </c>
      <c r="W181" s="165" t="s">
        <v>982</v>
      </c>
      <c r="X181" s="165">
        <v>7</v>
      </c>
      <c r="Y181" s="165" t="s">
        <v>256</v>
      </c>
      <c r="Z181" s="165"/>
      <c r="AA181" s="165"/>
      <c r="AB181" s="165"/>
      <c r="AC181" s="165" t="s">
        <v>981</v>
      </c>
      <c r="AD181" s="165" t="s">
        <v>206</v>
      </c>
      <c r="AE181" s="165" t="s">
        <v>809</v>
      </c>
      <c r="AF181" s="165">
        <v>34.86</v>
      </c>
    </row>
    <row r="182" spans="1:32" x14ac:dyDescent="0.25">
      <c r="A182" s="165" t="s">
        <v>1046</v>
      </c>
      <c r="B182" s="165" t="s">
        <v>217</v>
      </c>
      <c r="G182" s="165" t="s">
        <v>981</v>
      </c>
      <c r="H182" s="165" t="s">
        <v>206</v>
      </c>
      <c r="I182" s="165" t="s">
        <v>809</v>
      </c>
      <c r="J182" s="165">
        <v>34.97</v>
      </c>
      <c r="L182" s="165" t="s">
        <v>1046</v>
      </c>
      <c r="M182" s="165" t="s">
        <v>237</v>
      </c>
      <c r="N182" s="165"/>
      <c r="O182" s="165"/>
      <c r="P182" s="165"/>
      <c r="Q182" s="165"/>
      <c r="R182" s="165" t="s">
        <v>981</v>
      </c>
      <c r="S182" s="165" t="s">
        <v>206</v>
      </c>
      <c r="T182" s="165" t="s">
        <v>809</v>
      </c>
      <c r="U182" s="165">
        <v>37.39</v>
      </c>
      <c r="W182" s="165" t="s">
        <v>982</v>
      </c>
      <c r="X182" s="165">
        <v>8</v>
      </c>
      <c r="Y182" s="165" t="s">
        <v>257</v>
      </c>
      <c r="Z182" s="165"/>
      <c r="AA182" s="165"/>
      <c r="AB182" s="165"/>
      <c r="AC182" s="165" t="s">
        <v>981</v>
      </c>
      <c r="AD182" s="165" t="s">
        <v>206</v>
      </c>
      <c r="AE182" s="165" t="s">
        <v>809</v>
      </c>
      <c r="AF182" s="165">
        <v>0</v>
      </c>
    </row>
    <row r="183" spans="1:32" x14ac:dyDescent="0.25">
      <c r="A183" s="165" t="s">
        <v>1046</v>
      </c>
      <c r="B183" s="165" t="s">
        <v>217</v>
      </c>
      <c r="G183" s="165" t="s">
        <v>1045</v>
      </c>
      <c r="H183" s="165" t="s">
        <v>206</v>
      </c>
      <c r="I183" s="165" t="s">
        <v>210</v>
      </c>
      <c r="J183" s="165">
        <v>18.37</v>
      </c>
      <c r="L183" s="165" t="s">
        <v>1046</v>
      </c>
      <c r="M183" s="165" t="s">
        <v>215</v>
      </c>
      <c r="N183" s="165"/>
      <c r="O183" s="165"/>
      <c r="P183" s="165"/>
      <c r="Q183" s="165"/>
      <c r="R183" s="165" t="s">
        <v>981</v>
      </c>
      <c r="S183" s="165" t="s">
        <v>206</v>
      </c>
      <c r="T183" s="165" t="s">
        <v>809</v>
      </c>
      <c r="U183" s="165">
        <v>37.64</v>
      </c>
      <c r="W183" s="165" t="s">
        <v>982</v>
      </c>
      <c r="X183" s="165">
        <v>8</v>
      </c>
      <c r="Y183" s="165" t="s">
        <v>257</v>
      </c>
      <c r="Z183" s="165"/>
      <c r="AA183" s="165"/>
      <c r="AB183" s="165"/>
      <c r="AC183" s="165" t="s">
        <v>209</v>
      </c>
      <c r="AD183" s="165" t="s">
        <v>206</v>
      </c>
      <c r="AE183" s="165" t="s">
        <v>210</v>
      </c>
      <c r="AF183" s="165">
        <v>0</v>
      </c>
    </row>
    <row r="184" spans="1:32" x14ac:dyDescent="0.25">
      <c r="A184" s="165" t="s">
        <v>1046</v>
      </c>
      <c r="B184" s="165" t="s">
        <v>223</v>
      </c>
      <c r="G184" s="165" t="s">
        <v>981</v>
      </c>
      <c r="H184" s="165" t="s">
        <v>206</v>
      </c>
      <c r="I184" s="165" t="s">
        <v>809</v>
      </c>
      <c r="J184" s="165">
        <v>38.93</v>
      </c>
      <c r="L184" s="165" t="s">
        <v>982</v>
      </c>
      <c r="M184" s="165" t="s">
        <v>242</v>
      </c>
      <c r="N184" s="165" t="s">
        <v>270</v>
      </c>
      <c r="O184" s="165"/>
      <c r="P184" s="165"/>
      <c r="Q184" s="165"/>
      <c r="R184" s="165" t="s">
        <v>209</v>
      </c>
      <c r="S184" s="165" t="s">
        <v>206</v>
      </c>
      <c r="T184" s="165" t="s">
        <v>210</v>
      </c>
      <c r="U184" s="165">
        <v>37.96</v>
      </c>
      <c r="W184" s="165" t="s">
        <v>982</v>
      </c>
      <c r="X184" s="165">
        <v>1</v>
      </c>
      <c r="Y184" s="165" t="s">
        <v>262</v>
      </c>
      <c r="Z184" s="165"/>
      <c r="AA184" s="165"/>
      <c r="AB184" s="165"/>
      <c r="AC184" s="165" t="s">
        <v>209</v>
      </c>
      <c r="AD184" s="165" t="s">
        <v>206</v>
      </c>
      <c r="AE184" s="165" t="s">
        <v>210</v>
      </c>
      <c r="AF184" s="165">
        <v>13.15</v>
      </c>
    </row>
    <row r="185" spans="1:32" x14ac:dyDescent="0.25">
      <c r="A185" s="165" t="s">
        <v>1046</v>
      </c>
      <c r="B185" s="165" t="s">
        <v>223</v>
      </c>
      <c r="G185" s="165" t="s">
        <v>1045</v>
      </c>
      <c r="H185" s="165" t="s">
        <v>206</v>
      </c>
      <c r="I185" s="165" t="s">
        <v>210</v>
      </c>
      <c r="J185" s="165">
        <v>11.35</v>
      </c>
      <c r="L185" s="165" t="s">
        <v>1046</v>
      </c>
      <c r="M185" s="165" t="s">
        <v>212</v>
      </c>
      <c r="N185" s="165"/>
      <c r="O185" s="165"/>
      <c r="P185" s="165"/>
      <c r="Q185" s="165"/>
      <c r="R185" s="165" t="s">
        <v>981</v>
      </c>
      <c r="S185" s="165" t="s">
        <v>206</v>
      </c>
      <c r="T185" s="165" t="s">
        <v>809</v>
      </c>
      <c r="U185" s="165">
        <v>38.28</v>
      </c>
      <c r="W185" s="165" t="s">
        <v>982</v>
      </c>
      <c r="X185" s="165">
        <v>1</v>
      </c>
      <c r="Y185" s="165" t="s">
        <v>262</v>
      </c>
      <c r="Z185" s="165"/>
      <c r="AA185" s="165"/>
      <c r="AB185" s="165"/>
      <c r="AC185" s="165" t="s">
        <v>981</v>
      </c>
      <c r="AD185" s="165" t="s">
        <v>206</v>
      </c>
      <c r="AE185" s="165" t="s">
        <v>809</v>
      </c>
      <c r="AF185" s="165">
        <v>40.42</v>
      </c>
    </row>
    <row r="186" spans="1:32" x14ac:dyDescent="0.25">
      <c r="A186" s="165" t="s">
        <v>1046</v>
      </c>
      <c r="B186" s="165" t="s">
        <v>234</v>
      </c>
      <c r="G186" s="165" t="s">
        <v>981</v>
      </c>
      <c r="H186" s="165" t="s">
        <v>206</v>
      </c>
      <c r="I186" s="165" t="s">
        <v>809</v>
      </c>
      <c r="J186" s="165">
        <v>38.75</v>
      </c>
      <c r="L186" s="165" t="s">
        <v>1046</v>
      </c>
      <c r="M186" s="165" t="s">
        <v>214</v>
      </c>
      <c r="N186" s="165"/>
      <c r="O186" s="165"/>
      <c r="P186" s="165"/>
      <c r="Q186" s="165"/>
      <c r="R186" s="165" t="s">
        <v>981</v>
      </c>
      <c r="S186" s="165" t="s">
        <v>206</v>
      </c>
      <c r="T186" s="165" t="s">
        <v>809</v>
      </c>
      <c r="U186" s="165">
        <v>38.4</v>
      </c>
      <c r="W186" s="165" t="s">
        <v>982</v>
      </c>
      <c r="X186" s="165">
        <v>2</v>
      </c>
      <c r="Y186" s="165" t="s">
        <v>263</v>
      </c>
      <c r="Z186" s="165"/>
      <c r="AA186" s="165"/>
      <c r="AB186" s="165"/>
      <c r="AC186" s="165" t="s">
        <v>209</v>
      </c>
      <c r="AD186" s="165" t="s">
        <v>206</v>
      </c>
      <c r="AE186" s="165" t="s">
        <v>210</v>
      </c>
      <c r="AF186" s="165">
        <v>22.38</v>
      </c>
    </row>
    <row r="187" spans="1:32" x14ac:dyDescent="0.25">
      <c r="A187" s="165" t="s">
        <v>1046</v>
      </c>
      <c r="B187" s="165" t="s">
        <v>234</v>
      </c>
      <c r="G187" s="165" t="s">
        <v>1045</v>
      </c>
      <c r="H187" s="165" t="s">
        <v>206</v>
      </c>
      <c r="I187" s="165" t="s">
        <v>210</v>
      </c>
      <c r="J187" s="165">
        <v>22.88</v>
      </c>
      <c r="L187" s="165" t="s">
        <v>1046</v>
      </c>
      <c r="M187" s="165" t="s">
        <v>238</v>
      </c>
      <c r="N187" s="165"/>
      <c r="O187" s="165"/>
      <c r="P187" s="165"/>
      <c r="Q187" s="165"/>
      <c r="R187" s="165" t="s">
        <v>981</v>
      </c>
      <c r="S187" s="165" t="s">
        <v>206</v>
      </c>
      <c r="T187" s="165" t="s">
        <v>809</v>
      </c>
      <c r="U187" s="165">
        <v>38.6</v>
      </c>
      <c r="W187" s="165" t="s">
        <v>982</v>
      </c>
      <c r="X187" s="165">
        <v>2</v>
      </c>
      <c r="Y187" s="165" t="s">
        <v>263</v>
      </c>
      <c r="Z187" s="165"/>
      <c r="AA187" s="165"/>
      <c r="AB187" s="165"/>
      <c r="AC187" s="165" t="s">
        <v>981</v>
      </c>
      <c r="AD187" s="165" t="s">
        <v>206</v>
      </c>
      <c r="AE187" s="165" t="s">
        <v>809</v>
      </c>
      <c r="AF187" s="165">
        <v>36.69</v>
      </c>
    </row>
    <row r="188" spans="1:32" x14ac:dyDescent="0.25">
      <c r="A188" s="165" t="s">
        <v>1046</v>
      </c>
      <c r="B188" s="165" t="s">
        <v>235</v>
      </c>
      <c r="G188" s="165" t="s">
        <v>981</v>
      </c>
      <c r="H188" s="165" t="s">
        <v>206</v>
      </c>
      <c r="I188" s="165" t="s">
        <v>809</v>
      </c>
      <c r="J188" s="165">
        <v>39.96</v>
      </c>
      <c r="L188" s="165" t="s">
        <v>982</v>
      </c>
      <c r="M188" s="165" t="s">
        <v>213</v>
      </c>
      <c r="N188" s="165" t="s">
        <v>253</v>
      </c>
      <c r="O188" s="165"/>
      <c r="P188" s="165"/>
      <c r="Q188" s="165"/>
      <c r="R188" s="165" t="s">
        <v>981</v>
      </c>
      <c r="S188" s="165" t="s">
        <v>206</v>
      </c>
      <c r="T188" s="165" t="s">
        <v>809</v>
      </c>
      <c r="U188" s="165">
        <v>38.630000000000003</v>
      </c>
      <c r="W188" s="165" t="s">
        <v>982</v>
      </c>
      <c r="X188" s="165">
        <v>3</v>
      </c>
      <c r="Y188" s="165" t="s">
        <v>264</v>
      </c>
      <c r="Z188" s="165"/>
      <c r="AA188" s="165"/>
      <c r="AB188" s="165"/>
      <c r="AC188" s="165" t="s">
        <v>209</v>
      </c>
      <c r="AD188" s="165" t="s">
        <v>206</v>
      </c>
      <c r="AE188" s="165" t="s">
        <v>210</v>
      </c>
      <c r="AF188" s="165">
        <v>21.31</v>
      </c>
    </row>
    <row r="189" spans="1:32" x14ac:dyDescent="0.25">
      <c r="A189" s="165" t="s">
        <v>1046</v>
      </c>
      <c r="B189" s="165" t="s">
        <v>235</v>
      </c>
      <c r="G189" s="165" t="s">
        <v>1045</v>
      </c>
      <c r="H189" s="165" t="s">
        <v>206</v>
      </c>
      <c r="I189" s="165" t="s">
        <v>210</v>
      </c>
      <c r="J189" s="165">
        <v>22.56</v>
      </c>
      <c r="L189" s="165" t="s">
        <v>1046</v>
      </c>
      <c r="M189" s="165" t="s">
        <v>234</v>
      </c>
      <c r="N189" s="165"/>
      <c r="O189" s="165"/>
      <c r="P189" s="165"/>
      <c r="Q189" s="165"/>
      <c r="R189" s="165" t="s">
        <v>981</v>
      </c>
      <c r="S189" s="165" t="s">
        <v>206</v>
      </c>
      <c r="T189" s="165" t="s">
        <v>809</v>
      </c>
      <c r="U189" s="165">
        <v>38.75</v>
      </c>
      <c r="W189" s="165" t="s">
        <v>982</v>
      </c>
      <c r="X189" s="165">
        <v>3</v>
      </c>
      <c r="Y189" s="165" t="s">
        <v>264</v>
      </c>
      <c r="Z189" s="165"/>
      <c r="AA189" s="165"/>
      <c r="AB189" s="165"/>
      <c r="AC189" s="165" t="s">
        <v>981</v>
      </c>
      <c r="AD189" s="165" t="s">
        <v>206</v>
      </c>
      <c r="AE189" s="165" t="s">
        <v>809</v>
      </c>
      <c r="AF189" s="165">
        <v>38.799999999999997</v>
      </c>
    </row>
    <row r="190" spans="1:32" x14ac:dyDescent="0.25">
      <c r="A190" s="165" t="s">
        <v>1046</v>
      </c>
      <c r="B190" s="165" t="s">
        <v>236</v>
      </c>
      <c r="G190" s="165" t="s">
        <v>981</v>
      </c>
      <c r="H190" s="165" t="s">
        <v>206</v>
      </c>
      <c r="I190" s="165" t="s">
        <v>809</v>
      </c>
      <c r="J190" s="165">
        <v>36.880000000000003</v>
      </c>
      <c r="L190" s="165" t="s">
        <v>982</v>
      </c>
      <c r="M190" s="165" t="s">
        <v>235</v>
      </c>
      <c r="N190" s="165" t="s">
        <v>264</v>
      </c>
      <c r="O190" s="165"/>
      <c r="P190" s="165"/>
      <c r="Q190" s="165"/>
      <c r="R190" s="165" t="s">
        <v>981</v>
      </c>
      <c r="S190" s="165" t="s">
        <v>206</v>
      </c>
      <c r="T190" s="165" t="s">
        <v>809</v>
      </c>
      <c r="U190" s="165">
        <v>38.799999999999997</v>
      </c>
      <c r="W190" s="165" t="s">
        <v>982</v>
      </c>
      <c r="X190" s="165">
        <v>4</v>
      </c>
      <c r="Y190" s="165" t="s">
        <v>265</v>
      </c>
      <c r="Z190" s="165"/>
      <c r="AA190" s="165"/>
      <c r="AB190" s="165"/>
      <c r="AC190" s="165" t="s">
        <v>209</v>
      </c>
      <c r="AD190" s="165" t="s">
        <v>206</v>
      </c>
      <c r="AE190" s="165" t="s">
        <v>210</v>
      </c>
      <c r="AF190" s="165">
        <v>28.54</v>
      </c>
    </row>
    <row r="191" spans="1:32" x14ac:dyDescent="0.25">
      <c r="A191" s="165" t="s">
        <v>1046</v>
      </c>
      <c r="B191" s="165" t="s">
        <v>236</v>
      </c>
      <c r="G191" s="165" t="s">
        <v>1045</v>
      </c>
      <c r="H191" s="165" t="s">
        <v>206</v>
      </c>
      <c r="I191" s="165" t="s">
        <v>210</v>
      </c>
      <c r="J191" s="165">
        <v>29.45</v>
      </c>
      <c r="L191" s="165" t="s">
        <v>982</v>
      </c>
      <c r="M191" s="165" t="s">
        <v>236</v>
      </c>
      <c r="N191" s="165" t="s">
        <v>265</v>
      </c>
      <c r="O191" s="165"/>
      <c r="P191" s="165"/>
      <c r="Q191" s="165"/>
      <c r="R191" s="165" t="s">
        <v>981</v>
      </c>
      <c r="S191" s="165" t="s">
        <v>206</v>
      </c>
      <c r="T191" s="165" t="s">
        <v>809</v>
      </c>
      <c r="U191" s="165">
        <v>38.85</v>
      </c>
      <c r="W191" s="165" t="s">
        <v>982</v>
      </c>
      <c r="X191" s="165">
        <v>4</v>
      </c>
      <c r="Y191" s="165" t="s">
        <v>265</v>
      </c>
      <c r="Z191" s="165"/>
      <c r="AA191" s="165"/>
      <c r="AB191" s="165"/>
      <c r="AC191" s="165" t="s">
        <v>981</v>
      </c>
      <c r="AD191" s="165" t="s">
        <v>206</v>
      </c>
      <c r="AE191" s="165" t="s">
        <v>809</v>
      </c>
      <c r="AF191" s="165">
        <v>38.85</v>
      </c>
    </row>
    <row r="192" spans="1:32" x14ac:dyDescent="0.25">
      <c r="A192" s="165" t="s">
        <v>1046</v>
      </c>
      <c r="B192" s="165" t="s">
        <v>237</v>
      </c>
      <c r="G192" s="165" t="s">
        <v>981</v>
      </c>
      <c r="H192" s="165" t="s">
        <v>206</v>
      </c>
      <c r="I192" s="165" t="s">
        <v>809</v>
      </c>
      <c r="J192" s="165">
        <v>37.39</v>
      </c>
      <c r="L192" s="165" t="s">
        <v>982</v>
      </c>
      <c r="M192" s="165" t="s">
        <v>239</v>
      </c>
      <c r="N192" s="165" t="s">
        <v>268</v>
      </c>
      <c r="O192" s="165"/>
      <c r="P192" s="165"/>
      <c r="Q192" s="165"/>
      <c r="R192" s="165" t="s">
        <v>981</v>
      </c>
      <c r="S192" s="165" t="s">
        <v>206</v>
      </c>
      <c r="T192" s="165" t="s">
        <v>809</v>
      </c>
      <c r="U192" s="165">
        <v>38.9</v>
      </c>
      <c r="W192" s="165" t="s">
        <v>982</v>
      </c>
      <c r="X192" s="165">
        <v>5</v>
      </c>
      <c r="Y192" s="165" t="s">
        <v>266</v>
      </c>
      <c r="Z192" s="165"/>
      <c r="AA192" s="165"/>
      <c r="AB192" s="165"/>
      <c r="AC192" s="165" t="s">
        <v>981</v>
      </c>
      <c r="AD192" s="165" t="s">
        <v>206</v>
      </c>
      <c r="AE192" s="165" t="s">
        <v>809</v>
      </c>
      <c r="AF192" s="165">
        <v>0</v>
      </c>
    </row>
    <row r="193" spans="1:32" x14ac:dyDescent="0.25">
      <c r="A193" s="165" t="s">
        <v>1046</v>
      </c>
      <c r="B193" s="165" t="s">
        <v>237</v>
      </c>
      <c r="G193" s="165" t="s">
        <v>1045</v>
      </c>
      <c r="H193" s="165" t="s">
        <v>206</v>
      </c>
      <c r="I193" s="165" t="s">
        <v>210</v>
      </c>
      <c r="J193" s="165">
        <v>28.75</v>
      </c>
      <c r="L193" s="165" t="s">
        <v>1046</v>
      </c>
      <c r="M193" s="165" t="s">
        <v>223</v>
      </c>
      <c r="N193" s="165"/>
      <c r="O193" s="165"/>
      <c r="P193" s="165"/>
      <c r="Q193" s="165"/>
      <c r="R193" s="165" t="s">
        <v>981</v>
      </c>
      <c r="S193" s="165" t="s">
        <v>206</v>
      </c>
      <c r="T193" s="165" t="s">
        <v>809</v>
      </c>
      <c r="U193" s="165">
        <v>38.93</v>
      </c>
      <c r="W193" s="165" t="s">
        <v>982</v>
      </c>
      <c r="X193" s="165">
        <v>5</v>
      </c>
      <c r="Y193" s="165" t="s">
        <v>266</v>
      </c>
      <c r="Z193" s="165"/>
      <c r="AA193" s="165"/>
      <c r="AB193" s="165"/>
      <c r="AC193" s="165" t="s">
        <v>209</v>
      </c>
      <c r="AD193" s="165" t="s">
        <v>206</v>
      </c>
      <c r="AE193" s="165" t="s">
        <v>210</v>
      </c>
      <c r="AF193" s="165">
        <v>28.08</v>
      </c>
    </row>
    <row r="194" spans="1:32" x14ac:dyDescent="0.25">
      <c r="A194" s="165" t="s">
        <v>1046</v>
      </c>
      <c r="B194" s="165" t="s">
        <v>238</v>
      </c>
      <c r="G194" s="165" t="s">
        <v>981</v>
      </c>
      <c r="H194" s="165" t="s">
        <v>206</v>
      </c>
      <c r="I194" s="165" t="s">
        <v>809</v>
      </c>
      <c r="J194" s="165">
        <v>38.6</v>
      </c>
      <c r="L194" s="165" t="s">
        <v>982</v>
      </c>
      <c r="M194" s="165" t="s">
        <v>211</v>
      </c>
      <c r="N194" s="165" t="s">
        <v>251</v>
      </c>
      <c r="O194" s="165"/>
      <c r="P194" s="165"/>
      <c r="Q194" s="165"/>
      <c r="R194" s="165" t="s">
        <v>981</v>
      </c>
      <c r="S194" s="165" t="s">
        <v>206</v>
      </c>
      <c r="T194" s="165" t="s">
        <v>809</v>
      </c>
      <c r="U194" s="165">
        <v>39.5</v>
      </c>
      <c r="W194" s="165" t="s">
        <v>982</v>
      </c>
      <c r="X194" s="165">
        <v>6</v>
      </c>
      <c r="Y194" s="165" t="s">
        <v>267</v>
      </c>
      <c r="Z194" s="165"/>
      <c r="AA194" s="165"/>
      <c r="AB194" s="165"/>
      <c r="AC194" s="165" t="s">
        <v>209</v>
      </c>
      <c r="AD194" s="165" t="s">
        <v>206</v>
      </c>
      <c r="AE194" s="165" t="s">
        <v>210</v>
      </c>
      <c r="AF194" s="165">
        <v>29.27</v>
      </c>
    </row>
    <row r="195" spans="1:32" x14ac:dyDescent="0.25">
      <c r="A195" s="165" t="s">
        <v>1046</v>
      </c>
      <c r="B195" s="165" t="s">
        <v>238</v>
      </c>
      <c r="G195" s="165" t="s">
        <v>1045</v>
      </c>
      <c r="H195" s="165" t="s">
        <v>206</v>
      </c>
      <c r="I195" s="165" t="s">
        <v>210</v>
      </c>
      <c r="J195" s="165">
        <v>29.39</v>
      </c>
      <c r="L195" s="165" t="s">
        <v>1046</v>
      </c>
      <c r="M195" s="165" t="s">
        <v>211</v>
      </c>
      <c r="N195" s="165"/>
      <c r="O195" s="165"/>
      <c r="P195" s="165"/>
      <c r="Q195" s="165"/>
      <c r="R195" s="165" t="s">
        <v>981</v>
      </c>
      <c r="S195" s="165" t="s">
        <v>206</v>
      </c>
      <c r="T195" s="165" t="s">
        <v>809</v>
      </c>
      <c r="U195" s="165">
        <v>39.56</v>
      </c>
      <c r="W195" s="165" t="s">
        <v>982</v>
      </c>
      <c r="X195" s="165">
        <v>6</v>
      </c>
      <c r="Y195" s="165" t="s">
        <v>267</v>
      </c>
      <c r="Z195" s="165"/>
      <c r="AA195" s="165"/>
      <c r="AB195" s="165"/>
      <c r="AC195" s="165" t="s">
        <v>981</v>
      </c>
      <c r="AD195" s="165" t="s">
        <v>206</v>
      </c>
      <c r="AE195" s="165" t="s">
        <v>809</v>
      </c>
      <c r="AF195" s="165">
        <v>36.42</v>
      </c>
    </row>
    <row r="196" spans="1:32" x14ac:dyDescent="0.25">
      <c r="A196" s="165" t="s">
        <v>1046</v>
      </c>
      <c r="B196" s="165" t="s">
        <v>239</v>
      </c>
      <c r="G196" s="165" t="s">
        <v>981</v>
      </c>
      <c r="H196" s="165" t="s">
        <v>206</v>
      </c>
      <c r="I196" s="165" t="s">
        <v>809</v>
      </c>
      <c r="J196" s="165">
        <v>34.31</v>
      </c>
      <c r="L196" s="165" t="s">
        <v>1046</v>
      </c>
      <c r="M196" s="165" t="s">
        <v>235</v>
      </c>
      <c r="N196" s="165"/>
      <c r="O196" s="165"/>
      <c r="P196" s="165"/>
      <c r="Q196" s="165"/>
      <c r="R196" s="165" t="s">
        <v>981</v>
      </c>
      <c r="S196" s="165" t="s">
        <v>206</v>
      </c>
      <c r="T196" s="165" t="s">
        <v>809</v>
      </c>
      <c r="U196" s="165">
        <v>39.96</v>
      </c>
      <c r="W196" s="165" t="s">
        <v>982</v>
      </c>
      <c r="X196" s="165">
        <v>7</v>
      </c>
      <c r="Y196" s="165" t="s">
        <v>268</v>
      </c>
      <c r="Z196" s="165"/>
      <c r="AA196" s="165"/>
      <c r="AB196" s="165"/>
      <c r="AC196" s="165" t="s">
        <v>209</v>
      </c>
      <c r="AD196" s="165" t="s">
        <v>206</v>
      </c>
      <c r="AE196" s="165" t="s">
        <v>210</v>
      </c>
      <c r="AF196" s="165">
        <v>32.53</v>
      </c>
    </row>
    <row r="197" spans="1:32" x14ac:dyDescent="0.25">
      <c r="A197" s="165" t="s">
        <v>1046</v>
      </c>
      <c r="B197" s="165" t="s">
        <v>239</v>
      </c>
      <c r="G197" s="165" t="s">
        <v>1045</v>
      </c>
      <c r="H197" s="165" t="s">
        <v>206</v>
      </c>
      <c r="I197" s="165" t="s">
        <v>210</v>
      </c>
      <c r="J197" s="165">
        <v>31.51</v>
      </c>
      <c r="L197" s="165" t="s">
        <v>982</v>
      </c>
      <c r="M197" s="165" t="s">
        <v>223</v>
      </c>
      <c r="N197" s="165" t="s">
        <v>262</v>
      </c>
      <c r="O197" s="165"/>
      <c r="P197" s="165"/>
      <c r="Q197" s="165"/>
      <c r="R197" s="165" t="s">
        <v>981</v>
      </c>
      <c r="S197" s="165" t="s">
        <v>206</v>
      </c>
      <c r="T197" s="165" t="s">
        <v>809</v>
      </c>
      <c r="U197" s="165">
        <v>40.42</v>
      </c>
      <c r="W197" s="165" t="s">
        <v>982</v>
      </c>
      <c r="X197" s="165">
        <v>7</v>
      </c>
      <c r="Y197" s="165" t="s">
        <v>268</v>
      </c>
      <c r="Z197" s="165"/>
      <c r="AA197" s="165"/>
      <c r="AB197" s="165"/>
      <c r="AC197" s="165" t="s">
        <v>981</v>
      </c>
      <c r="AD197" s="165" t="s">
        <v>206</v>
      </c>
      <c r="AE197" s="165" t="s">
        <v>809</v>
      </c>
      <c r="AF197" s="165">
        <v>38.9</v>
      </c>
    </row>
    <row r="198" spans="1:32" x14ac:dyDescent="0.25">
      <c r="A198" s="165" t="s">
        <v>1046</v>
      </c>
      <c r="B198" s="165" t="s">
        <v>242</v>
      </c>
      <c r="G198" s="165" t="s">
        <v>981</v>
      </c>
      <c r="H198" s="165" t="s">
        <v>206</v>
      </c>
      <c r="I198" s="165" t="s">
        <v>809</v>
      </c>
      <c r="J198" s="165">
        <v>34.630000000000003</v>
      </c>
      <c r="L198" s="165" t="s">
        <v>982</v>
      </c>
      <c r="M198" s="165" t="s">
        <v>204</v>
      </c>
      <c r="N198" s="165" t="s">
        <v>250</v>
      </c>
      <c r="O198" s="165"/>
      <c r="P198" s="165"/>
      <c r="Q198" s="165"/>
      <c r="R198" s="165" t="s">
        <v>981</v>
      </c>
      <c r="S198" s="165" t="s">
        <v>206</v>
      </c>
      <c r="T198" s="165" t="s">
        <v>809</v>
      </c>
      <c r="U198" s="165">
        <v>41.2</v>
      </c>
      <c r="W198" s="165" t="s">
        <v>982</v>
      </c>
      <c r="X198" s="165">
        <v>8</v>
      </c>
      <c r="Y198" s="165" t="s">
        <v>270</v>
      </c>
      <c r="Z198" s="165"/>
      <c r="AA198" s="165"/>
      <c r="AB198" s="165"/>
      <c r="AC198" s="165" t="s">
        <v>981</v>
      </c>
      <c r="AD198" s="165" t="s">
        <v>206</v>
      </c>
      <c r="AE198" s="165" t="s">
        <v>809</v>
      </c>
      <c r="AF198" s="165">
        <v>0</v>
      </c>
    </row>
    <row r="199" spans="1:32" x14ac:dyDescent="0.25">
      <c r="A199" s="165" t="s">
        <v>1046</v>
      </c>
      <c r="B199" s="165" t="s">
        <v>242</v>
      </c>
      <c r="G199" s="165" t="s">
        <v>1045</v>
      </c>
      <c r="H199" s="165" t="s">
        <v>206</v>
      </c>
      <c r="I199" s="165" t="s">
        <v>210</v>
      </c>
      <c r="J199" s="165">
        <v>0</v>
      </c>
      <c r="L199" s="165" t="s">
        <v>982</v>
      </c>
      <c r="M199" s="165" t="s">
        <v>212</v>
      </c>
      <c r="N199" s="165" t="s">
        <v>252</v>
      </c>
      <c r="O199" s="165"/>
      <c r="P199" s="165"/>
      <c r="Q199" s="165"/>
      <c r="R199" s="165" t="s">
        <v>981</v>
      </c>
      <c r="S199" s="165" t="s">
        <v>206</v>
      </c>
      <c r="T199" s="165" t="s">
        <v>809</v>
      </c>
      <c r="U199" s="165">
        <v>44.12</v>
      </c>
      <c r="W199" s="165" t="s">
        <v>982</v>
      </c>
      <c r="X199" s="165">
        <v>8</v>
      </c>
      <c r="Y199" s="165" t="s">
        <v>270</v>
      </c>
      <c r="Z199" s="165"/>
      <c r="AA199" s="165"/>
      <c r="AB199" s="165"/>
      <c r="AC199" s="165" t="s">
        <v>209</v>
      </c>
      <c r="AD199" s="165" t="s">
        <v>206</v>
      </c>
      <c r="AE199" s="165" t="s">
        <v>210</v>
      </c>
      <c r="AF199" s="165">
        <v>37.96</v>
      </c>
    </row>
    <row r="201" spans="1:32" ht="45" x14ac:dyDescent="0.25">
      <c r="A201" t="s">
        <v>768</v>
      </c>
      <c r="N201" t="s">
        <v>1154</v>
      </c>
      <c r="O201" s="179" t="s">
        <v>198</v>
      </c>
      <c r="P201" t="s">
        <v>201</v>
      </c>
      <c r="Q201" s="185" t="s">
        <v>1096</v>
      </c>
      <c r="R201" t="s">
        <v>1115</v>
      </c>
      <c r="S201" t="s">
        <v>1046</v>
      </c>
      <c r="T201" t="s">
        <v>1043</v>
      </c>
      <c r="U201" t="s">
        <v>982</v>
      </c>
    </row>
    <row r="202" spans="1:32" x14ac:dyDescent="0.25">
      <c r="A202" s="165" t="s">
        <v>1047</v>
      </c>
      <c r="B202" s="165" t="s">
        <v>198</v>
      </c>
      <c r="C202" s="165" t="s">
        <v>201</v>
      </c>
      <c r="D202" s="165" t="s">
        <v>202</v>
      </c>
      <c r="E202" s="165" t="s">
        <v>547</v>
      </c>
      <c r="F202" s="165"/>
      <c r="G202" s="165"/>
      <c r="H202" s="165" t="s">
        <v>1047</v>
      </c>
      <c r="I202" s="165" t="s">
        <v>198</v>
      </c>
      <c r="J202" s="165" t="s">
        <v>201</v>
      </c>
      <c r="K202" s="165" t="s">
        <v>547</v>
      </c>
      <c r="N202" s="165" t="s">
        <v>31</v>
      </c>
      <c r="O202" s="179">
        <v>1</v>
      </c>
      <c r="P202" s="165" t="s">
        <v>210</v>
      </c>
      <c r="Q202" s="167">
        <v>1204400000.0000002</v>
      </c>
      <c r="R202">
        <f>LOG(Q202)</f>
        <v>9.0807707468407219</v>
      </c>
      <c r="S202" s="165">
        <v>11.280000000000001</v>
      </c>
      <c r="T202" s="165">
        <v>11.815</v>
      </c>
      <c r="U202" s="165">
        <v>12.484999999999999</v>
      </c>
    </row>
    <row r="203" spans="1:32" x14ac:dyDescent="0.25">
      <c r="A203" s="165" t="s">
        <v>1046</v>
      </c>
      <c r="B203" s="165" t="s">
        <v>204</v>
      </c>
      <c r="C203" s="165" t="s">
        <v>809</v>
      </c>
      <c r="D203" s="165" t="s">
        <v>220</v>
      </c>
      <c r="E203" s="165">
        <f>AVERAGE(D203,D211)</f>
        <v>38.93</v>
      </c>
      <c r="F203" s="165"/>
      <c r="G203" s="165"/>
      <c r="H203" s="165" t="s">
        <v>1046</v>
      </c>
      <c r="I203" s="165">
        <v>1</v>
      </c>
      <c r="J203" s="165" t="s">
        <v>809</v>
      </c>
      <c r="K203" s="165">
        <v>38.93</v>
      </c>
      <c r="N203" s="165" t="s">
        <v>32</v>
      </c>
      <c r="O203" s="179">
        <v>2</v>
      </c>
      <c r="P203" s="165" t="s">
        <v>210</v>
      </c>
      <c r="Q203" s="167">
        <v>120440000.00000003</v>
      </c>
      <c r="R203" s="165">
        <f t="shared" ref="R203:R209" si="6">LOG(Q203)</f>
        <v>8.0807707468407219</v>
      </c>
      <c r="S203" s="165">
        <v>22.934999999999999</v>
      </c>
      <c r="T203" s="165">
        <v>23.880000000000003</v>
      </c>
      <c r="U203" s="165">
        <v>22.574999999999999</v>
      </c>
    </row>
    <row r="204" spans="1:32" x14ac:dyDescent="0.25">
      <c r="A204" s="165" t="s">
        <v>1046</v>
      </c>
      <c r="B204" s="165" t="s">
        <v>211</v>
      </c>
      <c r="C204" s="165" t="s">
        <v>809</v>
      </c>
      <c r="D204" s="165">
        <v>39.56</v>
      </c>
      <c r="E204" s="165">
        <f t="shared" ref="E204:E267" si="7">AVERAGE(D204,D212)</f>
        <v>39.155000000000001</v>
      </c>
      <c r="F204" s="165"/>
      <c r="G204" s="165"/>
      <c r="H204" s="165" t="s">
        <v>1046</v>
      </c>
      <c r="I204" s="165">
        <v>2</v>
      </c>
      <c r="J204" s="165" t="s">
        <v>809</v>
      </c>
      <c r="K204" s="165">
        <v>39.155000000000001</v>
      </c>
      <c r="N204" s="165" t="s">
        <v>33</v>
      </c>
      <c r="O204" s="179">
        <v>3</v>
      </c>
      <c r="P204" s="165" t="s">
        <v>210</v>
      </c>
      <c r="Q204" s="167">
        <v>12044000.000000004</v>
      </c>
      <c r="R204" s="165">
        <f t="shared" si="6"/>
        <v>7.0807707468407219</v>
      </c>
      <c r="S204" s="165">
        <v>22.074999999999999</v>
      </c>
      <c r="T204" s="165">
        <v>22.45</v>
      </c>
      <c r="U204" s="165">
        <v>21.54</v>
      </c>
    </row>
    <row r="205" spans="1:32" x14ac:dyDescent="0.25">
      <c r="A205" s="165" t="s">
        <v>1046</v>
      </c>
      <c r="B205" s="165" t="s">
        <v>212</v>
      </c>
      <c r="C205" s="165" t="s">
        <v>809</v>
      </c>
      <c r="D205" s="165">
        <v>38.28</v>
      </c>
      <c r="E205" s="165">
        <f t="shared" si="7"/>
        <v>39.120000000000005</v>
      </c>
      <c r="F205" s="165"/>
      <c r="G205" s="165"/>
      <c r="H205" s="165" t="s">
        <v>1046</v>
      </c>
      <c r="I205" s="165">
        <v>3</v>
      </c>
      <c r="J205" s="165" t="s">
        <v>809</v>
      </c>
      <c r="K205" s="165">
        <v>39.120000000000005</v>
      </c>
      <c r="N205" s="165" t="s">
        <v>34</v>
      </c>
      <c r="O205" s="179">
        <v>4</v>
      </c>
      <c r="P205" s="165" t="s">
        <v>210</v>
      </c>
      <c r="Q205" s="167">
        <v>1204400.0000000005</v>
      </c>
      <c r="R205" s="165">
        <f t="shared" si="6"/>
        <v>6.0807707468407219</v>
      </c>
      <c r="S205" s="165">
        <v>29.174999999999997</v>
      </c>
      <c r="T205" s="165">
        <v>28.515000000000001</v>
      </c>
      <c r="U205" s="165">
        <v>28.82</v>
      </c>
    </row>
    <row r="206" spans="1:32" x14ac:dyDescent="0.25">
      <c r="A206" s="165" t="s">
        <v>1046</v>
      </c>
      <c r="B206" s="165" t="s">
        <v>213</v>
      </c>
      <c r="C206" s="165" t="s">
        <v>809</v>
      </c>
      <c r="D206" s="165">
        <v>36.61</v>
      </c>
      <c r="E206" s="165">
        <f t="shared" si="7"/>
        <v>36.745000000000005</v>
      </c>
      <c r="F206" s="165"/>
      <c r="G206" s="165"/>
      <c r="H206" s="165" t="s">
        <v>1046</v>
      </c>
      <c r="I206" s="165">
        <v>4</v>
      </c>
      <c r="J206" s="165" t="s">
        <v>809</v>
      </c>
      <c r="K206" s="165">
        <v>36.745000000000005</v>
      </c>
      <c r="N206" s="165" t="s">
        <v>35</v>
      </c>
      <c r="O206" s="179">
        <v>5</v>
      </c>
      <c r="P206" s="165" t="s">
        <v>210</v>
      </c>
      <c r="Q206" s="167">
        <v>120440.00000000004</v>
      </c>
      <c r="R206" s="165">
        <f t="shared" si="6"/>
        <v>5.0807707468407219</v>
      </c>
      <c r="S206" s="165">
        <v>28.685000000000002</v>
      </c>
      <c r="T206" s="165">
        <v>29.060000000000002</v>
      </c>
      <c r="U206" s="165">
        <v>28.225000000000001</v>
      </c>
    </row>
    <row r="207" spans="1:32" x14ac:dyDescent="0.25">
      <c r="A207" s="165" t="s">
        <v>1046</v>
      </c>
      <c r="B207" s="165" t="s">
        <v>214</v>
      </c>
      <c r="C207" s="165" t="s">
        <v>809</v>
      </c>
      <c r="D207" s="165">
        <v>38.4</v>
      </c>
      <c r="E207" s="165">
        <f t="shared" si="7"/>
        <v>37.894999999999996</v>
      </c>
      <c r="F207" s="165"/>
      <c r="G207" s="165"/>
      <c r="H207" s="165" t="s">
        <v>1046</v>
      </c>
      <c r="I207" s="165">
        <v>5</v>
      </c>
      <c r="J207" s="165" t="s">
        <v>809</v>
      </c>
      <c r="K207" s="165">
        <v>37.894999999999996</v>
      </c>
      <c r="N207" s="165" t="s">
        <v>36</v>
      </c>
      <c r="O207" s="179">
        <v>6</v>
      </c>
      <c r="P207" s="165" t="s">
        <v>210</v>
      </c>
      <c r="Q207" s="167">
        <v>12044.000000000004</v>
      </c>
      <c r="R207" s="165">
        <f t="shared" si="6"/>
        <v>4.0807707468407219</v>
      </c>
      <c r="S207" s="165">
        <v>29.564999999999998</v>
      </c>
      <c r="T207" s="165">
        <v>30.375</v>
      </c>
      <c r="U207" s="165">
        <v>29.17</v>
      </c>
    </row>
    <row r="208" spans="1:32" x14ac:dyDescent="0.25">
      <c r="A208" s="165" t="s">
        <v>1046</v>
      </c>
      <c r="B208" s="165" t="s">
        <v>215</v>
      </c>
      <c r="C208" s="165" t="s">
        <v>809</v>
      </c>
      <c r="D208" s="165">
        <v>37.64</v>
      </c>
      <c r="E208" s="165">
        <f t="shared" si="7"/>
        <v>38.120000000000005</v>
      </c>
      <c r="F208" s="165"/>
      <c r="G208" s="165"/>
      <c r="H208" s="165" t="s">
        <v>1046</v>
      </c>
      <c r="I208" s="165">
        <v>6</v>
      </c>
      <c r="J208" s="165" t="s">
        <v>809</v>
      </c>
      <c r="K208" s="165">
        <v>38.120000000000005</v>
      </c>
      <c r="N208" s="165" t="s">
        <v>37</v>
      </c>
      <c r="O208" s="179">
        <v>7</v>
      </c>
      <c r="P208" s="165" t="s">
        <v>210</v>
      </c>
      <c r="Q208" s="167">
        <v>1204.4000000000005</v>
      </c>
      <c r="R208" s="165">
        <f t="shared" si="6"/>
        <v>3.0807707468407219</v>
      </c>
      <c r="S208" s="165">
        <v>30.5</v>
      </c>
      <c r="T208" s="165">
        <v>31.970000000000002</v>
      </c>
      <c r="U208" s="165">
        <v>32.340000000000003</v>
      </c>
    </row>
    <row r="209" spans="1:21" x14ac:dyDescent="0.25">
      <c r="A209" s="165" t="s">
        <v>1046</v>
      </c>
      <c r="B209" s="165" t="s">
        <v>216</v>
      </c>
      <c r="C209" s="165" t="s">
        <v>809</v>
      </c>
      <c r="D209" s="165">
        <v>36.32</v>
      </c>
      <c r="E209" s="165">
        <f t="shared" si="7"/>
        <v>35.314999999999998</v>
      </c>
      <c r="F209" s="165"/>
      <c r="G209" s="165"/>
      <c r="H209" s="165" t="s">
        <v>1046</v>
      </c>
      <c r="I209" s="165">
        <v>7</v>
      </c>
      <c r="J209" s="165" t="s">
        <v>809</v>
      </c>
      <c r="K209" s="165">
        <v>35.314999999999998</v>
      </c>
      <c r="N209" s="165" t="s">
        <v>915</v>
      </c>
      <c r="O209" s="179" t="s">
        <v>915</v>
      </c>
      <c r="P209" s="165" t="s">
        <v>210</v>
      </c>
      <c r="Q209" s="167">
        <v>0</v>
      </c>
      <c r="R209" t="e">
        <f t="shared" si="6"/>
        <v>#NUM!</v>
      </c>
      <c r="S209" s="165">
        <v>18.37</v>
      </c>
      <c r="T209" s="165">
        <v>0</v>
      </c>
      <c r="U209" s="165">
        <v>37.96</v>
      </c>
    </row>
    <row r="210" spans="1:21" x14ac:dyDescent="0.25">
      <c r="A210" s="165" t="s">
        <v>1046</v>
      </c>
      <c r="B210" s="165" t="s">
        <v>217</v>
      </c>
      <c r="C210" s="165" t="s">
        <v>809</v>
      </c>
      <c r="D210" s="165">
        <v>34.97</v>
      </c>
      <c r="E210" s="165">
        <f t="shared" si="7"/>
        <v>34.799999999999997</v>
      </c>
      <c r="F210" s="165"/>
      <c r="G210" s="165"/>
      <c r="H210" s="165" t="s">
        <v>1046</v>
      </c>
      <c r="I210" s="165" t="s">
        <v>915</v>
      </c>
      <c r="J210" s="165" t="s">
        <v>809</v>
      </c>
      <c r="K210" s="165">
        <v>34.799999999999997</v>
      </c>
    </row>
    <row r="211" spans="1:21" x14ac:dyDescent="0.25">
      <c r="A211" s="165" t="s">
        <v>1046</v>
      </c>
      <c r="B211" s="165" t="s">
        <v>223</v>
      </c>
      <c r="C211" s="165" t="s">
        <v>809</v>
      </c>
      <c r="D211" s="165">
        <v>38.93</v>
      </c>
      <c r="E211" s="165"/>
      <c r="F211" s="165"/>
      <c r="G211" s="165"/>
      <c r="H211" s="165" t="s">
        <v>1046</v>
      </c>
      <c r="I211" s="165">
        <v>1</v>
      </c>
      <c r="J211" s="165" t="s">
        <v>210</v>
      </c>
      <c r="K211" s="165">
        <v>11.280000000000001</v>
      </c>
    </row>
    <row r="212" spans="1:21" ht="60" x14ac:dyDescent="0.25">
      <c r="A212" s="165" t="s">
        <v>1046</v>
      </c>
      <c r="B212" s="165" t="s">
        <v>234</v>
      </c>
      <c r="C212" s="165" t="s">
        <v>809</v>
      </c>
      <c r="D212" s="165">
        <v>38.75</v>
      </c>
      <c r="E212" s="165"/>
      <c r="F212" s="165"/>
      <c r="G212" s="165"/>
      <c r="H212" s="165" t="s">
        <v>1046</v>
      </c>
      <c r="I212" s="165">
        <v>2</v>
      </c>
      <c r="J212" s="165" t="s">
        <v>210</v>
      </c>
      <c r="K212" s="165">
        <v>22.934999999999999</v>
      </c>
      <c r="N212" s="185" t="s">
        <v>20</v>
      </c>
      <c r="O212" s="185" t="s">
        <v>21</v>
      </c>
      <c r="P212" s="185" t="s">
        <v>1093</v>
      </c>
      <c r="Q212" s="185" t="s">
        <v>1094</v>
      </c>
      <c r="R212" s="185" t="s">
        <v>1095</v>
      </c>
      <c r="S212" s="185" t="s">
        <v>1096</v>
      </c>
    </row>
    <row r="213" spans="1:21" x14ac:dyDescent="0.25">
      <c r="A213" s="165" t="s">
        <v>1046</v>
      </c>
      <c r="B213" s="165" t="s">
        <v>235</v>
      </c>
      <c r="C213" s="165" t="s">
        <v>809</v>
      </c>
      <c r="D213" s="165">
        <v>39.96</v>
      </c>
      <c r="E213" s="165"/>
      <c r="F213" s="165"/>
      <c r="G213" s="165"/>
      <c r="H213" s="165" t="s">
        <v>1046</v>
      </c>
      <c r="I213" s="165">
        <v>3</v>
      </c>
      <c r="J213" s="165" t="s">
        <v>210</v>
      </c>
      <c r="K213" s="165">
        <v>22.074999999999999</v>
      </c>
      <c r="N213" s="165" t="s">
        <v>54</v>
      </c>
      <c r="O213" s="165">
        <v>100</v>
      </c>
      <c r="P213" s="165">
        <f>30.5*4*1000</f>
        <v>122000</v>
      </c>
      <c r="Q213" s="165"/>
      <c r="R213" s="167">
        <f>O213*0.00004/1000000*6.022E+23</f>
        <v>2408800000000000.5</v>
      </c>
      <c r="S213" s="167"/>
    </row>
    <row r="214" spans="1:21" x14ac:dyDescent="0.25">
      <c r="A214" s="165" t="s">
        <v>1046</v>
      </c>
      <c r="B214" s="165" t="s">
        <v>236</v>
      </c>
      <c r="C214" s="165" t="s">
        <v>809</v>
      </c>
      <c r="D214" s="165">
        <v>36.880000000000003</v>
      </c>
      <c r="E214" s="165"/>
      <c r="F214" s="165"/>
      <c r="G214" s="165"/>
      <c r="H214" s="165" t="s">
        <v>1046</v>
      </c>
      <c r="I214" s="165">
        <v>4</v>
      </c>
      <c r="J214" s="165" t="s">
        <v>210</v>
      </c>
      <c r="K214" s="165">
        <v>29.174999999999997</v>
      </c>
      <c r="N214" s="165"/>
      <c r="O214" s="165"/>
      <c r="P214" s="165"/>
      <c r="Q214" s="165"/>
      <c r="R214" s="167"/>
      <c r="S214" s="167"/>
    </row>
    <row r="215" spans="1:21" x14ac:dyDescent="0.25">
      <c r="A215" s="165" t="s">
        <v>1046</v>
      </c>
      <c r="B215" s="165" t="s">
        <v>237</v>
      </c>
      <c r="C215" s="165" t="s">
        <v>809</v>
      </c>
      <c r="D215" s="165">
        <v>37.39</v>
      </c>
      <c r="E215" s="165"/>
      <c r="F215" s="165"/>
      <c r="G215" s="165"/>
      <c r="H215" s="165" t="s">
        <v>1046</v>
      </c>
      <c r="I215" s="165">
        <v>5</v>
      </c>
      <c r="J215" s="165" t="s">
        <v>210</v>
      </c>
      <c r="K215" s="165">
        <v>28.685000000000002</v>
      </c>
      <c r="N215" s="165" t="s">
        <v>1097</v>
      </c>
      <c r="O215" s="165">
        <v>10</v>
      </c>
      <c r="P215" s="165">
        <f>30.5*1000</f>
        <v>30500</v>
      </c>
      <c r="Q215" s="165"/>
      <c r="R215" s="167">
        <f>O213*0.00001/1000000*6.022E+23</f>
        <v>602200000000000.13</v>
      </c>
      <c r="S215" s="167"/>
    </row>
    <row r="216" spans="1:21" x14ac:dyDescent="0.25">
      <c r="A216" s="165" t="s">
        <v>1046</v>
      </c>
      <c r="B216" s="165" t="s">
        <v>238</v>
      </c>
      <c r="C216" s="165" t="s">
        <v>809</v>
      </c>
      <c r="D216" s="165">
        <v>38.6</v>
      </c>
      <c r="E216" s="165"/>
      <c r="F216" s="165"/>
      <c r="G216" s="165"/>
      <c r="H216" s="165" t="s">
        <v>1046</v>
      </c>
      <c r="I216" s="165">
        <v>6</v>
      </c>
      <c r="J216" s="165" t="s">
        <v>210</v>
      </c>
      <c r="K216" s="165">
        <v>29.564999999999998</v>
      </c>
      <c r="N216" s="165"/>
      <c r="O216" s="165"/>
      <c r="P216" s="165"/>
      <c r="Q216" s="165"/>
      <c r="R216" s="167"/>
      <c r="S216" s="167"/>
    </row>
    <row r="217" spans="1:21" x14ac:dyDescent="0.25">
      <c r="A217" s="165" t="s">
        <v>1046</v>
      </c>
      <c r="B217" s="165" t="s">
        <v>239</v>
      </c>
      <c r="C217" s="165" t="s">
        <v>809</v>
      </c>
      <c r="D217" s="165">
        <v>34.31</v>
      </c>
      <c r="E217" s="165"/>
      <c r="F217" s="165"/>
      <c r="G217" s="165"/>
      <c r="H217" s="165" t="s">
        <v>1046</v>
      </c>
      <c r="I217" s="165">
        <v>7</v>
      </c>
      <c r="J217" s="165" t="s">
        <v>210</v>
      </c>
      <c r="K217" s="165">
        <v>30.5</v>
      </c>
      <c r="N217" s="165" t="s">
        <v>1098</v>
      </c>
      <c r="O217" s="165">
        <f>O215/100</f>
        <v>0.1</v>
      </c>
      <c r="P217" s="165">
        <f>P215/100</f>
        <v>305</v>
      </c>
      <c r="Q217" s="165">
        <f>P217/1000000000/29274.1*6.022E+23</f>
        <v>6274180931266.8877</v>
      </c>
      <c r="R217" s="167">
        <f>R215/100</f>
        <v>6022000000000.001</v>
      </c>
      <c r="S217" s="167">
        <f>R217/1000*2</f>
        <v>12044000000.000002</v>
      </c>
    </row>
    <row r="218" spans="1:21" x14ac:dyDescent="0.25">
      <c r="A218" s="165" t="s">
        <v>1046</v>
      </c>
      <c r="B218" s="165" t="s">
        <v>242</v>
      </c>
      <c r="C218" s="165" t="s">
        <v>809</v>
      </c>
      <c r="D218" s="165">
        <v>34.630000000000003</v>
      </c>
      <c r="E218" s="165"/>
      <c r="F218" s="165"/>
      <c r="G218" s="165"/>
      <c r="H218" s="165" t="s">
        <v>1046</v>
      </c>
      <c r="I218" s="165" t="s">
        <v>915</v>
      </c>
      <c r="J218" s="165" t="s">
        <v>210</v>
      </c>
      <c r="K218" s="165">
        <v>18.37</v>
      </c>
      <c r="N218" s="165" t="s">
        <v>1099</v>
      </c>
      <c r="O218" s="165">
        <f t="shared" ref="O218:O231" si="8">O217/10</f>
        <v>0.01</v>
      </c>
      <c r="P218" s="165">
        <f>P217/10</f>
        <v>30.5</v>
      </c>
      <c r="Q218" s="165">
        <f>Q217/10</f>
        <v>627418093126.68872</v>
      </c>
      <c r="R218" s="167">
        <f t="shared" ref="R218:R231" si="9">R217/10</f>
        <v>602200000000.00012</v>
      </c>
      <c r="S218" s="167">
        <f t="shared" ref="S218:S231" si="10">R218/1000*2</f>
        <v>1204400000.0000002</v>
      </c>
    </row>
    <row r="219" spans="1:21" x14ac:dyDescent="0.25">
      <c r="A219" s="165" t="s">
        <v>1046</v>
      </c>
      <c r="B219" s="165" t="s">
        <v>204</v>
      </c>
      <c r="C219" s="165" t="s">
        <v>210</v>
      </c>
      <c r="D219" s="165">
        <v>11.21</v>
      </c>
      <c r="E219" s="165">
        <f t="shared" si="7"/>
        <v>11.280000000000001</v>
      </c>
      <c r="F219" s="165"/>
      <c r="G219" s="165"/>
      <c r="H219" s="165" t="s">
        <v>1043</v>
      </c>
      <c r="I219" s="165">
        <v>1</v>
      </c>
      <c r="J219" s="165" t="s">
        <v>809</v>
      </c>
      <c r="K219" s="165">
        <v>35.49</v>
      </c>
      <c r="N219" s="165" t="s">
        <v>1100</v>
      </c>
      <c r="O219" s="165">
        <f t="shared" si="8"/>
        <v>1E-3</v>
      </c>
      <c r="P219" s="165">
        <f t="shared" ref="P219:P231" si="11">P217/100</f>
        <v>3.05</v>
      </c>
      <c r="Q219" s="165">
        <f t="shared" ref="Q219:Q231" si="12">Q218/10</f>
        <v>62741809312.668869</v>
      </c>
      <c r="R219" s="167">
        <f t="shared" si="9"/>
        <v>60220000000.000015</v>
      </c>
      <c r="S219" s="167">
        <f t="shared" si="10"/>
        <v>120440000.00000003</v>
      </c>
    </row>
    <row r="220" spans="1:21" x14ac:dyDescent="0.25">
      <c r="A220" s="165" t="s">
        <v>1046</v>
      </c>
      <c r="B220" s="165" t="s">
        <v>211</v>
      </c>
      <c r="C220" s="165" t="s">
        <v>210</v>
      </c>
      <c r="D220" s="165">
        <v>22.99</v>
      </c>
      <c r="E220" s="165">
        <f t="shared" si="7"/>
        <v>22.934999999999999</v>
      </c>
      <c r="F220" s="165"/>
      <c r="G220" s="165"/>
      <c r="H220" s="165" t="s">
        <v>1043</v>
      </c>
      <c r="I220" s="165">
        <v>2</v>
      </c>
      <c r="J220" s="165" t="s">
        <v>809</v>
      </c>
      <c r="K220" s="165">
        <v>36.19</v>
      </c>
      <c r="N220" s="165" t="s">
        <v>1101</v>
      </c>
      <c r="O220" s="165">
        <f t="shared" si="8"/>
        <v>1E-4</v>
      </c>
      <c r="P220" s="165">
        <f t="shared" si="11"/>
        <v>0.30499999999999999</v>
      </c>
      <c r="Q220" s="165">
        <f t="shared" si="12"/>
        <v>6274180931.2668867</v>
      </c>
      <c r="R220" s="167">
        <f t="shared" si="9"/>
        <v>6022000000.0000019</v>
      </c>
      <c r="S220" s="167">
        <f t="shared" si="10"/>
        <v>12044000.000000004</v>
      </c>
    </row>
    <row r="221" spans="1:21" x14ac:dyDescent="0.25">
      <c r="A221" s="165" t="s">
        <v>1046</v>
      </c>
      <c r="B221" s="165" t="s">
        <v>212</v>
      </c>
      <c r="C221" s="165" t="s">
        <v>210</v>
      </c>
      <c r="D221" s="165">
        <v>21.59</v>
      </c>
      <c r="E221" s="165">
        <f t="shared" si="7"/>
        <v>22.074999999999999</v>
      </c>
      <c r="F221" s="165"/>
      <c r="G221" s="165"/>
      <c r="H221" s="165" t="s">
        <v>1043</v>
      </c>
      <c r="I221" s="165">
        <v>3</v>
      </c>
      <c r="J221" s="165" t="s">
        <v>809</v>
      </c>
      <c r="K221" s="165">
        <v>36</v>
      </c>
      <c r="N221" s="165" t="s">
        <v>1102</v>
      </c>
      <c r="O221" s="165">
        <f t="shared" si="8"/>
        <v>1.0000000000000001E-5</v>
      </c>
      <c r="P221" s="165">
        <f t="shared" si="11"/>
        <v>3.0499999999999999E-2</v>
      </c>
      <c r="Q221" s="165">
        <f t="shared" si="12"/>
        <v>627418093.12668872</v>
      </c>
      <c r="R221" s="167">
        <f t="shared" si="9"/>
        <v>602200000.00000024</v>
      </c>
      <c r="S221" s="167">
        <f t="shared" si="10"/>
        <v>1204400.0000000005</v>
      </c>
    </row>
    <row r="222" spans="1:21" x14ac:dyDescent="0.25">
      <c r="A222" s="165" t="s">
        <v>1046</v>
      </c>
      <c r="B222" s="165" t="s">
        <v>213</v>
      </c>
      <c r="C222" s="165" t="s">
        <v>210</v>
      </c>
      <c r="D222" s="165">
        <v>28.9</v>
      </c>
      <c r="E222" s="165">
        <f t="shared" si="7"/>
        <v>29.174999999999997</v>
      </c>
      <c r="F222" s="165"/>
      <c r="G222" s="165"/>
      <c r="H222" s="165" t="s">
        <v>1043</v>
      </c>
      <c r="I222" s="165">
        <v>4</v>
      </c>
      <c r="J222" s="165" t="s">
        <v>809</v>
      </c>
      <c r="K222" s="165">
        <v>33.295000000000002</v>
      </c>
      <c r="N222" s="165" t="s">
        <v>1103</v>
      </c>
      <c r="O222" s="165">
        <f t="shared" si="8"/>
        <v>1.0000000000000002E-6</v>
      </c>
      <c r="P222" s="165">
        <f t="shared" si="11"/>
        <v>3.0499999999999998E-3</v>
      </c>
      <c r="Q222" s="165">
        <f t="shared" si="12"/>
        <v>62741809.312668875</v>
      </c>
      <c r="R222" s="167">
        <f t="shared" si="9"/>
        <v>60220000.000000022</v>
      </c>
      <c r="S222" s="167">
        <f t="shared" si="10"/>
        <v>120440.00000000004</v>
      </c>
    </row>
    <row r="223" spans="1:21" x14ac:dyDescent="0.25">
      <c r="A223" s="165" t="s">
        <v>1046</v>
      </c>
      <c r="B223" s="165" t="s">
        <v>214</v>
      </c>
      <c r="C223" s="165" t="s">
        <v>210</v>
      </c>
      <c r="D223" s="165">
        <v>28.62</v>
      </c>
      <c r="E223" s="165">
        <f t="shared" si="7"/>
        <v>28.685000000000002</v>
      </c>
      <c r="F223" s="165"/>
      <c r="G223" s="165"/>
      <c r="H223" s="165" t="s">
        <v>1043</v>
      </c>
      <c r="I223" s="165">
        <v>5</v>
      </c>
      <c r="J223" s="165" t="s">
        <v>809</v>
      </c>
      <c r="K223" s="165">
        <v>33.65</v>
      </c>
      <c r="N223" s="165" t="s">
        <v>1104</v>
      </c>
      <c r="O223" s="165">
        <f t="shared" si="8"/>
        <v>1.0000000000000002E-7</v>
      </c>
      <c r="P223" s="165">
        <f t="shared" si="11"/>
        <v>3.0499999999999999E-4</v>
      </c>
      <c r="Q223" s="165">
        <f t="shared" si="12"/>
        <v>6274180.9312668871</v>
      </c>
      <c r="R223" s="167">
        <f t="shared" si="9"/>
        <v>6022000.0000000019</v>
      </c>
      <c r="S223" s="167">
        <f t="shared" si="10"/>
        <v>12044.000000000004</v>
      </c>
    </row>
    <row r="224" spans="1:21" x14ac:dyDescent="0.25">
      <c r="A224" s="165" t="s">
        <v>1046</v>
      </c>
      <c r="B224" s="165" t="s">
        <v>215</v>
      </c>
      <c r="C224" s="165" t="s">
        <v>210</v>
      </c>
      <c r="D224" s="165">
        <v>29.74</v>
      </c>
      <c r="E224" s="165">
        <f t="shared" si="7"/>
        <v>29.564999999999998</v>
      </c>
      <c r="F224" s="165"/>
      <c r="G224" s="165"/>
      <c r="H224" s="165" t="s">
        <v>1043</v>
      </c>
      <c r="I224" s="165">
        <v>6</v>
      </c>
      <c r="J224" s="165" t="s">
        <v>809</v>
      </c>
      <c r="K224" s="165">
        <v>33.51</v>
      </c>
      <c r="N224" s="165" t="s">
        <v>1105</v>
      </c>
      <c r="O224" s="165">
        <f t="shared" si="8"/>
        <v>1.0000000000000002E-8</v>
      </c>
      <c r="P224" s="165">
        <f t="shared" si="11"/>
        <v>3.0499999999999996E-5</v>
      </c>
      <c r="Q224" s="165">
        <f t="shared" si="12"/>
        <v>627418.09312668873</v>
      </c>
      <c r="R224" s="167">
        <f t="shared" si="9"/>
        <v>602200.00000000023</v>
      </c>
      <c r="S224" s="167">
        <f t="shared" si="10"/>
        <v>1204.4000000000005</v>
      </c>
    </row>
    <row r="225" spans="1:19" x14ac:dyDescent="0.25">
      <c r="A225" s="165" t="s">
        <v>1046</v>
      </c>
      <c r="B225" s="165" t="s">
        <v>216</v>
      </c>
      <c r="C225" s="165" t="s">
        <v>210</v>
      </c>
      <c r="D225" s="165">
        <v>29.49</v>
      </c>
      <c r="E225" s="165">
        <f t="shared" si="7"/>
        <v>30.5</v>
      </c>
      <c r="F225" s="165"/>
      <c r="G225" s="165"/>
      <c r="H225" s="165" t="s">
        <v>1043</v>
      </c>
      <c r="I225" s="165">
        <v>7</v>
      </c>
      <c r="J225" s="165" t="s">
        <v>809</v>
      </c>
      <c r="K225" s="165">
        <v>34.57</v>
      </c>
      <c r="N225" s="165" t="s">
        <v>1106</v>
      </c>
      <c r="O225" s="165">
        <f t="shared" si="8"/>
        <v>1.0000000000000003E-9</v>
      </c>
      <c r="P225" s="165">
        <f t="shared" si="11"/>
        <v>3.05E-6</v>
      </c>
      <c r="Q225" s="165">
        <f t="shared" si="12"/>
        <v>62741.809312668876</v>
      </c>
      <c r="R225" s="167">
        <f t="shared" si="9"/>
        <v>60220.000000000022</v>
      </c>
      <c r="S225" s="167">
        <f t="shared" si="10"/>
        <v>120.44000000000004</v>
      </c>
    </row>
    <row r="226" spans="1:19" x14ac:dyDescent="0.25">
      <c r="A226" s="165" t="s">
        <v>1046</v>
      </c>
      <c r="B226" s="165" t="s">
        <v>217</v>
      </c>
      <c r="C226" s="165" t="s">
        <v>210</v>
      </c>
      <c r="D226" s="165">
        <v>18.37</v>
      </c>
      <c r="E226" s="165">
        <f t="shared" si="7"/>
        <v>18.37</v>
      </c>
      <c r="F226" s="165"/>
      <c r="G226" s="165"/>
      <c r="H226" s="165" t="s">
        <v>1043</v>
      </c>
      <c r="I226" s="165" t="s">
        <v>915</v>
      </c>
      <c r="J226" s="165" t="s">
        <v>809</v>
      </c>
      <c r="K226" s="165">
        <v>33.984999999999999</v>
      </c>
      <c r="N226" s="165" t="s">
        <v>1107</v>
      </c>
      <c r="O226" s="165">
        <f t="shared" si="8"/>
        <v>1.0000000000000003E-10</v>
      </c>
      <c r="P226" s="165">
        <f t="shared" si="11"/>
        <v>3.0499999999999994E-7</v>
      </c>
      <c r="Q226" s="165">
        <f t="shared" si="12"/>
        <v>6274.1809312668875</v>
      </c>
      <c r="R226" s="167">
        <f t="shared" si="9"/>
        <v>6022.0000000000018</v>
      </c>
      <c r="S226" s="167">
        <f t="shared" si="10"/>
        <v>12.044000000000004</v>
      </c>
    </row>
    <row r="227" spans="1:19" x14ac:dyDescent="0.25">
      <c r="A227" s="165" t="s">
        <v>1046</v>
      </c>
      <c r="B227" s="165" t="s">
        <v>223</v>
      </c>
      <c r="C227" s="165" t="s">
        <v>210</v>
      </c>
      <c r="D227" s="165">
        <v>11.35</v>
      </c>
      <c r="E227" s="165"/>
      <c r="F227" s="165"/>
      <c r="G227" s="165"/>
      <c r="H227" s="165" t="s">
        <v>1043</v>
      </c>
      <c r="I227" s="165">
        <v>1</v>
      </c>
      <c r="J227" s="165" t="s">
        <v>210</v>
      </c>
      <c r="K227" s="165">
        <v>11.815</v>
      </c>
      <c r="N227" s="165" t="s">
        <v>1108</v>
      </c>
      <c r="O227" s="165">
        <f t="shared" si="8"/>
        <v>1.0000000000000003E-11</v>
      </c>
      <c r="P227" s="165">
        <f t="shared" si="11"/>
        <v>3.0500000000000002E-8</v>
      </c>
      <c r="Q227" s="165">
        <f t="shared" si="12"/>
        <v>627.41809312668875</v>
      </c>
      <c r="R227" s="167">
        <f t="shared" si="9"/>
        <v>602.20000000000016</v>
      </c>
      <c r="S227" s="167">
        <f t="shared" si="10"/>
        <v>1.2044000000000004</v>
      </c>
    </row>
    <row r="228" spans="1:19" x14ac:dyDescent="0.25">
      <c r="A228" s="165" t="s">
        <v>1046</v>
      </c>
      <c r="B228" s="165" t="s">
        <v>234</v>
      </c>
      <c r="C228" s="165" t="s">
        <v>210</v>
      </c>
      <c r="D228" s="165">
        <v>22.88</v>
      </c>
      <c r="E228" s="165"/>
      <c r="F228" s="165"/>
      <c r="G228" s="165"/>
      <c r="H228" s="165" t="s">
        <v>1043</v>
      </c>
      <c r="I228" s="165">
        <v>2</v>
      </c>
      <c r="J228" s="165" t="s">
        <v>210</v>
      </c>
      <c r="K228" s="165">
        <v>23.880000000000003</v>
      </c>
      <c r="N228" s="165" t="s">
        <v>1109</v>
      </c>
      <c r="O228" s="165">
        <f t="shared" si="8"/>
        <v>1.0000000000000002E-12</v>
      </c>
      <c r="P228" s="165">
        <f t="shared" si="11"/>
        <v>3.0499999999999992E-9</v>
      </c>
      <c r="Q228" s="165">
        <f t="shared" si="12"/>
        <v>62.741809312668877</v>
      </c>
      <c r="R228" s="167">
        <f t="shared" si="9"/>
        <v>60.220000000000013</v>
      </c>
      <c r="S228" s="167">
        <f t="shared" si="10"/>
        <v>0.12044000000000002</v>
      </c>
    </row>
    <row r="229" spans="1:19" x14ac:dyDescent="0.25">
      <c r="A229" s="165" t="s">
        <v>1046</v>
      </c>
      <c r="B229" s="165" t="s">
        <v>235</v>
      </c>
      <c r="C229" s="165" t="s">
        <v>210</v>
      </c>
      <c r="D229" s="165">
        <v>22.56</v>
      </c>
      <c r="E229" s="165"/>
      <c r="F229" s="165"/>
      <c r="G229" s="165"/>
      <c r="H229" s="165" t="s">
        <v>1043</v>
      </c>
      <c r="I229" s="165">
        <v>3</v>
      </c>
      <c r="J229" s="165" t="s">
        <v>210</v>
      </c>
      <c r="K229" s="165">
        <v>22.45</v>
      </c>
      <c r="N229" s="165" t="s">
        <v>1110</v>
      </c>
      <c r="O229" s="165">
        <f t="shared" si="8"/>
        <v>1.0000000000000002E-13</v>
      </c>
      <c r="P229" s="165">
        <f t="shared" si="11"/>
        <v>3.0500000000000003E-10</v>
      </c>
      <c r="Q229" s="165">
        <f t="shared" si="12"/>
        <v>6.2741809312668879</v>
      </c>
      <c r="R229" s="167">
        <f t="shared" si="9"/>
        <v>6.0220000000000011</v>
      </c>
      <c r="S229" s="167">
        <f t="shared" si="10"/>
        <v>1.2044000000000003E-2</v>
      </c>
    </row>
    <row r="230" spans="1:19" x14ac:dyDescent="0.25">
      <c r="A230" s="165" t="s">
        <v>1046</v>
      </c>
      <c r="B230" s="165" t="s">
        <v>236</v>
      </c>
      <c r="C230" s="165" t="s">
        <v>210</v>
      </c>
      <c r="D230" s="165">
        <v>29.45</v>
      </c>
      <c r="E230" s="165"/>
      <c r="F230" s="165"/>
      <c r="G230" s="165"/>
      <c r="H230" s="165" t="s">
        <v>1043</v>
      </c>
      <c r="I230" s="165">
        <v>4</v>
      </c>
      <c r="J230" s="165" t="s">
        <v>210</v>
      </c>
      <c r="K230" s="165">
        <v>28.515000000000001</v>
      </c>
      <c r="N230" s="165" t="s">
        <v>1111</v>
      </c>
      <c r="O230" s="165">
        <f t="shared" si="8"/>
        <v>1.0000000000000002E-14</v>
      </c>
      <c r="P230" s="165">
        <f t="shared" si="11"/>
        <v>3.0499999999999992E-11</v>
      </c>
      <c r="Q230" s="165">
        <f t="shared" si="12"/>
        <v>0.62741809312668884</v>
      </c>
      <c r="R230" s="167">
        <f t="shared" si="9"/>
        <v>0.60220000000000007</v>
      </c>
      <c r="S230" s="167">
        <f t="shared" si="10"/>
        <v>1.2044000000000002E-3</v>
      </c>
    </row>
    <row r="231" spans="1:19" x14ac:dyDescent="0.25">
      <c r="A231" s="165" t="s">
        <v>1046</v>
      </c>
      <c r="B231" s="165" t="s">
        <v>237</v>
      </c>
      <c r="C231" s="165" t="s">
        <v>210</v>
      </c>
      <c r="D231" s="165">
        <v>28.75</v>
      </c>
      <c r="E231" s="165"/>
      <c r="F231" s="165"/>
      <c r="G231" s="165"/>
      <c r="H231" s="165" t="s">
        <v>1043</v>
      </c>
      <c r="I231" s="165">
        <v>5</v>
      </c>
      <c r="J231" s="165" t="s">
        <v>210</v>
      </c>
      <c r="K231" s="165">
        <v>29.060000000000002</v>
      </c>
      <c r="N231" s="165" t="s">
        <v>1112</v>
      </c>
      <c r="O231" s="165">
        <f t="shared" si="8"/>
        <v>1.0000000000000001E-15</v>
      </c>
      <c r="P231" s="165">
        <f t="shared" si="11"/>
        <v>3.0500000000000001E-12</v>
      </c>
      <c r="Q231" s="165">
        <f t="shared" si="12"/>
        <v>6.2741809312668886E-2</v>
      </c>
      <c r="R231" s="167">
        <f t="shared" si="9"/>
        <v>6.022000000000001E-2</v>
      </c>
      <c r="S231" s="167">
        <f t="shared" si="10"/>
        <v>1.2044000000000002E-4</v>
      </c>
    </row>
    <row r="232" spans="1:19" x14ac:dyDescent="0.25">
      <c r="A232" s="165" t="s">
        <v>1046</v>
      </c>
      <c r="B232" s="165" t="s">
        <v>238</v>
      </c>
      <c r="C232" s="165" t="s">
        <v>210</v>
      </c>
      <c r="D232" s="165">
        <v>29.39</v>
      </c>
      <c r="E232" s="165"/>
      <c r="F232" s="165"/>
      <c r="G232" s="165"/>
      <c r="H232" s="165" t="s">
        <v>1043</v>
      </c>
      <c r="I232" s="165">
        <v>6</v>
      </c>
      <c r="J232" s="165" t="s">
        <v>210</v>
      </c>
      <c r="K232" s="165">
        <v>30.375</v>
      </c>
    </row>
    <row r="233" spans="1:19" x14ac:dyDescent="0.25">
      <c r="A233" s="165" t="s">
        <v>1046</v>
      </c>
      <c r="B233" s="165" t="s">
        <v>239</v>
      </c>
      <c r="C233" s="165" t="s">
        <v>210</v>
      </c>
      <c r="D233" s="165">
        <v>31.51</v>
      </c>
      <c r="E233" s="165"/>
      <c r="F233" s="165"/>
      <c r="G233" s="165"/>
      <c r="H233" s="165" t="s">
        <v>1043</v>
      </c>
      <c r="I233" s="165">
        <v>7</v>
      </c>
      <c r="J233" s="165" t="s">
        <v>210</v>
      </c>
      <c r="K233" s="165">
        <v>31.970000000000002</v>
      </c>
    </row>
    <row r="234" spans="1:19" x14ac:dyDescent="0.25">
      <c r="A234" s="165" t="s">
        <v>1046</v>
      </c>
      <c r="B234" s="165" t="s">
        <v>242</v>
      </c>
      <c r="C234" s="165" t="s">
        <v>210</v>
      </c>
      <c r="D234" s="165" t="s">
        <v>220</v>
      </c>
      <c r="E234" s="165"/>
      <c r="F234" s="165"/>
      <c r="G234" s="165"/>
      <c r="H234" s="165" t="s">
        <v>1043</v>
      </c>
      <c r="I234" s="165" t="s">
        <v>915</v>
      </c>
      <c r="J234" s="165" t="s">
        <v>210</v>
      </c>
      <c r="K234" s="165">
        <v>0</v>
      </c>
    </row>
    <row r="235" spans="1:19" x14ac:dyDescent="0.25">
      <c r="A235" s="165" t="s">
        <v>1043</v>
      </c>
      <c r="B235" s="165" t="s">
        <v>204</v>
      </c>
      <c r="C235" s="165" t="s">
        <v>809</v>
      </c>
      <c r="D235" s="165">
        <v>36.67</v>
      </c>
      <c r="E235" s="165">
        <f t="shared" si="7"/>
        <v>35.49</v>
      </c>
      <c r="F235" s="165"/>
      <c r="G235" s="165"/>
      <c r="H235" s="165" t="s">
        <v>982</v>
      </c>
      <c r="I235" s="165">
        <v>1</v>
      </c>
      <c r="J235" s="165" t="s">
        <v>809</v>
      </c>
      <c r="K235" s="165">
        <v>40.81</v>
      </c>
    </row>
    <row r="236" spans="1:19" x14ac:dyDescent="0.25">
      <c r="A236" s="165" t="s">
        <v>1043</v>
      </c>
      <c r="B236" s="165" t="s">
        <v>211</v>
      </c>
      <c r="C236" s="165" t="s">
        <v>809</v>
      </c>
      <c r="D236" s="165">
        <v>36.840000000000003</v>
      </c>
      <c r="E236" s="165">
        <f t="shared" si="7"/>
        <v>36.19</v>
      </c>
      <c r="F236" s="165"/>
      <c r="G236" s="165"/>
      <c r="H236" s="165" t="s">
        <v>982</v>
      </c>
      <c r="I236" s="165">
        <v>2</v>
      </c>
      <c r="J236" s="165" t="s">
        <v>809</v>
      </c>
      <c r="K236" s="165">
        <v>38.094999999999999</v>
      </c>
    </row>
    <row r="237" spans="1:19" x14ac:dyDescent="0.25">
      <c r="A237" s="165" t="s">
        <v>1043</v>
      </c>
      <c r="B237" s="165" t="s">
        <v>212</v>
      </c>
      <c r="C237" s="165" t="s">
        <v>809</v>
      </c>
      <c r="D237" s="165"/>
      <c r="E237" s="165">
        <f t="shared" si="7"/>
        <v>36</v>
      </c>
      <c r="F237" s="165"/>
      <c r="G237" s="165"/>
      <c r="H237" s="165" t="s">
        <v>982</v>
      </c>
      <c r="I237" s="165">
        <v>3</v>
      </c>
      <c r="J237" s="165" t="s">
        <v>809</v>
      </c>
      <c r="K237" s="165">
        <v>41.459999999999994</v>
      </c>
    </row>
    <row r="238" spans="1:19" x14ac:dyDescent="0.25">
      <c r="A238" s="165" t="s">
        <v>1043</v>
      </c>
      <c r="B238" s="165" t="s">
        <v>213</v>
      </c>
      <c r="C238" s="165" t="s">
        <v>809</v>
      </c>
      <c r="D238" s="165">
        <v>32.64</v>
      </c>
      <c r="E238" s="165">
        <f t="shared" si="7"/>
        <v>33.295000000000002</v>
      </c>
      <c r="F238" s="165"/>
      <c r="G238" s="165"/>
      <c r="H238" s="165" t="s">
        <v>982</v>
      </c>
      <c r="I238" s="165">
        <v>4</v>
      </c>
      <c r="J238" s="165" t="s">
        <v>809</v>
      </c>
      <c r="K238" s="165">
        <v>38.74</v>
      </c>
    </row>
    <row r="239" spans="1:19" x14ac:dyDescent="0.25">
      <c r="A239" s="165" t="s">
        <v>1043</v>
      </c>
      <c r="B239" s="165" t="s">
        <v>214</v>
      </c>
      <c r="C239" s="165" t="s">
        <v>809</v>
      </c>
      <c r="D239" s="165">
        <v>34.19</v>
      </c>
      <c r="E239" s="165">
        <f t="shared" si="7"/>
        <v>33.65</v>
      </c>
      <c r="F239" s="165"/>
      <c r="G239" s="165"/>
      <c r="H239" s="165" t="s">
        <v>982</v>
      </c>
      <c r="I239" s="165">
        <v>5</v>
      </c>
      <c r="J239" s="165" t="s">
        <v>809</v>
      </c>
      <c r="K239" s="165">
        <v>35.92</v>
      </c>
    </row>
    <row r="240" spans="1:19" x14ac:dyDescent="0.25">
      <c r="A240" s="165" t="s">
        <v>1043</v>
      </c>
      <c r="B240" s="165" t="s">
        <v>215</v>
      </c>
      <c r="C240" s="165" t="s">
        <v>809</v>
      </c>
      <c r="D240" s="165">
        <v>33.51</v>
      </c>
      <c r="E240" s="165">
        <f t="shared" si="7"/>
        <v>33.51</v>
      </c>
      <c r="F240" s="165"/>
      <c r="G240" s="165"/>
      <c r="H240" s="165" t="s">
        <v>982</v>
      </c>
      <c r="I240" s="165">
        <v>6</v>
      </c>
      <c r="J240" s="165" t="s">
        <v>809</v>
      </c>
      <c r="K240" s="165">
        <v>36.685000000000002</v>
      </c>
    </row>
    <row r="241" spans="1:12" x14ac:dyDescent="0.25">
      <c r="A241" s="165" t="s">
        <v>1043</v>
      </c>
      <c r="B241" s="165" t="s">
        <v>216</v>
      </c>
      <c r="C241" s="165" t="s">
        <v>809</v>
      </c>
      <c r="D241" s="165">
        <v>34.57</v>
      </c>
      <c r="E241" s="165">
        <f t="shared" si="7"/>
        <v>34.57</v>
      </c>
      <c r="F241" s="165"/>
      <c r="G241" s="165"/>
      <c r="H241" s="165" t="s">
        <v>982</v>
      </c>
      <c r="I241" s="165">
        <v>7</v>
      </c>
      <c r="J241" s="165" t="s">
        <v>809</v>
      </c>
      <c r="K241" s="165">
        <v>36.879999999999995</v>
      </c>
    </row>
    <row r="242" spans="1:12" x14ac:dyDescent="0.25">
      <c r="A242" s="165" t="s">
        <v>1043</v>
      </c>
      <c r="B242" s="165" t="s">
        <v>217</v>
      </c>
      <c r="C242" s="165" t="s">
        <v>809</v>
      </c>
      <c r="D242" s="165">
        <v>35.520000000000003</v>
      </c>
      <c r="E242" s="165">
        <f t="shared" si="7"/>
        <v>33.984999999999999</v>
      </c>
      <c r="F242" s="165"/>
      <c r="G242" s="165"/>
      <c r="H242" s="165" t="s">
        <v>982</v>
      </c>
      <c r="I242" s="165" t="s">
        <v>915</v>
      </c>
      <c r="J242" s="165" t="s">
        <v>809</v>
      </c>
      <c r="K242" s="165">
        <v>0</v>
      </c>
    </row>
    <row r="243" spans="1:12" x14ac:dyDescent="0.25">
      <c r="A243" s="165" t="s">
        <v>1043</v>
      </c>
      <c r="B243" s="165" t="s">
        <v>223</v>
      </c>
      <c r="C243" s="165" t="s">
        <v>809</v>
      </c>
      <c r="D243" s="165">
        <v>34.31</v>
      </c>
      <c r="E243" s="165"/>
      <c r="F243" s="165"/>
      <c r="G243" s="165"/>
      <c r="H243" s="165" t="s">
        <v>982</v>
      </c>
      <c r="I243" s="165">
        <v>1</v>
      </c>
      <c r="J243" s="165" t="s">
        <v>210</v>
      </c>
      <c r="K243" s="165">
        <v>12.484999999999999</v>
      </c>
    </row>
    <row r="244" spans="1:12" x14ac:dyDescent="0.25">
      <c r="A244" s="165" t="s">
        <v>1043</v>
      </c>
      <c r="B244" s="165" t="s">
        <v>234</v>
      </c>
      <c r="C244" s="165" t="s">
        <v>809</v>
      </c>
      <c r="D244" s="165">
        <v>35.54</v>
      </c>
      <c r="E244" s="165"/>
      <c r="F244" s="165"/>
      <c r="G244" s="165"/>
      <c r="H244" s="165" t="s">
        <v>982</v>
      </c>
      <c r="I244" s="165">
        <v>2</v>
      </c>
      <c r="J244" s="165" t="s">
        <v>210</v>
      </c>
      <c r="K244" s="165">
        <v>22.574999999999999</v>
      </c>
    </row>
    <row r="245" spans="1:12" x14ac:dyDescent="0.25">
      <c r="A245" s="165" t="s">
        <v>1043</v>
      </c>
      <c r="B245" s="165" t="s">
        <v>235</v>
      </c>
      <c r="C245" s="165" t="s">
        <v>809</v>
      </c>
      <c r="D245" s="165">
        <v>36</v>
      </c>
      <c r="E245" s="165"/>
      <c r="F245" s="165"/>
      <c r="G245" s="165"/>
      <c r="H245" s="165" t="s">
        <v>982</v>
      </c>
      <c r="I245" s="165">
        <v>3</v>
      </c>
      <c r="J245" s="165" t="s">
        <v>210</v>
      </c>
      <c r="K245" s="165">
        <v>21.54</v>
      </c>
    </row>
    <row r="246" spans="1:12" x14ac:dyDescent="0.25">
      <c r="A246" s="165" t="s">
        <v>1043</v>
      </c>
      <c r="B246" s="165" t="s">
        <v>236</v>
      </c>
      <c r="C246" s="165" t="s">
        <v>809</v>
      </c>
      <c r="D246" s="165">
        <v>33.950000000000003</v>
      </c>
      <c r="E246" s="165"/>
      <c r="F246" s="165"/>
      <c r="G246" s="165"/>
      <c r="H246" s="165" t="s">
        <v>982</v>
      </c>
      <c r="I246" s="165">
        <v>4</v>
      </c>
      <c r="J246" s="165" t="s">
        <v>210</v>
      </c>
      <c r="K246" s="165">
        <v>28.82</v>
      </c>
    </row>
    <row r="247" spans="1:12" x14ac:dyDescent="0.25">
      <c r="A247" s="165" t="s">
        <v>1043</v>
      </c>
      <c r="B247" s="165" t="s">
        <v>237</v>
      </c>
      <c r="C247" s="165" t="s">
        <v>809</v>
      </c>
      <c r="D247" s="165">
        <v>33.11</v>
      </c>
      <c r="E247" s="165"/>
      <c r="F247" s="165"/>
      <c r="G247" s="165"/>
      <c r="H247" s="165" t="s">
        <v>982</v>
      </c>
      <c r="I247" s="165">
        <v>5</v>
      </c>
      <c r="J247" s="165" t="s">
        <v>210</v>
      </c>
      <c r="K247" s="165">
        <v>28.225000000000001</v>
      </c>
    </row>
    <row r="248" spans="1:12" x14ac:dyDescent="0.25">
      <c r="A248" s="165" t="s">
        <v>1043</v>
      </c>
      <c r="B248" s="165" t="s">
        <v>238</v>
      </c>
      <c r="C248" s="165" t="s">
        <v>809</v>
      </c>
      <c r="D248" s="165"/>
      <c r="E248" s="165"/>
      <c r="F248" s="165"/>
      <c r="G248" s="165"/>
      <c r="H248" s="165" t="s">
        <v>982</v>
      </c>
      <c r="I248" s="165">
        <v>6</v>
      </c>
      <c r="J248" s="165" t="s">
        <v>210</v>
      </c>
      <c r="K248" s="165">
        <v>29.17</v>
      </c>
    </row>
    <row r="249" spans="1:12" x14ac:dyDescent="0.25">
      <c r="A249" s="165" t="s">
        <v>1043</v>
      </c>
      <c r="B249" s="165" t="s">
        <v>239</v>
      </c>
      <c r="C249" s="165" t="s">
        <v>809</v>
      </c>
      <c r="D249" s="165"/>
      <c r="E249" s="165"/>
      <c r="F249" s="165"/>
      <c r="G249" s="165"/>
      <c r="H249" s="165" t="s">
        <v>982</v>
      </c>
      <c r="I249" s="165">
        <v>7</v>
      </c>
      <c r="J249" s="165" t="s">
        <v>210</v>
      </c>
      <c r="K249" s="165">
        <v>32.340000000000003</v>
      </c>
    </row>
    <row r="250" spans="1:12" x14ac:dyDescent="0.25">
      <c r="A250" s="165" t="s">
        <v>1043</v>
      </c>
      <c r="B250" s="165" t="s">
        <v>242</v>
      </c>
      <c r="C250" s="165" t="s">
        <v>809</v>
      </c>
      <c r="D250" s="165">
        <v>32.450000000000003</v>
      </c>
      <c r="E250" s="165"/>
      <c r="F250" s="165"/>
      <c r="G250" s="165"/>
      <c r="H250" s="165" t="s">
        <v>982</v>
      </c>
      <c r="I250" s="165" t="s">
        <v>915</v>
      </c>
      <c r="J250" s="165" t="s">
        <v>210</v>
      </c>
      <c r="K250" s="165">
        <v>37.96</v>
      </c>
    </row>
    <row r="251" spans="1:12" x14ac:dyDescent="0.25">
      <c r="A251" s="165" t="s">
        <v>1043</v>
      </c>
      <c r="B251" s="165" t="s">
        <v>204</v>
      </c>
      <c r="C251" s="165" t="s">
        <v>210</v>
      </c>
      <c r="D251" s="165">
        <v>11.87</v>
      </c>
      <c r="E251" s="165">
        <f t="shared" si="7"/>
        <v>11.815</v>
      </c>
      <c r="F251" s="165"/>
      <c r="G251" s="165"/>
      <c r="H251" s="165"/>
      <c r="I251" s="165"/>
      <c r="J251" s="165"/>
      <c r="K251" s="165"/>
      <c r="L251" s="165"/>
    </row>
    <row r="252" spans="1:12" x14ac:dyDescent="0.25">
      <c r="A252" s="165" t="s">
        <v>1043</v>
      </c>
      <c r="B252" s="165" t="s">
        <v>211</v>
      </c>
      <c r="C252" s="165" t="s">
        <v>210</v>
      </c>
      <c r="D252" s="165">
        <v>23.84</v>
      </c>
      <c r="E252" s="165">
        <f t="shared" si="7"/>
        <v>23.880000000000003</v>
      </c>
      <c r="F252" s="165"/>
      <c r="G252" s="165"/>
      <c r="H252" s="165"/>
    </row>
    <row r="253" spans="1:12" x14ac:dyDescent="0.25">
      <c r="A253" s="165" t="s">
        <v>1043</v>
      </c>
      <c r="B253" s="165" t="s">
        <v>212</v>
      </c>
      <c r="C253" s="165" t="s">
        <v>210</v>
      </c>
      <c r="D253" s="165">
        <v>22.41</v>
      </c>
      <c r="E253" s="165">
        <f t="shared" si="7"/>
        <v>22.45</v>
      </c>
      <c r="F253" s="165"/>
      <c r="G253" s="165"/>
      <c r="H253" s="165"/>
    </row>
    <row r="254" spans="1:12" x14ac:dyDescent="0.25">
      <c r="A254" s="165" t="s">
        <v>1043</v>
      </c>
      <c r="B254" s="165" t="s">
        <v>213</v>
      </c>
      <c r="C254" s="165" t="s">
        <v>210</v>
      </c>
      <c r="D254" s="165">
        <v>27.94</v>
      </c>
      <c r="E254" s="165">
        <f t="shared" si="7"/>
        <v>28.515000000000001</v>
      </c>
      <c r="F254" s="165"/>
      <c r="G254" s="165"/>
      <c r="H254" s="165"/>
    </row>
    <row r="255" spans="1:12" x14ac:dyDescent="0.25">
      <c r="A255" s="165" t="s">
        <v>1043</v>
      </c>
      <c r="B255" s="165" t="s">
        <v>214</v>
      </c>
      <c r="C255" s="165" t="s">
        <v>210</v>
      </c>
      <c r="D255" s="165">
        <v>28.91</v>
      </c>
      <c r="E255" s="165">
        <f t="shared" si="7"/>
        <v>29.060000000000002</v>
      </c>
      <c r="F255" s="165"/>
      <c r="G255" s="165"/>
      <c r="H255" s="165"/>
    </row>
    <row r="256" spans="1:12" x14ac:dyDescent="0.25">
      <c r="A256" s="165" t="s">
        <v>1043</v>
      </c>
      <c r="B256" s="165" t="s">
        <v>215</v>
      </c>
      <c r="C256" s="165" t="s">
        <v>210</v>
      </c>
      <c r="D256" s="165">
        <v>30.49</v>
      </c>
      <c r="E256" s="165">
        <f t="shared" si="7"/>
        <v>30.375</v>
      </c>
      <c r="F256" s="165"/>
      <c r="G256" s="165"/>
      <c r="H256" s="165"/>
    </row>
    <row r="257" spans="1:8" x14ac:dyDescent="0.25">
      <c r="A257" s="165" t="s">
        <v>1043</v>
      </c>
      <c r="B257" s="165" t="s">
        <v>216</v>
      </c>
      <c r="C257" s="165" t="s">
        <v>210</v>
      </c>
      <c r="D257" s="165">
        <v>31.67</v>
      </c>
      <c r="E257" s="165">
        <f t="shared" si="7"/>
        <v>31.970000000000002</v>
      </c>
      <c r="F257" s="165"/>
      <c r="G257" s="165"/>
      <c r="H257" s="165"/>
    </row>
    <row r="258" spans="1:8" x14ac:dyDescent="0.25">
      <c r="A258" s="165" t="s">
        <v>1043</v>
      </c>
      <c r="B258" s="165" t="s">
        <v>217</v>
      </c>
      <c r="C258" s="165" t="s">
        <v>210</v>
      </c>
      <c r="D258" s="165">
        <v>0</v>
      </c>
      <c r="E258" s="165">
        <f t="shared" si="7"/>
        <v>0</v>
      </c>
      <c r="F258" s="165"/>
      <c r="G258" s="165"/>
      <c r="H258" s="165"/>
    </row>
    <row r="259" spans="1:8" x14ac:dyDescent="0.25">
      <c r="A259" s="165" t="s">
        <v>1043</v>
      </c>
      <c r="B259" s="165" t="s">
        <v>223</v>
      </c>
      <c r="C259" s="165" t="s">
        <v>210</v>
      </c>
      <c r="D259" s="165">
        <v>11.76</v>
      </c>
      <c r="E259" s="165"/>
      <c r="F259" s="165"/>
      <c r="G259" s="165"/>
      <c r="H259" s="165"/>
    </row>
    <row r="260" spans="1:8" x14ac:dyDescent="0.25">
      <c r="A260" s="165" t="s">
        <v>1043</v>
      </c>
      <c r="B260" s="165" t="s">
        <v>234</v>
      </c>
      <c r="C260" s="165" t="s">
        <v>210</v>
      </c>
      <c r="D260" s="165">
        <v>23.92</v>
      </c>
      <c r="E260" s="165"/>
      <c r="F260" s="165"/>
      <c r="G260" s="165"/>
      <c r="H260" s="165"/>
    </row>
    <row r="261" spans="1:8" x14ac:dyDescent="0.25">
      <c r="A261" s="165" t="s">
        <v>1043</v>
      </c>
      <c r="B261" s="165" t="s">
        <v>235</v>
      </c>
      <c r="C261" s="165" t="s">
        <v>210</v>
      </c>
      <c r="D261" s="165">
        <v>22.49</v>
      </c>
      <c r="E261" s="165"/>
      <c r="F261" s="165"/>
      <c r="G261" s="165"/>
      <c r="H261" s="165"/>
    </row>
    <row r="262" spans="1:8" x14ac:dyDescent="0.25">
      <c r="A262" s="165" t="s">
        <v>1043</v>
      </c>
      <c r="B262" s="165" t="s">
        <v>236</v>
      </c>
      <c r="C262" s="165" t="s">
        <v>210</v>
      </c>
      <c r="D262" s="165">
        <v>29.09</v>
      </c>
      <c r="E262" s="165"/>
      <c r="F262" s="165"/>
      <c r="G262" s="165"/>
      <c r="H262" s="165"/>
    </row>
    <row r="263" spans="1:8" x14ac:dyDescent="0.25">
      <c r="A263" s="165" t="s">
        <v>1043</v>
      </c>
      <c r="B263" s="165" t="s">
        <v>237</v>
      </c>
      <c r="C263" s="165" t="s">
        <v>210</v>
      </c>
      <c r="D263" s="165">
        <v>29.21</v>
      </c>
      <c r="E263" s="165"/>
      <c r="F263" s="165"/>
      <c r="G263" s="165"/>
      <c r="H263" s="165"/>
    </row>
    <row r="264" spans="1:8" x14ac:dyDescent="0.25">
      <c r="A264" s="165" t="s">
        <v>1043</v>
      </c>
      <c r="B264" s="165" t="s">
        <v>238</v>
      </c>
      <c r="C264" s="165" t="s">
        <v>210</v>
      </c>
      <c r="D264" s="165">
        <v>30.26</v>
      </c>
      <c r="E264" s="165"/>
      <c r="F264" s="165"/>
      <c r="G264" s="165"/>
      <c r="H264" s="165"/>
    </row>
    <row r="265" spans="1:8" x14ac:dyDescent="0.25">
      <c r="A265" s="165" t="s">
        <v>1043</v>
      </c>
      <c r="B265" s="165" t="s">
        <v>239</v>
      </c>
      <c r="C265" s="165" t="s">
        <v>210</v>
      </c>
      <c r="D265" s="165">
        <v>32.270000000000003</v>
      </c>
      <c r="E265" s="165"/>
      <c r="F265" s="165"/>
      <c r="G265" s="165"/>
      <c r="H265" s="165"/>
    </row>
    <row r="266" spans="1:8" x14ac:dyDescent="0.25">
      <c r="A266" s="165" t="s">
        <v>1043</v>
      </c>
      <c r="B266" s="165" t="s">
        <v>242</v>
      </c>
      <c r="C266" s="165" t="s">
        <v>210</v>
      </c>
      <c r="D266" s="165">
        <v>0</v>
      </c>
      <c r="E266" s="165"/>
      <c r="F266" s="165"/>
      <c r="G266" s="165"/>
      <c r="H266" s="165"/>
    </row>
    <row r="267" spans="1:8" x14ac:dyDescent="0.25">
      <c r="A267" s="165" t="s">
        <v>982</v>
      </c>
      <c r="B267" s="165" t="s">
        <v>204</v>
      </c>
      <c r="C267" s="165" t="s">
        <v>809</v>
      </c>
      <c r="D267" s="165">
        <v>41.2</v>
      </c>
      <c r="E267" s="165">
        <f t="shared" si="7"/>
        <v>40.81</v>
      </c>
      <c r="F267" s="165"/>
      <c r="G267" s="165"/>
      <c r="H267" s="165"/>
    </row>
    <row r="268" spans="1:8" x14ac:dyDescent="0.25">
      <c r="A268" s="165" t="s">
        <v>982</v>
      </c>
      <c r="B268" s="165" t="s">
        <v>211</v>
      </c>
      <c r="C268" s="165" t="s">
        <v>809</v>
      </c>
      <c r="D268" s="165">
        <v>39.5</v>
      </c>
      <c r="E268" s="165">
        <f t="shared" ref="E268:E290" si="13">AVERAGE(D268,D276)</f>
        <v>38.094999999999999</v>
      </c>
      <c r="F268" s="165"/>
      <c r="G268" s="165"/>
      <c r="H268" s="165"/>
    </row>
    <row r="269" spans="1:8" x14ac:dyDescent="0.25">
      <c r="A269" s="165" t="s">
        <v>982</v>
      </c>
      <c r="B269" s="165" t="s">
        <v>212</v>
      </c>
      <c r="C269" s="165" t="s">
        <v>809</v>
      </c>
      <c r="D269" s="165">
        <v>44.12</v>
      </c>
      <c r="E269" s="165">
        <f t="shared" si="13"/>
        <v>41.459999999999994</v>
      </c>
      <c r="F269" s="165"/>
      <c r="G269" s="165"/>
      <c r="H269" s="165"/>
    </row>
    <row r="270" spans="1:8" x14ac:dyDescent="0.25">
      <c r="A270" s="165" t="s">
        <v>982</v>
      </c>
      <c r="B270" s="165" t="s">
        <v>213</v>
      </c>
      <c r="C270" s="165" t="s">
        <v>809</v>
      </c>
      <c r="D270" s="165">
        <v>38.630000000000003</v>
      </c>
      <c r="E270" s="165">
        <f t="shared" si="13"/>
        <v>38.74</v>
      </c>
      <c r="F270" s="165"/>
      <c r="G270" s="165"/>
      <c r="H270" s="165"/>
    </row>
    <row r="271" spans="1:8" x14ac:dyDescent="0.25">
      <c r="A271" s="165" t="s">
        <v>982</v>
      </c>
      <c r="B271" s="165" t="s">
        <v>214</v>
      </c>
      <c r="C271" s="165" t="s">
        <v>809</v>
      </c>
      <c r="D271" s="165">
        <v>35.92</v>
      </c>
      <c r="E271" s="165">
        <f t="shared" si="13"/>
        <v>35.92</v>
      </c>
      <c r="F271" s="165"/>
      <c r="G271" s="165"/>
      <c r="H271" s="165"/>
    </row>
    <row r="272" spans="1:8" x14ac:dyDescent="0.25">
      <c r="A272" s="165" t="s">
        <v>982</v>
      </c>
      <c r="B272" s="165" t="s">
        <v>215</v>
      </c>
      <c r="C272" s="165" t="s">
        <v>809</v>
      </c>
      <c r="D272" s="165">
        <v>36.950000000000003</v>
      </c>
      <c r="E272" s="165">
        <f t="shared" si="13"/>
        <v>36.685000000000002</v>
      </c>
      <c r="F272" s="165"/>
      <c r="G272" s="165"/>
      <c r="H272" s="165"/>
    </row>
    <row r="273" spans="1:8" x14ac:dyDescent="0.25">
      <c r="A273" s="165" t="s">
        <v>982</v>
      </c>
      <c r="B273" s="165" t="s">
        <v>216</v>
      </c>
      <c r="C273" s="165" t="s">
        <v>809</v>
      </c>
      <c r="D273" s="165">
        <v>34.86</v>
      </c>
      <c r="E273" s="165">
        <f t="shared" si="13"/>
        <v>36.879999999999995</v>
      </c>
      <c r="F273" s="165"/>
      <c r="G273" s="165"/>
      <c r="H273" s="165"/>
    </row>
    <row r="274" spans="1:8" x14ac:dyDescent="0.25">
      <c r="A274" s="165" t="s">
        <v>982</v>
      </c>
      <c r="B274" s="165" t="s">
        <v>217</v>
      </c>
      <c r="C274" s="165" t="s">
        <v>809</v>
      </c>
      <c r="D274" s="165" t="s">
        <v>220</v>
      </c>
      <c r="E274" s="165">
        <v>0</v>
      </c>
      <c r="F274" s="165"/>
      <c r="G274" s="165"/>
      <c r="H274" s="165"/>
    </row>
    <row r="275" spans="1:8" x14ac:dyDescent="0.25">
      <c r="A275" s="165" t="s">
        <v>982</v>
      </c>
      <c r="B275" s="165" t="s">
        <v>223</v>
      </c>
      <c r="C275" s="165" t="s">
        <v>809</v>
      </c>
      <c r="D275" s="165">
        <v>40.42</v>
      </c>
      <c r="E275" s="165"/>
      <c r="F275" s="165"/>
      <c r="G275" s="165"/>
      <c r="H275" s="165"/>
    </row>
    <row r="276" spans="1:8" x14ac:dyDescent="0.25">
      <c r="A276" s="165" t="s">
        <v>982</v>
      </c>
      <c r="B276" s="165" t="s">
        <v>234</v>
      </c>
      <c r="C276" s="165" t="s">
        <v>809</v>
      </c>
      <c r="D276" s="165">
        <v>36.69</v>
      </c>
      <c r="E276" s="165"/>
      <c r="F276" s="165"/>
      <c r="G276" s="165"/>
      <c r="H276" s="165"/>
    </row>
    <row r="277" spans="1:8" x14ac:dyDescent="0.25">
      <c r="A277" s="165" t="s">
        <v>982</v>
      </c>
      <c r="B277" s="165" t="s">
        <v>235</v>
      </c>
      <c r="C277" s="165" t="s">
        <v>809</v>
      </c>
      <c r="D277" s="165">
        <v>38.799999999999997</v>
      </c>
      <c r="E277" s="165"/>
      <c r="F277" s="165"/>
      <c r="G277" s="165"/>
      <c r="H277" s="165"/>
    </row>
    <row r="278" spans="1:8" x14ac:dyDescent="0.25">
      <c r="A278" s="165" t="s">
        <v>982</v>
      </c>
      <c r="B278" s="165" t="s">
        <v>236</v>
      </c>
      <c r="C278" s="165" t="s">
        <v>809</v>
      </c>
      <c r="D278" s="165">
        <v>38.85</v>
      </c>
      <c r="E278" s="165"/>
      <c r="F278" s="165"/>
      <c r="G278" s="165"/>
      <c r="H278" s="165"/>
    </row>
    <row r="279" spans="1:8" x14ac:dyDescent="0.25">
      <c r="A279" s="165" t="s">
        <v>982</v>
      </c>
      <c r="B279" s="165" t="s">
        <v>237</v>
      </c>
      <c r="C279" s="165" t="s">
        <v>809</v>
      </c>
      <c r="D279" s="165" t="s">
        <v>220</v>
      </c>
      <c r="E279" s="165"/>
      <c r="F279" s="165"/>
      <c r="G279" s="165"/>
      <c r="H279" s="165"/>
    </row>
    <row r="280" spans="1:8" x14ac:dyDescent="0.25">
      <c r="A280" s="165" t="s">
        <v>982</v>
      </c>
      <c r="B280" s="165" t="s">
        <v>238</v>
      </c>
      <c r="C280" s="165" t="s">
        <v>809</v>
      </c>
      <c r="D280" s="165">
        <v>36.42</v>
      </c>
      <c r="E280" s="165"/>
      <c r="F280" s="165"/>
      <c r="G280" s="165"/>
      <c r="H280" s="165"/>
    </row>
    <row r="281" spans="1:8" x14ac:dyDescent="0.25">
      <c r="A281" s="165" t="s">
        <v>982</v>
      </c>
      <c r="B281" s="165" t="s">
        <v>239</v>
      </c>
      <c r="C281" s="165" t="s">
        <v>809</v>
      </c>
      <c r="D281" s="165">
        <v>38.9</v>
      </c>
      <c r="E281" s="165"/>
      <c r="F281" s="165"/>
      <c r="G281" s="165"/>
      <c r="H281" s="165"/>
    </row>
    <row r="282" spans="1:8" x14ac:dyDescent="0.25">
      <c r="A282" s="165" t="s">
        <v>982</v>
      </c>
      <c r="B282" s="165" t="s">
        <v>242</v>
      </c>
      <c r="C282" s="165" t="s">
        <v>809</v>
      </c>
      <c r="D282" s="165" t="s">
        <v>220</v>
      </c>
      <c r="E282" s="165"/>
      <c r="F282" s="165"/>
      <c r="G282" s="165"/>
      <c r="H282" s="165"/>
    </row>
    <row r="283" spans="1:8" x14ac:dyDescent="0.25">
      <c r="A283" s="165" t="s">
        <v>982</v>
      </c>
      <c r="B283" s="165" t="s">
        <v>204</v>
      </c>
      <c r="C283" s="165" t="s">
        <v>210</v>
      </c>
      <c r="D283" s="165">
        <v>11.82</v>
      </c>
      <c r="E283" s="165">
        <f t="shared" si="13"/>
        <v>12.484999999999999</v>
      </c>
      <c r="F283" s="165"/>
      <c r="G283" s="165"/>
      <c r="H283" s="165"/>
    </row>
    <row r="284" spans="1:8" x14ac:dyDescent="0.25">
      <c r="A284" s="165" t="s">
        <v>982</v>
      </c>
      <c r="B284" s="165" t="s">
        <v>211</v>
      </c>
      <c r="C284" s="165" t="s">
        <v>210</v>
      </c>
      <c r="D284" s="165">
        <v>22.77</v>
      </c>
      <c r="E284" s="165">
        <f t="shared" si="13"/>
        <v>22.574999999999999</v>
      </c>
      <c r="F284" s="165"/>
      <c r="G284" s="165"/>
      <c r="H284" s="165"/>
    </row>
    <row r="285" spans="1:8" x14ac:dyDescent="0.25">
      <c r="A285" s="165" t="s">
        <v>982</v>
      </c>
      <c r="B285" s="165" t="s">
        <v>212</v>
      </c>
      <c r="C285" s="165" t="s">
        <v>210</v>
      </c>
      <c r="D285" s="165">
        <v>21.77</v>
      </c>
      <c r="E285" s="165">
        <f t="shared" si="13"/>
        <v>21.54</v>
      </c>
      <c r="F285" s="165"/>
      <c r="G285" s="165"/>
      <c r="H285" s="165"/>
    </row>
    <row r="286" spans="1:8" x14ac:dyDescent="0.25">
      <c r="A286" s="165" t="s">
        <v>982</v>
      </c>
      <c r="B286" s="165" t="s">
        <v>213</v>
      </c>
      <c r="C286" s="165" t="s">
        <v>210</v>
      </c>
      <c r="D286" s="165">
        <v>29.1</v>
      </c>
      <c r="E286" s="165">
        <f t="shared" si="13"/>
        <v>28.82</v>
      </c>
      <c r="F286" s="165"/>
      <c r="G286" s="165"/>
      <c r="H286" s="165"/>
    </row>
    <row r="287" spans="1:8" x14ac:dyDescent="0.25">
      <c r="A287" s="165" t="s">
        <v>982</v>
      </c>
      <c r="B287" s="165" t="s">
        <v>214</v>
      </c>
      <c r="C287" s="165" t="s">
        <v>210</v>
      </c>
      <c r="D287" s="165">
        <v>28.37</v>
      </c>
      <c r="E287" s="165">
        <f t="shared" si="13"/>
        <v>28.225000000000001</v>
      </c>
      <c r="F287" s="165"/>
      <c r="G287" s="165"/>
      <c r="H287" s="165"/>
    </row>
    <row r="288" spans="1:8" x14ac:dyDescent="0.25">
      <c r="A288" s="165" t="s">
        <v>982</v>
      </c>
      <c r="B288" s="165" t="s">
        <v>215</v>
      </c>
      <c r="C288" s="165" t="s">
        <v>210</v>
      </c>
      <c r="D288" s="165">
        <v>29.07</v>
      </c>
      <c r="E288" s="165">
        <f t="shared" si="13"/>
        <v>29.17</v>
      </c>
      <c r="F288" s="165"/>
      <c r="G288" s="165"/>
      <c r="H288" s="165"/>
    </row>
    <row r="289" spans="1:8" x14ac:dyDescent="0.25">
      <c r="A289" s="165" t="s">
        <v>982</v>
      </c>
      <c r="B289" s="165" t="s">
        <v>216</v>
      </c>
      <c r="C289" s="165" t="s">
        <v>210</v>
      </c>
      <c r="D289" s="165">
        <v>32.15</v>
      </c>
      <c r="E289" s="165">
        <f t="shared" si="13"/>
        <v>32.340000000000003</v>
      </c>
      <c r="F289" s="165"/>
      <c r="G289" s="165"/>
      <c r="H289" s="165"/>
    </row>
    <row r="290" spans="1:8" x14ac:dyDescent="0.25">
      <c r="A290" s="165" t="s">
        <v>982</v>
      </c>
      <c r="B290" s="165" t="s">
        <v>217</v>
      </c>
      <c r="C290" s="165" t="s">
        <v>210</v>
      </c>
      <c r="D290" s="165" t="s">
        <v>220</v>
      </c>
      <c r="E290" s="165">
        <f t="shared" si="13"/>
        <v>37.96</v>
      </c>
      <c r="F290" s="165"/>
      <c r="G290" s="165"/>
      <c r="H290" s="165"/>
    </row>
    <row r="291" spans="1:8" x14ac:dyDescent="0.25">
      <c r="A291" s="165" t="s">
        <v>982</v>
      </c>
      <c r="B291" s="165" t="s">
        <v>223</v>
      </c>
      <c r="C291" s="165" t="s">
        <v>210</v>
      </c>
      <c r="D291" s="165">
        <v>13.15</v>
      </c>
      <c r="E291" s="165"/>
      <c r="F291" s="165"/>
      <c r="G291" s="165"/>
      <c r="H291" s="165"/>
    </row>
    <row r="292" spans="1:8" x14ac:dyDescent="0.25">
      <c r="A292" s="165" t="s">
        <v>982</v>
      </c>
      <c r="B292" s="165" t="s">
        <v>234</v>
      </c>
      <c r="C292" s="165" t="s">
        <v>210</v>
      </c>
      <c r="D292" s="165">
        <v>22.38</v>
      </c>
      <c r="E292" s="165"/>
      <c r="F292" s="165"/>
      <c r="G292" s="165"/>
      <c r="H292" s="165"/>
    </row>
    <row r="293" spans="1:8" x14ac:dyDescent="0.25">
      <c r="A293" s="165" t="s">
        <v>982</v>
      </c>
      <c r="B293" s="165" t="s">
        <v>235</v>
      </c>
      <c r="C293" s="165" t="s">
        <v>210</v>
      </c>
      <c r="D293" s="165">
        <v>21.31</v>
      </c>
      <c r="E293" s="165"/>
      <c r="F293" s="165"/>
      <c r="G293" s="165"/>
      <c r="H293" s="165"/>
    </row>
    <row r="294" spans="1:8" x14ac:dyDescent="0.25">
      <c r="A294" s="165" t="s">
        <v>982</v>
      </c>
      <c r="B294" s="165" t="s">
        <v>236</v>
      </c>
      <c r="C294" s="165" t="s">
        <v>210</v>
      </c>
      <c r="D294" s="165">
        <v>28.54</v>
      </c>
      <c r="E294" s="165"/>
      <c r="F294" s="165"/>
      <c r="G294" s="165"/>
      <c r="H294" s="165"/>
    </row>
    <row r="295" spans="1:8" x14ac:dyDescent="0.25">
      <c r="A295" s="165" t="s">
        <v>982</v>
      </c>
      <c r="B295" s="165" t="s">
        <v>237</v>
      </c>
      <c r="C295" s="165" t="s">
        <v>210</v>
      </c>
      <c r="D295" s="165">
        <v>28.08</v>
      </c>
      <c r="E295" s="165"/>
      <c r="F295" s="165"/>
      <c r="G295" s="165"/>
      <c r="H295" s="165"/>
    </row>
    <row r="296" spans="1:8" x14ac:dyDescent="0.25">
      <c r="A296" s="165" t="s">
        <v>982</v>
      </c>
      <c r="B296" s="165" t="s">
        <v>238</v>
      </c>
      <c r="C296" s="165" t="s">
        <v>210</v>
      </c>
      <c r="D296" s="165">
        <v>29.27</v>
      </c>
      <c r="E296" s="165"/>
      <c r="F296" s="165"/>
      <c r="G296" s="165"/>
      <c r="H296" s="165"/>
    </row>
    <row r="297" spans="1:8" x14ac:dyDescent="0.25">
      <c r="A297" s="165" t="s">
        <v>982</v>
      </c>
      <c r="B297" s="165" t="s">
        <v>239</v>
      </c>
      <c r="C297" s="165" t="s">
        <v>210</v>
      </c>
      <c r="D297" s="165">
        <v>32.53</v>
      </c>
      <c r="E297" s="165"/>
      <c r="F297" s="165"/>
      <c r="G297" s="165"/>
      <c r="H297" s="165"/>
    </row>
    <row r="298" spans="1:8" x14ac:dyDescent="0.25">
      <c r="A298" s="165" t="s">
        <v>982</v>
      </c>
      <c r="B298" s="165" t="s">
        <v>242</v>
      </c>
      <c r="C298" s="165" t="s">
        <v>210</v>
      </c>
      <c r="D298" s="165">
        <v>37.96</v>
      </c>
      <c r="E298" s="165"/>
      <c r="F298" s="165"/>
      <c r="G298" s="165"/>
      <c r="H298" s="165"/>
    </row>
    <row r="300" spans="1:8" x14ac:dyDescent="0.25">
      <c r="A300" t="s">
        <v>1055</v>
      </c>
    </row>
    <row r="301" spans="1:8" ht="15.75" thickBot="1" x14ac:dyDescent="0.3">
      <c r="A301" s="165" t="s">
        <v>978</v>
      </c>
      <c r="B301" s="165"/>
      <c r="C301" s="165"/>
      <c r="D301" s="165"/>
      <c r="E301" s="165"/>
    </row>
    <row r="302" spans="1:8" x14ac:dyDescent="0.25">
      <c r="A302" s="91" t="s">
        <v>50</v>
      </c>
      <c r="B302" s="92" t="s">
        <v>74</v>
      </c>
      <c r="C302" s="92" t="s">
        <v>52</v>
      </c>
      <c r="D302" s="92" t="s">
        <v>75</v>
      </c>
      <c r="E302" s="93">
        <f>16*1.2</f>
        <v>19.2</v>
      </c>
    </row>
    <row r="303" spans="1:8" x14ac:dyDescent="0.25">
      <c r="A303" s="94" t="s">
        <v>76</v>
      </c>
      <c r="B303" s="95"/>
      <c r="C303" s="95"/>
      <c r="D303" s="96">
        <f>D38</f>
        <v>12.112222222222224</v>
      </c>
      <c r="E303" s="96">
        <f>D303*$E$302</f>
        <v>232.55466666666669</v>
      </c>
    </row>
    <row r="304" spans="1:8" x14ac:dyDescent="0.25">
      <c r="A304" s="165" t="s">
        <v>828</v>
      </c>
      <c r="B304" s="95"/>
      <c r="C304" s="95"/>
      <c r="D304" s="96">
        <v>0</v>
      </c>
      <c r="E304" s="96">
        <f t="shared" ref="E304:E308" si="14">D304*$E$302</f>
        <v>0</v>
      </c>
    </row>
    <row r="305" spans="1:5" x14ac:dyDescent="0.25">
      <c r="A305" s="110" t="s">
        <v>894</v>
      </c>
      <c r="B305" s="95" t="s">
        <v>980</v>
      </c>
      <c r="C305" s="95"/>
      <c r="D305" s="96">
        <v>0.6</v>
      </c>
      <c r="E305" s="96">
        <f t="shared" si="14"/>
        <v>11.52</v>
      </c>
    </row>
    <row r="306" spans="1:5" x14ac:dyDescent="0.25">
      <c r="A306" s="110" t="s">
        <v>979</v>
      </c>
      <c r="B306" s="165"/>
      <c r="C306" s="165"/>
      <c r="D306" s="96">
        <v>0.2</v>
      </c>
      <c r="E306" s="96">
        <f t="shared" si="14"/>
        <v>3.84</v>
      </c>
    </row>
    <row r="307" spans="1:5" x14ac:dyDescent="0.25">
      <c r="A307" s="104" t="s">
        <v>79</v>
      </c>
      <c r="B307" s="95"/>
      <c r="C307" s="95"/>
      <c r="D307" s="96">
        <f>18-SUM(D303:D306)</f>
        <v>5.0877777777777773</v>
      </c>
      <c r="E307" s="96">
        <f t="shared" si="14"/>
        <v>97.685333333333318</v>
      </c>
    </row>
    <row r="308" spans="1:5" ht="15.75" thickBot="1" x14ac:dyDescent="0.3">
      <c r="A308" s="97" t="s">
        <v>80</v>
      </c>
      <c r="B308" s="98"/>
      <c r="C308" s="98"/>
      <c r="D308" s="99">
        <f>SUM(D303:D307)</f>
        <v>18</v>
      </c>
      <c r="E308" s="96">
        <f t="shared" si="14"/>
        <v>345.59999999999997</v>
      </c>
    </row>
    <row r="310" spans="1:5" x14ac:dyDescent="0.25">
      <c r="A310" t="s">
        <v>1056</v>
      </c>
    </row>
    <row r="311" spans="1:5" ht="15.75" thickBot="1" x14ac:dyDescent="0.3">
      <c r="A311" t="s">
        <v>1057</v>
      </c>
    </row>
    <row r="312" spans="1:5" x14ac:dyDescent="0.25">
      <c r="A312" s="91" t="s">
        <v>50</v>
      </c>
      <c r="B312" s="92" t="s">
        <v>74</v>
      </c>
      <c r="C312" s="92" t="s">
        <v>52</v>
      </c>
      <c r="D312" s="92" t="s">
        <v>75</v>
      </c>
      <c r="E312" s="93">
        <f>2*1.15</f>
        <v>2.2999999999999998</v>
      </c>
    </row>
    <row r="313" spans="1:5" x14ac:dyDescent="0.25">
      <c r="A313" s="94" t="s">
        <v>76</v>
      </c>
      <c r="B313" s="95"/>
      <c r="C313" s="95"/>
      <c r="D313" s="96">
        <f>D308</f>
        <v>18</v>
      </c>
      <c r="E313" s="96">
        <f>D313*$E$312</f>
        <v>41.4</v>
      </c>
    </row>
    <row r="314" spans="1:5" x14ac:dyDescent="0.25">
      <c r="A314" s="165" t="s">
        <v>828</v>
      </c>
      <c r="B314" s="95"/>
      <c r="C314" s="95"/>
      <c r="D314" s="96">
        <v>2</v>
      </c>
      <c r="E314" s="96">
        <f t="shared" ref="E314:E318" si="15">D314*$E$312</f>
        <v>4.5999999999999996</v>
      </c>
    </row>
    <row r="315" spans="1:5" x14ac:dyDescent="0.25">
      <c r="A315" s="110" t="s">
        <v>894</v>
      </c>
      <c r="B315" s="95" t="s">
        <v>980</v>
      </c>
      <c r="C315" s="95"/>
      <c r="D315" s="96">
        <v>0</v>
      </c>
      <c r="E315" s="96">
        <f t="shared" si="15"/>
        <v>0</v>
      </c>
    </row>
    <row r="316" spans="1:5" x14ac:dyDescent="0.25">
      <c r="A316" s="110" t="s">
        <v>979</v>
      </c>
      <c r="B316" s="165"/>
      <c r="C316" s="165"/>
      <c r="D316" s="96">
        <v>0</v>
      </c>
      <c r="E316" s="96">
        <f t="shared" si="15"/>
        <v>0</v>
      </c>
    </row>
    <row r="317" spans="1:5" x14ac:dyDescent="0.25">
      <c r="A317" s="104" t="s">
        <v>79</v>
      </c>
      <c r="B317" s="95"/>
      <c r="C317" s="95"/>
      <c r="D317" s="96">
        <v>0</v>
      </c>
      <c r="E317" s="96">
        <f t="shared" si="15"/>
        <v>0</v>
      </c>
    </row>
    <row r="318" spans="1:5" ht="15.75" thickBot="1" x14ac:dyDescent="0.3">
      <c r="A318" s="97" t="s">
        <v>80</v>
      </c>
      <c r="B318" s="98"/>
      <c r="C318" s="98"/>
      <c r="D318" s="99">
        <f>SUM(D313:D317)</f>
        <v>20</v>
      </c>
      <c r="E318" s="96">
        <f t="shared" si="15"/>
        <v>46</v>
      </c>
    </row>
    <row r="320" spans="1:5" x14ac:dyDescent="0.25">
      <c r="A320" t="s">
        <v>1058</v>
      </c>
    </row>
    <row r="321" spans="1:1" x14ac:dyDescent="0.25">
      <c r="A321" t="s">
        <v>1059</v>
      </c>
    </row>
    <row r="322" spans="1:1" x14ac:dyDescent="0.25">
      <c r="A322" s="157">
        <v>20210526</v>
      </c>
    </row>
    <row r="323" spans="1:1" x14ac:dyDescent="0.25">
      <c r="A323" s="44" t="s">
        <v>1062</v>
      </c>
    </row>
    <row r="324" spans="1:1" x14ac:dyDescent="0.25">
      <c r="A324" t="s">
        <v>1060</v>
      </c>
    </row>
    <row r="325" spans="1:1" x14ac:dyDescent="0.25">
      <c r="A325" t="s">
        <v>1061</v>
      </c>
    </row>
    <row r="326" spans="1:1" x14ac:dyDescent="0.25">
      <c r="A326" s="44" t="s">
        <v>1063</v>
      </c>
    </row>
    <row r="327" spans="1:1" s="165" customFormat="1" x14ac:dyDescent="0.25">
      <c r="A327" s="165" t="s">
        <v>1073</v>
      </c>
    </row>
    <row r="328" spans="1:1" x14ac:dyDescent="0.25">
      <c r="A328" t="s">
        <v>1067</v>
      </c>
    </row>
    <row r="329" spans="1:1" x14ac:dyDescent="0.25">
      <c r="A329" t="s">
        <v>1064</v>
      </c>
    </row>
    <row r="330" spans="1:1" x14ac:dyDescent="0.25">
      <c r="A330" t="s">
        <v>1065</v>
      </c>
    </row>
    <row r="331" spans="1:1" x14ac:dyDescent="0.25">
      <c r="A331" s="44" t="s">
        <v>1066</v>
      </c>
    </row>
    <row r="332" spans="1:1" x14ac:dyDescent="0.25">
      <c r="A332" t="s">
        <v>1070</v>
      </c>
    </row>
    <row r="333" spans="1:1" x14ac:dyDescent="0.25">
      <c r="A333" t="s">
        <v>1068</v>
      </c>
    </row>
    <row r="334" spans="1:1" x14ac:dyDescent="0.25">
      <c r="A334" t="s">
        <v>1069</v>
      </c>
    </row>
    <row r="335" spans="1:1" x14ac:dyDescent="0.25">
      <c r="A335" t="s">
        <v>1071</v>
      </c>
    </row>
    <row r="336" spans="1:1" x14ac:dyDescent="0.25">
      <c r="A336" t="s">
        <v>1072</v>
      </c>
    </row>
    <row r="337" spans="1:5" x14ac:dyDescent="0.25">
      <c r="A337" t="s">
        <v>1074</v>
      </c>
    </row>
    <row r="338" spans="1:5" x14ac:dyDescent="0.25">
      <c r="A338" t="s">
        <v>1152</v>
      </c>
    </row>
    <row r="339" spans="1:5" s="165" customFormat="1" x14ac:dyDescent="0.25">
      <c r="A339" s="165" t="s">
        <v>1153</v>
      </c>
    </row>
    <row r="340" spans="1:5" s="165" customFormat="1" x14ac:dyDescent="0.25">
      <c r="A340">
        <v>20210529</v>
      </c>
    </row>
    <row r="341" spans="1:5" s="165" customFormat="1" x14ac:dyDescent="0.25">
      <c r="A341" t="s">
        <v>1084</v>
      </c>
    </row>
    <row r="342" spans="1:5" s="165" customFormat="1" x14ac:dyDescent="0.25">
      <c r="A342" t="s">
        <v>1085</v>
      </c>
    </row>
    <row r="343" spans="1:5" s="165" customFormat="1" x14ac:dyDescent="0.25">
      <c r="A343" s="165" t="s">
        <v>1086</v>
      </c>
    </row>
    <row r="344" spans="1:5" s="165" customFormat="1" x14ac:dyDescent="0.25"/>
    <row r="345" spans="1:5" x14ac:dyDescent="0.25">
      <c r="A345">
        <v>20210604</v>
      </c>
    </row>
    <row r="346" spans="1:5" x14ac:dyDescent="0.25">
      <c r="A346" s="165" t="s">
        <v>1184</v>
      </c>
    </row>
    <row r="347" spans="1:5" x14ac:dyDescent="0.25">
      <c r="A347" t="s">
        <v>1185</v>
      </c>
    </row>
    <row r="348" spans="1:5" s="165" customFormat="1" x14ac:dyDescent="0.25"/>
    <row r="349" spans="1:5" s="165" customFormat="1" x14ac:dyDescent="0.25"/>
    <row r="350" spans="1:5" ht="15.75" thickBot="1" x14ac:dyDescent="0.3">
      <c r="A350" s="165"/>
      <c r="B350" s="165"/>
      <c r="C350" s="165"/>
      <c r="D350" s="165"/>
      <c r="E350" s="165"/>
    </row>
    <row r="351" spans="1:5" x14ac:dyDescent="0.25">
      <c r="A351" s="91" t="s">
        <v>50</v>
      </c>
      <c r="B351" s="92" t="s">
        <v>74</v>
      </c>
      <c r="C351" s="92" t="s">
        <v>52</v>
      </c>
      <c r="D351" s="92" t="s">
        <v>75</v>
      </c>
      <c r="E351" s="93">
        <f>40*1.2</f>
        <v>48</v>
      </c>
    </row>
    <row r="352" spans="1:5" x14ac:dyDescent="0.25">
      <c r="A352" s="94" t="s">
        <v>76</v>
      </c>
      <c r="B352" s="95"/>
      <c r="C352" s="95"/>
      <c r="D352" s="96">
        <v>0</v>
      </c>
      <c r="E352" s="96">
        <f>D352*$E$351</f>
        <v>0</v>
      </c>
    </row>
    <row r="353" spans="1:5" x14ac:dyDescent="0.25">
      <c r="A353" s="165" t="s">
        <v>828</v>
      </c>
      <c r="B353" s="95"/>
      <c r="C353" s="95"/>
      <c r="D353" s="96">
        <v>0</v>
      </c>
      <c r="E353" s="96">
        <f t="shared" ref="E353:E357" si="16">D353*$E$351</f>
        <v>0</v>
      </c>
    </row>
    <row r="354" spans="1:5" x14ac:dyDescent="0.25">
      <c r="A354" s="110" t="s">
        <v>894</v>
      </c>
      <c r="B354" s="95" t="s">
        <v>980</v>
      </c>
      <c r="C354" s="95"/>
      <c r="D354" s="96">
        <v>0.6</v>
      </c>
      <c r="E354" s="96">
        <f t="shared" si="16"/>
        <v>28.799999999999997</v>
      </c>
    </row>
    <row r="355" spans="1:5" x14ac:dyDescent="0.25">
      <c r="A355" s="110" t="s">
        <v>979</v>
      </c>
      <c r="B355" s="165"/>
      <c r="C355" s="165"/>
      <c r="D355" s="96">
        <v>0.2</v>
      </c>
      <c r="E355" s="96">
        <f t="shared" si="16"/>
        <v>9.6000000000000014</v>
      </c>
    </row>
    <row r="356" spans="1:5" x14ac:dyDescent="0.25">
      <c r="A356" s="104" t="s">
        <v>79</v>
      </c>
      <c r="B356" s="95"/>
      <c r="C356" s="95"/>
      <c r="D356" s="96">
        <f>18-SUM(D352:D355)</f>
        <v>17.2</v>
      </c>
      <c r="E356" s="96">
        <f t="shared" si="16"/>
        <v>825.59999999999991</v>
      </c>
    </row>
    <row r="357" spans="1:5" ht="15.75" thickBot="1" x14ac:dyDescent="0.3">
      <c r="A357" s="97" t="s">
        <v>80</v>
      </c>
      <c r="B357" s="98"/>
      <c r="C357" s="98"/>
      <c r="D357" s="99">
        <f>SUM(D352:D356)</f>
        <v>18</v>
      </c>
      <c r="E357" s="96">
        <f t="shared" si="16"/>
        <v>864</v>
      </c>
    </row>
    <row r="359" spans="1:5" ht="15.75" thickBot="1" x14ac:dyDescent="0.3"/>
    <row r="360" spans="1:5" x14ac:dyDescent="0.25">
      <c r="A360" s="91" t="s">
        <v>50</v>
      </c>
      <c r="B360" s="92" t="s">
        <v>74</v>
      </c>
      <c r="C360" s="92" t="s">
        <v>52</v>
      </c>
      <c r="D360" s="92" t="s">
        <v>75</v>
      </c>
      <c r="E360" s="93">
        <v>10</v>
      </c>
    </row>
    <row r="361" spans="1:5" x14ac:dyDescent="0.25">
      <c r="A361" s="94" t="s">
        <v>76</v>
      </c>
      <c r="B361" s="95"/>
      <c r="C361" s="95"/>
      <c r="D361" s="96">
        <v>0</v>
      </c>
      <c r="E361" s="96">
        <f>D361*$E$360</f>
        <v>0</v>
      </c>
    </row>
    <row r="362" spans="1:5" x14ac:dyDescent="0.25">
      <c r="A362" s="165" t="s">
        <v>828</v>
      </c>
      <c r="B362" s="95"/>
      <c r="C362" s="95"/>
      <c r="D362" s="96">
        <v>0</v>
      </c>
      <c r="E362" s="96">
        <f t="shared" ref="E362:E365" si="17">D362*$E$360</f>
        <v>0</v>
      </c>
    </row>
    <row r="363" spans="1:5" x14ac:dyDescent="0.25">
      <c r="A363" s="110" t="s">
        <v>894</v>
      </c>
      <c r="B363" s="95" t="s">
        <v>980</v>
      </c>
      <c r="C363" s="95"/>
      <c r="D363" s="96">
        <v>0.6</v>
      </c>
      <c r="E363" s="96">
        <f t="shared" si="17"/>
        <v>6</v>
      </c>
    </row>
    <row r="364" spans="1:5" x14ac:dyDescent="0.25">
      <c r="A364" s="110" t="s">
        <v>979</v>
      </c>
      <c r="B364" s="165"/>
      <c r="C364" s="165"/>
      <c r="D364" s="96">
        <v>0.2</v>
      </c>
      <c r="E364" s="96">
        <f t="shared" si="17"/>
        <v>2</v>
      </c>
    </row>
    <row r="365" spans="1:5" x14ac:dyDescent="0.25">
      <c r="A365" s="104" t="s">
        <v>79</v>
      </c>
      <c r="B365" s="95"/>
      <c r="C365" s="95"/>
      <c r="D365" s="96">
        <f>18-SUM(D361:D364)</f>
        <v>17.2</v>
      </c>
      <c r="E365" s="96">
        <f t="shared" si="17"/>
        <v>172</v>
      </c>
    </row>
    <row r="366" spans="1:5" ht="15.75" thickBot="1" x14ac:dyDescent="0.3">
      <c r="A366" s="97" t="s">
        <v>80</v>
      </c>
      <c r="B366" s="98"/>
      <c r="C366" s="98"/>
      <c r="D366" s="99">
        <f>SUM(D361:D365)</f>
        <v>18</v>
      </c>
      <c r="E366" s="96">
        <f>D366*$E$360</f>
        <v>180</v>
      </c>
    </row>
    <row r="369" spans="1:19" x14ac:dyDescent="0.25">
      <c r="A369" t="s">
        <v>1091</v>
      </c>
      <c r="B369" t="s">
        <v>246</v>
      </c>
      <c r="C369" t="s">
        <v>1087</v>
      </c>
      <c r="D369" t="s">
        <v>1088</v>
      </c>
      <c r="E369" t="s">
        <v>1089</v>
      </c>
      <c r="F369" t="s">
        <v>34</v>
      </c>
      <c r="G369" t="s">
        <v>894</v>
      </c>
      <c r="H369" t="s">
        <v>1090</v>
      </c>
      <c r="I369" t="s">
        <v>80</v>
      </c>
      <c r="K369" s="6" t="s">
        <v>1091</v>
      </c>
      <c r="L369" s="6" t="s">
        <v>246</v>
      </c>
      <c r="M369" s="6" t="s">
        <v>1087</v>
      </c>
      <c r="N369" s="6" t="s">
        <v>1088</v>
      </c>
      <c r="O369" s="6" t="s">
        <v>1089</v>
      </c>
      <c r="P369" s="6" t="s">
        <v>34</v>
      </c>
      <c r="Q369" s="6" t="s">
        <v>894</v>
      </c>
      <c r="R369" s="6" t="s">
        <v>1090</v>
      </c>
      <c r="S369" s="6" t="s">
        <v>80</v>
      </c>
    </row>
    <row r="370" spans="1:19" x14ac:dyDescent="0.25">
      <c r="B370">
        <v>0</v>
      </c>
      <c r="C370">
        <v>19.2</v>
      </c>
      <c r="G370">
        <v>0.6</v>
      </c>
      <c r="H370">
        <v>0.2</v>
      </c>
      <c r="I370">
        <f>SUM(B370:H370)</f>
        <v>20</v>
      </c>
      <c r="K370" s="77">
        <v>1</v>
      </c>
      <c r="L370" s="9">
        <f>10*B370</f>
        <v>0</v>
      </c>
      <c r="M370" s="9">
        <f t="shared" ref="M370:R370" si="18">10*C370</f>
        <v>192</v>
      </c>
      <c r="N370" s="9">
        <f t="shared" si="18"/>
        <v>0</v>
      </c>
      <c r="O370" s="9">
        <f t="shared" si="18"/>
        <v>0</v>
      </c>
      <c r="P370" s="9">
        <f t="shared" si="18"/>
        <v>0</v>
      </c>
      <c r="Q370" s="9">
        <f t="shared" si="18"/>
        <v>6</v>
      </c>
      <c r="R370" s="9">
        <f t="shared" si="18"/>
        <v>2</v>
      </c>
      <c r="S370" s="77">
        <f>SUM(L370:R370)</f>
        <v>200</v>
      </c>
    </row>
    <row r="371" spans="1:19" x14ac:dyDescent="0.25">
      <c r="B371">
        <v>9.1999999999999993</v>
      </c>
      <c r="C371">
        <v>10</v>
      </c>
      <c r="G371" s="165">
        <v>0.6</v>
      </c>
      <c r="H371" s="165">
        <v>0.2</v>
      </c>
      <c r="I371" s="165">
        <f t="shared" ref="I371:I377" si="19">SUM(B371:H371)</f>
        <v>20</v>
      </c>
      <c r="K371" s="77">
        <v>2</v>
      </c>
      <c r="L371" s="9">
        <f t="shared" ref="L371:L377" si="20">10*B371</f>
        <v>92</v>
      </c>
      <c r="M371" s="9">
        <f t="shared" ref="M371:M377" si="21">10*C371</f>
        <v>100</v>
      </c>
      <c r="N371" s="9">
        <f t="shared" ref="N371:N377" si="22">10*D371</f>
        <v>0</v>
      </c>
      <c r="O371" s="9">
        <f t="shared" ref="O371:O377" si="23">10*E371</f>
        <v>0</v>
      </c>
      <c r="P371" s="9">
        <f t="shared" ref="P371:P377" si="24">10*F371</f>
        <v>0</v>
      </c>
      <c r="Q371" s="9">
        <f t="shared" ref="Q371:Q377" si="25">10*G371</f>
        <v>6</v>
      </c>
      <c r="R371" s="9">
        <f t="shared" ref="R371:R377" si="26">10*H371</f>
        <v>2</v>
      </c>
      <c r="S371" s="77">
        <f t="shared" ref="S371:S377" si="27">SUM(L371:R371)</f>
        <v>200</v>
      </c>
    </row>
    <row r="372" spans="1:19" x14ac:dyDescent="0.25">
      <c r="B372">
        <v>14.2</v>
      </c>
      <c r="C372">
        <v>5</v>
      </c>
      <c r="G372" s="165">
        <v>0.6</v>
      </c>
      <c r="H372" s="165">
        <v>0.2</v>
      </c>
      <c r="I372" s="165">
        <f t="shared" si="19"/>
        <v>20</v>
      </c>
      <c r="K372" s="77">
        <v>3</v>
      </c>
      <c r="L372" s="9">
        <f t="shared" si="20"/>
        <v>142</v>
      </c>
      <c r="M372" s="9">
        <f t="shared" si="21"/>
        <v>50</v>
      </c>
      <c r="N372" s="9">
        <f t="shared" si="22"/>
        <v>0</v>
      </c>
      <c r="O372" s="9">
        <f t="shared" si="23"/>
        <v>0</v>
      </c>
      <c r="P372" s="9">
        <f t="shared" si="24"/>
        <v>0</v>
      </c>
      <c r="Q372" s="9">
        <f t="shared" si="25"/>
        <v>6</v>
      </c>
      <c r="R372" s="9">
        <f t="shared" si="26"/>
        <v>2</v>
      </c>
      <c r="S372" s="77">
        <f t="shared" si="27"/>
        <v>200</v>
      </c>
    </row>
    <row r="373" spans="1:19" x14ac:dyDescent="0.25">
      <c r="B373">
        <v>18.2</v>
      </c>
      <c r="C373">
        <v>1</v>
      </c>
      <c r="G373" s="165">
        <v>0.6</v>
      </c>
      <c r="H373" s="165">
        <v>0.2</v>
      </c>
      <c r="I373" s="165">
        <f t="shared" si="19"/>
        <v>20</v>
      </c>
      <c r="K373" s="77">
        <v>4</v>
      </c>
      <c r="L373" s="9">
        <f t="shared" si="20"/>
        <v>182</v>
      </c>
      <c r="M373" s="9">
        <f t="shared" si="21"/>
        <v>10</v>
      </c>
      <c r="N373" s="9">
        <f t="shared" si="22"/>
        <v>0</v>
      </c>
      <c r="O373" s="9">
        <f t="shared" si="23"/>
        <v>0</v>
      </c>
      <c r="P373" s="9">
        <f t="shared" si="24"/>
        <v>0</v>
      </c>
      <c r="Q373" s="9">
        <f t="shared" si="25"/>
        <v>6</v>
      </c>
      <c r="R373" s="9">
        <f t="shared" si="26"/>
        <v>2</v>
      </c>
      <c r="S373" s="77">
        <f t="shared" si="27"/>
        <v>200</v>
      </c>
    </row>
    <row r="374" spans="1:19" x14ac:dyDescent="0.25">
      <c r="B374">
        <v>14.2</v>
      </c>
      <c r="D374">
        <v>5</v>
      </c>
      <c r="G374" s="165">
        <v>0.6</v>
      </c>
      <c r="H374" s="165">
        <v>0.2</v>
      </c>
      <c r="I374" s="165">
        <f t="shared" si="19"/>
        <v>20</v>
      </c>
      <c r="K374" s="77">
        <v>5</v>
      </c>
      <c r="L374" s="9">
        <f t="shared" si="20"/>
        <v>142</v>
      </c>
      <c r="M374" s="9">
        <f t="shared" si="21"/>
        <v>0</v>
      </c>
      <c r="N374" s="9">
        <f t="shared" si="22"/>
        <v>50</v>
      </c>
      <c r="O374" s="9">
        <f t="shared" si="23"/>
        <v>0</v>
      </c>
      <c r="P374" s="9">
        <f t="shared" si="24"/>
        <v>0</v>
      </c>
      <c r="Q374" s="9">
        <f t="shared" si="25"/>
        <v>6</v>
      </c>
      <c r="R374" s="9">
        <f t="shared" si="26"/>
        <v>2</v>
      </c>
      <c r="S374" s="77">
        <f t="shared" si="27"/>
        <v>200</v>
      </c>
    </row>
    <row r="375" spans="1:19" x14ac:dyDescent="0.25">
      <c r="B375">
        <v>14.2</v>
      </c>
      <c r="E375">
        <v>5</v>
      </c>
      <c r="G375" s="165">
        <v>0.6</v>
      </c>
      <c r="H375" s="165">
        <v>0.2</v>
      </c>
      <c r="I375" s="165">
        <f t="shared" si="19"/>
        <v>20</v>
      </c>
      <c r="K375" s="77">
        <v>6</v>
      </c>
      <c r="L375" s="9">
        <f t="shared" si="20"/>
        <v>142</v>
      </c>
      <c r="M375" s="9">
        <f t="shared" si="21"/>
        <v>0</v>
      </c>
      <c r="N375" s="9">
        <f t="shared" si="22"/>
        <v>0</v>
      </c>
      <c r="O375" s="9">
        <f t="shared" si="23"/>
        <v>50</v>
      </c>
      <c r="P375" s="9">
        <f t="shared" si="24"/>
        <v>0</v>
      </c>
      <c r="Q375" s="9">
        <f t="shared" si="25"/>
        <v>6</v>
      </c>
      <c r="R375" s="9">
        <f t="shared" si="26"/>
        <v>2</v>
      </c>
      <c r="S375" s="77">
        <f t="shared" si="27"/>
        <v>200</v>
      </c>
    </row>
    <row r="376" spans="1:19" x14ac:dyDescent="0.25">
      <c r="B376">
        <v>17.2</v>
      </c>
      <c r="F376">
        <v>2</v>
      </c>
      <c r="G376" s="165">
        <v>0.6</v>
      </c>
      <c r="H376" s="165">
        <v>0.2</v>
      </c>
      <c r="I376" s="165">
        <f t="shared" si="19"/>
        <v>20</v>
      </c>
      <c r="K376" s="77">
        <v>7</v>
      </c>
      <c r="L376" s="9">
        <f t="shared" si="20"/>
        <v>172</v>
      </c>
      <c r="M376" s="9">
        <f t="shared" si="21"/>
        <v>0</v>
      </c>
      <c r="N376" s="9">
        <f t="shared" si="22"/>
        <v>0</v>
      </c>
      <c r="O376" s="9">
        <f t="shared" si="23"/>
        <v>0</v>
      </c>
      <c r="P376" s="9">
        <f t="shared" si="24"/>
        <v>20</v>
      </c>
      <c r="Q376" s="9">
        <f t="shared" si="25"/>
        <v>6</v>
      </c>
      <c r="R376" s="9">
        <f t="shared" si="26"/>
        <v>2</v>
      </c>
      <c r="S376" s="77">
        <f t="shared" si="27"/>
        <v>200</v>
      </c>
    </row>
    <row r="377" spans="1:19" x14ac:dyDescent="0.25">
      <c r="B377">
        <v>19.2</v>
      </c>
      <c r="G377" s="165">
        <v>0.6</v>
      </c>
      <c r="H377" s="165">
        <v>0.2</v>
      </c>
      <c r="I377" s="165">
        <f t="shared" si="19"/>
        <v>20</v>
      </c>
      <c r="K377" s="77">
        <v>8</v>
      </c>
      <c r="L377" s="9">
        <f t="shared" si="20"/>
        <v>192</v>
      </c>
      <c r="M377" s="9">
        <f t="shared" si="21"/>
        <v>0</v>
      </c>
      <c r="N377" s="9">
        <f t="shared" si="22"/>
        <v>0</v>
      </c>
      <c r="O377" s="9">
        <f t="shared" si="23"/>
        <v>0</v>
      </c>
      <c r="P377" s="9">
        <f t="shared" si="24"/>
        <v>0</v>
      </c>
      <c r="Q377" s="9">
        <f t="shared" si="25"/>
        <v>6</v>
      </c>
      <c r="R377" s="9">
        <f t="shared" si="26"/>
        <v>2</v>
      </c>
      <c r="S377" s="77">
        <f t="shared" si="27"/>
        <v>200</v>
      </c>
    </row>
    <row r="378" spans="1:19" x14ac:dyDescent="0.25">
      <c r="A378">
        <v>20210601</v>
      </c>
    </row>
    <row r="379" spans="1:19" x14ac:dyDescent="0.25">
      <c r="A379" t="s">
        <v>1147</v>
      </c>
    </row>
    <row r="380" spans="1:19" x14ac:dyDescent="0.25">
      <c r="A380" t="s">
        <v>1148</v>
      </c>
    </row>
    <row r="381" spans="1:19" x14ac:dyDescent="0.25">
      <c r="A381" t="s">
        <v>1149</v>
      </c>
    </row>
    <row r="383" spans="1:19" ht="15.75" thickBot="1" x14ac:dyDescent="0.3"/>
    <row r="384" spans="1:19" x14ac:dyDescent="0.25">
      <c r="A384" s="195" t="s">
        <v>822</v>
      </c>
      <c r="B384" s="196"/>
      <c r="C384" s="196"/>
      <c r="D384" s="78" t="s">
        <v>125</v>
      </c>
      <c r="E384" s="79"/>
      <c r="F384" s="79"/>
      <c r="G384" s="80">
        <v>500</v>
      </c>
      <c r="H384" s="81"/>
    </row>
    <row r="385" spans="1:8" ht="15.75" thickBot="1" x14ac:dyDescent="0.3">
      <c r="A385" s="197" t="s">
        <v>126</v>
      </c>
      <c r="B385" s="196"/>
      <c r="C385" s="196"/>
      <c r="D385" s="307" t="s">
        <v>127</v>
      </c>
      <c r="E385" s="307"/>
      <c r="F385" s="307"/>
      <c r="G385" s="170">
        <v>0.05</v>
      </c>
      <c r="H385" s="173"/>
    </row>
    <row r="386" spans="1:8" x14ac:dyDescent="0.25">
      <c r="A386" s="196" t="s">
        <v>136</v>
      </c>
      <c r="B386" s="196">
        <v>25</v>
      </c>
      <c r="C386" s="196" t="s">
        <v>137</v>
      </c>
      <c r="D386" s="31"/>
      <c r="E386" s="320"/>
      <c r="F386" s="321"/>
      <c r="G386" s="321"/>
      <c r="H386" s="198"/>
    </row>
    <row r="387" spans="1:8" x14ac:dyDescent="0.25">
      <c r="A387" s="196" t="s">
        <v>138</v>
      </c>
      <c r="B387" s="196">
        <v>1000</v>
      </c>
      <c r="C387" s="196" t="s">
        <v>137</v>
      </c>
      <c r="D387" s="199"/>
      <c r="E387" s="31"/>
      <c r="F387" s="200"/>
      <c r="G387" s="201"/>
      <c r="H387" s="200"/>
    </row>
    <row r="388" spans="1:8" x14ac:dyDescent="0.25">
      <c r="A388" s="196" t="s">
        <v>139</v>
      </c>
      <c r="B388" s="196">
        <v>50</v>
      </c>
      <c r="C388" s="196" t="s">
        <v>140</v>
      </c>
      <c r="D388" s="31"/>
      <c r="E388" s="31"/>
      <c r="F388" s="200"/>
      <c r="G388" s="201"/>
      <c r="H388" s="200"/>
    </row>
    <row r="389" spans="1:8" x14ac:dyDescent="0.25">
      <c r="A389" s="196" t="s">
        <v>142</v>
      </c>
      <c r="B389" s="196">
        <v>50</v>
      </c>
      <c r="C389" s="196" t="s">
        <v>143</v>
      </c>
      <c r="D389" s="31"/>
      <c r="E389" s="31"/>
      <c r="F389" s="200"/>
      <c r="G389" s="201"/>
      <c r="H389" s="200"/>
    </row>
    <row r="390" spans="1:8" x14ac:dyDescent="0.25">
      <c r="A390" s="196" t="s">
        <v>144</v>
      </c>
      <c r="B390" s="196">
        <v>20</v>
      </c>
      <c r="C390" s="196" t="s">
        <v>145</v>
      </c>
      <c r="D390" s="199"/>
      <c r="E390" s="31"/>
      <c r="F390" s="200"/>
      <c r="G390" s="201"/>
      <c r="H390" s="200"/>
    </row>
    <row r="391" spans="1:8" x14ac:dyDescent="0.25">
      <c r="A391" s="196" t="s">
        <v>146</v>
      </c>
      <c r="B391" s="196">
        <v>10</v>
      </c>
      <c r="C391" s="196" t="s">
        <v>147</v>
      </c>
      <c r="D391" s="199"/>
      <c r="E391" s="31"/>
      <c r="F391" s="200"/>
      <c r="G391" s="201"/>
      <c r="H391" s="200"/>
    </row>
    <row r="392" spans="1:8" ht="30" x14ac:dyDescent="0.25">
      <c r="A392" s="202" t="s">
        <v>148</v>
      </c>
      <c r="B392" s="196">
        <v>45</v>
      </c>
      <c r="C392" s="196" t="s">
        <v>143</v>
      </c>
      <c r="D392" s="31"/>
      <c r="E392" s="31"/>
      <c r="F392" s="200"/>
      <c r="G392" s="201"/>
      <c r="H392" s="200"/>
    </row>
    <row r="393" spans="1:8" x14ac:dyDescent="0.25">
      <c r="A393" s="196" t="s">
        <v>149</v>
      </c>
      <c r="B393" s="196">
        <v>25</v>
      </c>
      <c r="C393" s="196" t="s">
        <v>143</v>
      </c>
      <c r="D393" s="31"/>
      <c r="E393" s="31"/>
      <c r="F393" s="31"/>
      <c r="G393" s="203"/>
      <c r="H393" s="31"/>
    </row>
    <row r="394" spans="1:8" x14ac:dyDescent="0.25">
      <c r="A394" s="196" t="s">
        <v>929</v>
      </c>
      <c r="B394" s="196">
        <v>100</v>
      </c>
      <c r="C394" s="196" t="s">
        <v>27</v>
      </c>
      <c r="D394" s="31"/>
      <c r="E394" s="31"/>
      <c r="F394" s="31"/>
      <c r="G394" s="203"/>
      <c r="H394" s="31"/>
    </row>
    <row r="395" spans="1:8" x14ac:dyDescent="0.25">
      <c r="A395" s="196" t="s">
        <v>931</v>
      </c>
      <c r="B395" s="196">
        <v>100</v>
      </c>
      <c r="C395" s="196" t="s">
        <v>27</v>
      </c>
      <c r="D395" s="31"/>
      <c r="E395" s="31"/>
      <c r="F395" s="31"/>
      <c r="G395" s="203"/>
      <c r="H395" s="31"/>
    </row>
    <row r="396" spans="1:8" x14ac:dyDescent="0.25">
      <c r="A396" s="196" t="s">
        <v>969</v>
      </c>
      <c r="B396" s="196">
        <v>100</v>
      </c>
      <c r="C396" s="196" t="s">
        <v>27</v>
      </c>
      <c r="D396" s="31"/>
      <c r="E396" s="31"/>
      <c r="F396" s="31"/>
      <c r="G396" s="203"/>
      <c r="H396" s="31"/>
    </row>
    <row r="397" spans="1:8" x14ac:dyDescent="0.25">
      <c r="A397" s="196" t="s">
        <v>894</v>
      </c>
      <c r="B397" s="196">
        <v>10</v>
      </c>
      <c r="C397" s="196" t="s">
        <v>27</v>
      </c>
      <c r="D397" s="31"/>
      <c r="E397" s="31"/>
      <c r="F397" s="31"/>
      <c r="G397" s="203"/>
      <c r="H397" s="31"/>
    </row>
    <row r="398" spans="1:8" x14ac:dyDescent="0.25">
      <c r="A398" s="196" t="s">
        <v>115</v>
      </c>
      <c r="B398" s="196">
        <v>100</v>
      </c>
      <c r="C398" s="196" t="s">
        <v>27</v>
      </c>
      <c r="D398" s="31"/>
      <c r="E398" s="31"/>
      <c r="F398" s="31"/>
      <c r="G398" s="203"/>
      <c r="H398" s="31"/>
    </row>
    <row r="399" spans="1:8" x14ac:dyDescent="0.25">
      <c r="A399" s="196" t="s">
        <v>116</v>
      </c>
      <c r="B399" s="196">
        <v>100</v>
      </c>
      <c r="C399" s="196" t="s">
        <v>27</v>
      </c>
      <c r="D399" s="31"/>
      <c r="E399" s="31"/>
      <c r="F399" s="31"/>
      <c r="G399" s="203"/>
      <c r="H399" s="31"/>
    </row>
    <row r="400" spans="1:8" x14ac:dyDescent="0.25">
      <c r="A400" s="196" t="s">
        <v>1150</v>
      </c>
      <c r="B400" s="204">
        <v>10000</v>
      </c>
      <c r="C400" s="196" t="s">
        <v>1127</v>
      </c>
      <c r="D400" s="31"/>
      <c r="E400" s="31"/>
      <c r="F400" s="31"/>
      <c r="G400" s="203"/>
      <c r="H400" s="31"/>
    </row>
    <row r="401" spans="1:8" s="165" customFormat="1" x14ac:dyDescent="0.25">
      <c r="A401" s="205"/>
      <c r="B401" s="31"/>
      <c r="C401" s="31"/>
      <c r="D401" s="31"/>
      <c r="E401" s="31"/>
      <c r="F401" s="31"/>
      <c r="G401" s="203"/>
      <c r="H401" s="31"/>
    </row>
    <row r="402" spans="1:8" ht="15.75" thickBot="1" x14ac:dyDescent="0.3">
      <c r="A402" s="205"/>
      <c r="B402" s="31"/>
      <c r="C402" s="31"/>
      <c r="D402" s="31"/>
      <c r="E402" s="31"/>
      <c r="F402" s="31"/>
      <c r="G402" s="203"/>
      <c r="H402" s="31"/>
    </row>
    <row r="403" spans="1:8" x14ac:dyDescent="0.25">
      <c r="A403" s="206" t="s">
        <v>50</v>
      </c>
      <c r="B403" s="79" t="s">
        <v>74</v>
      </c>
      <c r="C403" s="79"/>
      <c r="D403" s="79" t="s">
        <v>150</v>
      </c>
      <c r="E403" s="79"/>
      <c r="F403" s="322" t="s">
        <v>151</v>
      </c>
      <c r="G403" s="323"/>
      <c r="H403" s="31"/>
    </row>
    <row r="404" spans="1:8" x14ac:dyDescent="0.25">
      <c r="A404" s="207" t="s">
        <v>136</v>
      </c>
      <c r="B404" s="208">
        <v>0.25</v>
      </c>
      <c r="C404" s="208" t="s">
        <v>137</v>
      </c>
      <c r="D404" s="209">
        <f>32*B404/B386</f>
        <v>0.32</v>
      </c>
      <c r="E404" s="210" t="s">
        <v>56</v>
      </c>
      <c r="F404" s="209">
        <f>D404*$G$384*(1+$G$385)</f>
        <v>168</v>
      </c>
      <c r="G404" s="211" t="str">
        <f t="shared" ref="G404:G419" si="28">E404</f>
        <v>uL</v>
      </c>
      <c r="H404" s="31"/>
    </row>
    <row r="405" spans="1:8" x14ac:dyDescent="0.25">
      <c r="A405" s="207" t="s">
        <v>139</v>
      </c>
      <c r="B405" s="208">
        <v>2.5</v>
      </c>
      <c r="C405" s="208" t="s">
        <v>52</v>
      </c>
      <c r="D405" s="209">
        <f>B405/B388</f>
        <v>0.05</v>
      </c>
      <c r="E405" s="210" t="s">
        <v>56</v>
      </c>
      <c r="F405" s="209">
        <f t="shared" ref="F405:F420" si="29">D405*$G$1*(1+$G$2)</f>
        <v>0</v>
      </c>
      <c r="G405" s="211" t="str">
        <f t="shared" si="28"/>
        <v>uL</v>
      </c>
      <c r="H405" s="31"/>
    </row>
    <row r="406" spans="1:8" x14ac:dyDescent="0.25">
      <c r="A406" s="207" t="s">
        <v>138</v>
      </c>
      <c r="B406" s="208">
        <v>3.5</v>
      </c>
      <c r="C406" s="208" t="s">
        <v>137</v>
      </c>
      <c r="D406" s="209">
        <f>(20*(B406/B387))</f>
        <v>7.0000000000000007E-2</v>
      </c>
      <c r="E406" s="210" t="s">
        <v>56</v>
      </c>
      <c r="F406" s="209">
        <f t="shared" si="29"/>
        <v>0</v>
      </c>
      <c r="G406" s="211" t="str">
        <f t="shared" si="28"/>
        <v>uL</v>
      </c>
      <c r="H406" s="31"/>
    </row>
    <row r="407" spans="1:8" x14ac:dyDescent="0.25">
      <c r="A407" s="207" t="s">
        <v>142</v>
      </c>
      <c r="B407" s="208">
        <v>10</v>
      </c>
      <c r="C407" s="208" t="s">
        <v>143</v>
      </c>
      <c r="D407" s="209">
        <f>20*B407/B389</f>
        <v>4</v>
      </c>
      <c r="E407" s="210" t="s">
        <v>56</v>
      </c>
      <c r="F407" s="209">
        <f t="shared" si="29"/>
        <v>0</v>
      </c>
      <c r="G407" s="211" t="str">
        <f t="shared" si="28"/>
        <v>uL</v>
      </c>
      <c r="H407" s="31"/>
    </row>
    <row r="408" spans="1:8" x14ac:dyDescent="0.25">
      <c r="A408" s="207" t="s">
        <v>144</v>
      </c>
      <c r="B408" s="208">
        <v>0.5</v>
      </c>
      <c r="C408" s="208" t="s">
        <v>145</v>
      </c>
      <c r="D408" s="209">
        <f>20*B408/B390</f>
        <v>0.5</v>
      </c>
      <c r="E408" s="210" t="s">
        <v>56</v>
      </c>
      <c r="F408" s="209">
        <f t="shared" si="29"/>
        <v>0</v>
      </c>
      <c r="G408" s="211" t="str">
        <f t="shared" si="28"/>
        <v>uL</v>
      </c>
      <c r="H408" s="31"/>
    </row>
    <row r="409" spans="1:8" x14ac:dyDescent="0.25">
      <c r="A409" s="207" t="s">
        <v>159</v>
      </c>
      <c r="B409" s="208">
        <v>1</v>
      </c>
      <c r="C409" s="208" t="s">
        <v>147</v>
      </c>
      <c r="D409" s="209">
        <f>20*B409/B391</f>
        <v>2</v>
      </c>
      <c r="E409" s="210" t="s">
        <v>56</v>
      </c>
      <c r="F409" s="209">
        <f t="shared" si="29"/>
        <v>0</v>
      </c>
      <c r="G409" s="211" t="str">
        <f t="shared" si="28"/>
        <v>uL</v>
      </c>
      <c r="H409" s="31"/>
    </row>
    <row r="410" spans="1:8" x14ac:dyDescent="0.25">
      <c r="A410" s="207" t="s">
        <v>148</v>
      </c>
      <c r="B410" s="208">
        <v>5</v>
      </c>
      <c r="C410" s="208" t="s">
        <v>143</v>
      </c>
      <c r="D410" s="209">
        <f>20*B410/B392</f>
        <v>2.2222222222222223</v>
      </c>
      <c r="E410" s="210" t="s">
        <v>56</v>
      </c>
      <c r="F410" s="209">
        <f t="shared" si="29"/>
        <v>0</v>
      </c>
      <c r="G410" s="211" t="str">
        <f t="shared" si="28"/>
        <v>uL</v>
      </c>
      <c r="H410" s="31"/>
    </row>
    <row r="411" spans="1:8" x14ac:dyDescent="0.25">
      <c r="A411" s="205" t="s">
        <v>823</v>
      </c>
      <c r="B411" s="31">
        <v>3</v>
      </c>
      <c r="C411" s="31" t="s">
        <v>143</v>
      </c>
      <c r="D411" s="203">
        <f t="shared" ref="D411:D417" si="30">B411*20/B393</f>
        <v>2.4</v>
      </c>
      <c r="E411" s="212" t="s">
        <v>56</v>
      </c>
      <c r="F411" s="213">
        <f t="shared" si="29"/>
        <v>0</v>
      </c>
      <c r="G411" s="214" t="str">
        <f t="shared" si="28"/>
        <v>uL</v>
      </c>
      <c r="H411" s="31"/>
    </row>
    <row r="412" spans="1:8" x14ac:dyDescent="0.25">
      <c r="A412" s="215" t="s">
        <v>929</v>
      </c>
      <c r="B412" s="208">
        <v>0.4</v>
      </c>
      <c r="C412" s="208" t="s">
        <v>27</v>
      </c>
      <c r="D412" s="209">
        <f t="shared" si="30"/>
        <v>0.08</v>
      </c>
      <c r="E412" s="210" t="s">
        <v>56</v>
      </c>
      <c r="F412" s="209">
        <f t="shared" si="29"/>
        <v>0</v>
      </c>
      <c r="G412" s="211" t="str">
        <f t="shared" si="28"/>
        <v>uL</v>
      </c>
      <c r="H412" s="31"/>
    </row>
    <row r="413" spans="1:8" x14ac:dyDescent="0.25">
      <c r="A413" s="215" t="s">
        <v>931</v>
      </c>
      <c r="B413" s="208">
        <v>0.4</v>
      </c>
      <c r="C413" s="208" t="s">
        <v>27</v>
      </c>
      <c r="D413" s="209">
        <f t="shared" si="30"/>
        <v>0.08</v>
      </c>
      <c r="E413" s="210" t="s">
        <v>56</v>
      </c>
      <c r="F413" s="209">
        <f t="shared" si="29"/>
        <v>0</v>
      </c>
      <c r="G413" s="211" t="str">
        <f t="shared" si="28"/>
        <v>uL</v>
      </c>
      <c r="H413" s="31"/>
    </row>
    <row r="414" spans="1:8" x14ac:dyDescent="0.25">
      <c r="A414" s="215" t="s">
        <v>969</v>
      </c>
      <c r="B414" s="208">
        <v>0.5</v>
      </c>
      <c r="C414" s="208" t="s">
        <v>27</v>
      </c>
      <c r="D414" s="209">
        <f t="shared" si="30"/>
        <v>0.1</v>
      </c>
      <c r="E414" s="210" t="s">
        <v>56</v>
      </c>
      <c r="F414" s="209">
        <f t="shared" si="29"/>
        <v>0</v>
      </c>
      <c r="G414" s="211" t="str">
        <f t="shared" si="28"/>
        <v>uL</v>
      </c>
      <c r="H414" s="31"/>
    </row>
    <row r="415" spans="1:8" x14ac:dyDescent="0.25">
      <c r="A415" s="207" t="s">
        <v>894</v>
      </c>
      <c r="B415" s="208">
        <v>0.3</v>
      </c>
      <c r="C415" s="208" t="s">
        <v>27</v>
      </c>
      <c r="D415" s="216">
        <f t="shared" si="30"/>
        <v>0.6</v>
      </c>
      <c r="E415" s="210" t="s">
        <v>56</v>
      </c>
      <c r="F415" s="209">
        <f t="shared" si="29"/>
        <v>0</v>
      </c>
      <c r="G415" s="211" t="str">
        <f t="shared" si="28"/>
        <v>uL</v>
      </c>
      <c r="H415" s="31"/>
    </row>
    <row r="416" spans="1:8" x14ac:dyDescent="0.25">
      <c r="A416" s="207" t="s">
        <v>115</v>
      </c>
      <c r="B416" s="208">
        <v>0.3</v>
      </c>
      <c r="C416" s="208" t="s">
        <v>27</v>
      </c>
      <c r="D416" s="209">
        <f t="shared" si="30"/>
        <v>0.06</v>
      </c>
      <c r="E416" s="210" t="s">
        <v>56</v>
      </c>
      <c r="F416" s="209">
        <f t="shared" si="29"/>
        <v>0</v>
      </c>
      <c r="G416" s="211" t="str">
        <f t="shared" si="28"/>
        <v>uL</v>
      </c>
      <c r="H416" s="31"/>
    </row>
    <row r="417" spans="1:8" x14ac:dyDescent="0.25">
      <c r="A417" s="207" t="s">
        <v>116</v>
      </c>
      <c r="B417" s="208">
        <v>0.25</v>
      </c>
      <c r="C417" s="208" t="s">
        <v>27</v>
      </c>
      <c r="D417" s="209">
        <f t="shared" si="30"/>
        <v>0.05</v>
      </c>
      <c r="E417" s="210" t="s">
        <v>56</v>
      </c>
      <c r="F417" s="209">
        <f t="shared" si="29"/>
        <v>0</v>
      </c>
      <c r="G417" s="211" t="str">
        <f t="shared" si="28"/>
        <v>uL</v>
      </c>
      <c r="H417" s="31"/>
    </row>
    <row r="418" spans="1:8" x14ac:dyDescent="0.25">
      <c r="A418" s="207" t="s">
        <v>886</v>
      </c>
      <c r="B418" s="217">
        <v>10000</v>
      </c>
      <c r="C418" s="208" t="s">
        <v>1127</v>
      </c>
      <c r="D418" s="216">
        <v>0.2</v>
      </c>
      <c r="E418" s="210" t="s">
        <v>56</v>
      </c>
      <c r="F418" s="209">
        <f t="shared" si="29"/>
        <v>0</v>
      </c>
      <c r="G418" s="211" t="str">
        <f t="shared" si="28"/>
        <v>uL</v>
      </c>
      <c r="H418" s="31"/>
    </row>
    <row r="419" spans="1:8" ht="15.75" thickBot="1" x14ac:dyDescent="0.3">
      <c r="A419" s="218" t="s">
        <v>161</v>
      </c>
      <c r="B419" s="34"/>
      <c r="C419" s="34"/>
      <c r="D419" s="219">
        <v>0</v>
      </c>
      <c r="E419" s="220" t="s">
        <v>56</v>
      </c>
      <c r="F419" s="221">
        <f t="shared" si="29"/>
        <v>0</v>
      </c>
      <c r="G419" s="222" t="str">
        <f t="shared" si="28"/>
        <v>uL</v>
      </c>
      <c r="H419" s="31"/>
    </row>
    <row r="420" spans="1:8" x14ac:dyDescent="0.25">
      <c r="A420" s="31"/>
      <c r="B420" s="31"/>
      <c r="C420" s="199" t="s">
        <v>162</v>
      </c>
      <c r="D420" s="223">
        <f>SUM(D404:D419)</f>
        <v>12.732222222222223</v>
      </c>
      <c r="E420" s="199" t="s">
        <v>56</v>
      </c>
      <c r="F420" s="224">
        <f t="shared" si="29"/>
        <v>0</v>
      </c>
      <c r="G420" s="199" t="s">
        <v>56</v>
      </c>
      <c r="H420" s="31"/>
    </row>
    <row r="423" spans="1:8" x14ac:dyDescent="0.25">
      <c r="A423">
        <v>20210610</v>
      </c>
    </row>
    <row r="424" spans="1:8" x14ac:dyDescent="0.25">
      <c r="A424" t="s">
        <v>1186</v>
      </c>
    </row>
    <row r="425" spans="1:8" x14ac:dyDescent="0.25">
      <c r="A425" t="s">
        <v>1187</v>
      </c>
    </row>
    <row r="426" spans="1:8" x14ac:dyDescent="0.25">
      <c r="A426" t="s">
        <v>1188</v>
      </c>
    </row>
    <row r="427" spans="1:8" x14ac:dyDescent="0.25">
      <c r="A427" s="165" t="s">
        <v>1189</v>
      </c>
    </row>
    <row r="428" spans="1:8" x14ac:dyDescent="0.25">
      <c r="A428" s="165" t="s">
        <v>1190</v>
      </c>
    </row>
    <row r="429" spans="1:8" x14ac:dyDescent="0.25">
      <c r="A429" s="165" t="s">
        <v>1191</v>
      </c>
    </row>
    <row r="430" spans="1:8" x14ac:dyDescent="0.25">
      <c r="A430" s="165" t="s">
        <v>1192</v>
      </c>
    </row>
    <row r="431" spans="1:8" x14ac:dyDescent="0.25">
      <c r="A431" t="s">
        <v>1193</v>
      </c>
    </row>
    <row r="432" spans="1:8" ht="15.75" thickBot="1" x14ac:dyDescent="0.3"/>
    <row r="433" spans="1:5" x14ac:dyDescent="0.25">
      <c r="A433" s="91" t="s">
        <v>50</v>
      </c>
      <c r="B433" s="92" t="s">
        <v>74</v>
      </c>
      <c r="C433" s="92" t="s">
        <v>52</v>
      </c>
      <c r="D433" s="92" t="s">
        <v>75</v>
      </c>
      <c r="E433" s="93">
        <v>24</v>
      </c>
    </row>
    <row r="434" spans="1:5" x14ac:dyDescent="0.25">
      <c r="A434" s="94" t="s">
        <v>76</v>
      </c>
      <c r="B434" s="95"/>
      <c r="C434" s="95"/>
      <c r="D434" s="96">
        <v>0</v>
      </c>
      <c r="E434" s="96">
        <f>D434*$E$433</f>
        <v>0</v>
      </c>
    </row>
    <row r="435" spans="1:5" x14ac:dyDescent="0.25">
      <c r="A435" s="165" t="s">
        <v>1194</v>
      </c>
      <c r="B435" s="95"/>
      <c r="C435" s="95"/>
      <c r="D435" s="96">
        <v>2</v>
      </c>
      <c r="E435" s="96">
        <f t="shared" ref="E435:E437" si="31">D435*$E$433</f>
        <v>48</v>
      </c>
    </row>
    <row r="436" spans="1:5" x14ac:dyDescent="0.25">
      <c r="A436" s="104" t="s">
        <v>79</v>
      </c>
      <c r="B436" s="95"/>
      <c r="C436" s="95"/>
      <c r="D436" s="96">
        <v>18</v>
      </c>
      <c r="E436" s="96">
        <f t="shared" si="31"/>
        <v>432</v>
      </c>
    </row>
    <row r="437" spans="1:5" ht="15.75" thickBot="1" x14ac:dyDescent="0.3">
      <c r="A437" s="97" t="s">
        <v>80</v>
      </c>
      <c r="B437" s="98"/>
      <c r="C437" s="98"/>
      <c r="D437" s="99">
        <f>SUM(D434:D436)</f>
        <v>20</v>
      </c>
      <c r="E437" s="96">
        <f t="shared" si="31"/>
        <v>480</v>
      </c>
    </row>
  </sheetData>
  <sortState xmlns:xlrd2="http://schemas.microsoft.com/office/spreadsheetml/2017/richdata2" ref="W104:AF199">
    <sortCondition ref="W104:W199"/>
    <sortCondition ref="X104:X199"/>
  </sortState>
  <mergeCells count="10">
    <mergeCell ref="D385:F385"/>
    <mergeCell ref="E386:G386"/>
    <mergeCell ref="F403:G403"/>
    <mergeCell ref="A44:K44"/>
    <mergeCell ref="D5:F5"/>
    <mergeCell ref="E6:G6"/>
    <mergeCell ref="F21:G21"/>
    <mergeCell ref="A41:K41"/>
    <mergeCell ref="A42:K42"/>
    <mergeCell ref="A43:K43"/>
  </mergeCells>
  <phoneticPr fontId="12" type="noConversion"/>
  <conditionalFormatting sqref="L370:R37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1F386-D347-47AB-AD55-2782A99E4B9B}">
  <sheetPr codeName="Sheet27"/>
  <dimension ref="A3:J25"/>
  <sheetViews>
    <sheetView topLeftCell="D1" workbookViewId="0">
      <selection activeCell="E26" sqref="E26"/>
    </sheetView>
  </sheetViews>
  <sheetFormatPr defaultRowHeight="15" x14ac:dyDescent="0.25"/>
  <cols>
    <col min="1" max="1" width="14.5703125" bestFit="1" customWidth="1"/>
    <col min="2" max="2" width="16.28515625" bestFit="1" customWidth="1"/>
    <col min="3" max="3" width="7" bestFit="1" customWidth="1"/>
    <col min="4" max="4" width="8" bestFit="1" customWidth="1"/>
    <col min="5" max="5" width="7" bestFit="1" customWidth="1"/>
    <col min="6" max="9" width="8" bestFit="1" customWidth="1"/>
    <col min="10" max="10" width="11.28515625" bestFit="1" customWidth="1"/>
  </cols>
  <sheetData>
    <row r="3" spans="1:10" x14ac:dyDescent="0.25">
      <c r="A3" s="177" t="s">
        <v>1054</v>
      </c>
      <c r="B3" s="177" t="s">
        <v>1053</v>
      </c>
    </row>
    <row r="4" spans="1:10" x14ac:dyDescent="0.25">
      <c r="A4" s="177" t="s">
        <v>1052</v>
      </c>
      <c r="B4" s="165">
        <v>1</v>
      </c>
      <c r="C4" s="165">
        <v>2</v>
      </c>
      <c r="D4" s="165">
        <v>3</v>
      </c>
      <c r="E4" s="165">
        <v>4</v>
      </c>
      <c r="F4" s="165">
        <v>5</v>
      </c>
      <c r="G4" s="165">
        <v>6</v>
      </c>
      <c r="H4" s="165">
        <v>7</v>
      </c>
      <c r="I4" s="165">
        <v>8</v>
      </c>
      <c r="J4" s="165" t="s">
        <v>923</v>
      </c>
    </row>
    <row r="5" spans="1:10" x14ac:dyDescent="0.25">
      <c r="A5" s="88" t="s">
        <v>210</v>
      </c>
      <c r="B5" s="157">
        <v>35.58</v>
      </c>
      <c r="C5" s="157">
        <v>69.39</v>
      </c>
      <c r="D5" s="157">
        <v>66.064999999999998</v>
      </c>
      <c r="E5" s="157">
        <v>86.509999999999991</v>
      </c>
      <c r="F5" s="157">
        <v>85.97</v>
      </c>
      <c r="G5" s="157">
        <v>89.11</v>
      </c>
      <c r="H5" s="157">
        <v>94.81</v>
      </c>
      <c r="I5" s="157">
        <v>56.33</v>
      </c>
      <c r="J5" s="157">
        <v>583.76499999999999</v>
      </c>
    </row>
    <row r="6" spans="1:10" x14ac:dyDescent="0.25">
      <c r="A6" s="178" t="s">
        <v>1046</v>
      </c>
      <c r="B6" s="157">
        <v>11.280000000000001</v>
      </c>
      <c r="C6" s="157">
        <v>22.934999999999999</v>
      </c>
      <c r="D6" s="157">
        <v>22.074999999999999</v>
      </c>
      <c r="E6" s="157">
        <v>29.174999999999997</v>
      </c>
      <c r="F6" s="157">
        <v>28.685000000000002</v>
      </c>
      <c r="G6" s="157">
        <v>29.564999999999998</v>
      </c>
      <c r="H6" s="157">
        <v>30.5</v>
      </c>
      <c r="I6" s="157">
        <v>18.37</v>
      </c>
      <c r="J6" s="157">
        <v>192.58500000000001</v>
      </c>
    </row>
    <row r="7" spans="1:10" x14ac:dyDescent="0.25">
      <c r="A7" s="178" t="s">
        <v>1043</v>
      </c>
      <c r="B7" s="157">
        <v>11.815</v>
      </c>
      <c r="C7" s="157">
        <v>23.880000000000003</v>
      </c>
      <c r="D7" s="157">
        <v>22.45</v>
      </c>
      <c r="E7" s="157">
        <v>28.515000000000001</v>
      </c>
      <c r="F7" s="157">
        <v>29.060000000000002</v>
      </c>
      <c r="G7" s="157">
        <v>30.375</v>
      </c>
      <c r="H7" s="157">
        <v>31.970000000000002</v>
      </c>
      <c r="I7" s="157">
        <v>0</v>
      </c>
      <c r="J7" s="157">
        <v>178.065</v>
      </c>
    </row>
    <row r="8" spans="1:10" x14ac:dyDescent="0.25">
      <c r="A8" s="178" t="s">
        <v>982</v>
      </c>
      <c r="B8" s="157">
        <v>12.484999999999999</v>
      </c>
      <c r="C8" s="157">
        <v>22.574999999999999</v>
      </c>
      <c r="D8" s="157">
        <v>21.54</v>
      </c>
      <c r="E8" s="157">
        <v>28.82</v>
      </c>
      <c r="F8" s="157">
        <v>28.225000000000001</v>
      </c>
      <c r="G8" s="157">
        <v>29.17</v>
      </c>
      <c r="H8" s="157">
        <v>32.340000000000003</v>
      </c>
      <c r="I8" s="157">
        <v>37.96</v>
      </c>
      <c r="J8" s="157">
        <v>213.11500000000001</v>
      </c>
    </row>
    <row r="9" spans="1:10" x14ac:dyDescent="0.25">
      <c r="A9" s="88" t="s">
        <v>809</v>
      </c>
      <c r="B9" s="157">
        <v>115.23</v>
      </c>
      <c r="C9" s="157">
        <v>113.44</v>
      </c>
      <c r="D9" s="157">
        <v>116.58</v>
      </c>
      <c r="E9" s="157">
        <v>108.78</v>
      </c>
      <c r="F9" s="157">
        <v>107.46499999999999</v>
      </c>
      <c r="G9" s="157">
        <v>108.315</v>
      </c>
      <c r="H9" s="157">
        <v>106.76499999999999</v>
      </c>
      <c r="I9" s="157">
        <v>68.784999999999997</v>
      </c>
      <c r="J9" s="157">
        <v>845.3599999999999</v>
      </c>
    </row>
    <row r="10" spans="1:10" x14ac:dyDescent="0.25">
      <c r="A10" s="178" t="s">
        <v>1046</v>
      </c>
      <c r="B10" s="157">
        <v>38.93</v>
      </c>
      <c r="C10" s="157">
        <v>39.155000000000001</v>
      </c>
      <c r="D10" s="157">
        <v>39.120000000000005</v>
      </c>
      <c r="E10" s="157">
        <v>36.745000000000005</v>
      </c>
      <c r="F10" s="157">
        <v>37.894999999999996</v>
      </c>
      <c r="G10" s="157">
        <v>38.120000000000005</v>
      </c>
      <c r="H10" s="157">
        <v>35.314999999999998</v>
      </c>
      <c r="I10" s="157">
        <v>34.799999999999997</v>
      </c>
      <c r="J10" s="157">
        <v>300.08000000000004</v>
      </c>
    </row>
    <row r="11" spans="1:10" x14ac:dyDescent="0.25">
      <c r="A11" s="178" t="s">
        <v>1043</v>
      </c>
      <c r="B11" s="157">
        <v>35.49</v>
      </c>
      <c r="C11" s="157">
        <v>36.19</v>
      </c>
      <c r="D11" s="157">
        <v>36</v>
      </c>
      <c r="E11" s="157">
        <v>33.295000000000002</v>
      </c>
      <c r="F11" s="157">
        <v>33.65</v>
      </c>
      <c r="G11" s="157">
        <v>33.51</v>
      </c>
      <c r="H11" s="157">
        <v>34.57</v>
      </c>
      <c r="I11" s="157">
        <v>33.984999999999999</v>
      </c>
      <c r="J11" s="157">
        <v>276.69</v>
      </c>
    </row>
    <row r="12" spans="1:10" x14ac:dyDescent="0.25">
      <c r="A12" s="178" t="s">
        <v>982</v>
      </c>
      <c r="B12" s="157">
        <v>40.81</v>
      </c>
      <c r="C12" s="157">
        <v>38.094999999999999</v>
      </c>
      <c r="D12" s="157">
        <v>41.459999999999994</v>
      </c>
      <c r="E12" s="157">
        <v>38.74</v>
      </c>
      <c r="F12" s="157">
        <v>35.92</v>
      </c>
      <c r="G12" s="157">
        <v>36.685000000000002</v>
      </c>
      <c r="H12" s="157">
        <v>36.879999999999995</v>
      </c>
      <c r="I12" s="157">
        <v>0</v>
      </c>
      <c r="J12" s="157">
        <v>268.58999999999997</v>
      </c>
    </row>
    <row r="13" spans="1:10" x14ac:dyDescent="0.25">
      <c r="A13" s="88" t="s">
        <v>923</v>
      </c>
      <c r="B13" s="157">
        <v>150.81</v>
      </c>
      <c r="C13" s="157">
        <v>182.83</v>
      </c>
      <c r="D13" s="157">
        <v>182.64499999999998</v>
      </c>
      <c r="E13" s="157">
        <v>195.29000000000002</v>
      </c>
      <c r="F13" s="157">
        <v>193.435</v>
      </c>
      <c r="G13" s="157">
        <v>197.42500000000001</v>
      </c>
      <c r="H13" s="157">
        <v>201.57499999999999</v>
      </c>
      <c r="I13" s="157">
        <v>125.11499999999999</v>
      </c>
      <c r="J13" s="157">
        <v>1429.125</v>
      </c>
    </row>
    <row r="23" spans="5:5" x14ac:dyDescent="0.25">
      <c r="E23" t="s">
        <v>1181</v>
      </c>
    </row>
    <row r="24" spans="5:5" x14ac:dyDescent="0.25">
      <c r="E24" t="s">
        <v>1182</v>
      </c>
    </row>
    <row r="25" spans="5:5" x14ac:dyDescent="0.25">
      <c r="E25" t="s">
        <v>1183</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F17CA-D63D-4C36-8586-5165682E255B}">
  <sheetPr codeName="Sheet28"/>
  <dimension ref="A1:Q97"/>
  <sheetViews>
    <sheetView topLeftCell="A4" zoomScale="85" zoomScaleNormal="85" workbookViewId="0">
      <selection activeCell="S31" sqref="S31"/>
    </sheetView>
  </sheetViews>
  <sheetFormatPr defaultColWidth="9.140625" defaultRowHeight="15" x14ac:dyDescent="0.25"/>
  <cols>
    <col min="1" max="8" width="9.140625" style="165"/>
    <col min="9" max="9" width="12" style="165" customWidth="1"/>
    <col min="10" max="11" width="9.140625" style="165"/>
    <col min="12" max="12" width="10" style="165" bestFit="1" customWidth="1"/>
    <col min="13" max="13" width="9.140625" style="165" customWidth="1"/>
    <col min="14" max="16384" width="9.140625" style="165"/>
  </cols>
  <sheetData>
    <row r="1" spans="1:17" x14ac:dyDescent="0.25">
      <c r="A1" s="165" t="s">
        <v>198</v>
      </c>
      <c r="B1" s="165" t="s">
        <v>199</v>
      </c>
      <c r="C1" s="165" t="s">
        <v>200</v>
      </c>
      <c r="D1" s="165" t="s">
        <v>201</v>
      </c>
      <c r="E1" s="165" t="s">
        <v>202</v>
      </c>
      <c r="F1" s="165" t="s">
        <v>1081</v>
      </c>
      <c r="G1" s="165" t="s">
        <v>1082</v>
      </c>
      <c r="J1" s="300" t="s">
        <v>553</v>
      </c>
      <c r="K1" s="300"/>
      <c r="L1" s="300"/>
      <c r="M1" s="300"/>
    </row>
    <row r="2" spans="1:17" ht="45" x14ac:dyDescent="0.25">
      <c r="A2" s="165" t="s">
        <v>204</v>
      </c>
      <c r="B2" s="165" t="s">
        <v>1080</v>
      </c>
      <c r="C2" s="165" t="s">
        <v>206</v>
      </c>
      <c r="D2" s="165" t="s">
        <v>210</v>
      </c>
      <c r="E2" s="165" t="s">
        <v>220</v>
      </c>
      <c r="F2" s="165" t="e">
        <f>AVERAGE(E3:E6)</f>
        <v>#DIV/0!</v>
      </c>
      <c r="G2" s="165" t="e">
        <f>STDEV(E3:E6)</f>
        <v>#DIV/0!</v>
      </c>
      <c r="I2" s="90" t="s">
        <v>20</v>
      </c>
      <c r="J2" s="90" t="s">
        <v>21</v>
      </c>
      <c r="K2" s="90" t="s">
        <v>22</v>
      </c>
      <c r="L2" s="90" t="s">
        <v>23</v>
      </c>
      <c r="M2" s="90" t="s">
        <v>957</v>
      </c>
      <c r="N2" s="90" t="s">
        <v>1083</v>
      </c>
      <c r="O2" s="44" t="s">
        <v>1081</v>
      </c>
      <c r="P2" s="44" t="s">
        <v>1082</v>
      </c>
      <c r="Q2" s="44" t="s">
        <v>737</v>
      </c>
    </row>
    <row r="3" spans="1:17" x14ac:dyDescent="0.25">
      <c r="A3" s="165" t="s">
        <v>211</v>
      </c>
      <c r="B3" s="165" t="s">
        <v>1080</v>
      </c>
      <c r="C3" s="165" t="s">
        <v>206</v>
      </c>
      <c r="D3" s="165" t="s">
        <v>210</v>
      </c>
      <c r="E3" s="165" t="s">
        <v>220</v>
      </c>
      <c r="I3" s="89" t="s">
        <v>29</v>
      </c>
      <c r="J3" s="84">
        <v>100</v>
      </c>
      <c r="K3" s="165">
        <f>J3*1000000</f>
        <v>100000000</v>
      </c>
      <c r="L3" s="89">
        <f>J3*0.00004/1000000*6.022E+23</f>
        <v>2408800000000000.5</v>
      </c>
      <c r="M3" s="89"/>
    </row>
    <row r="4" spans="1:17" x14ac:dyDescent="0.25">
      <c r="A4" s="165" t="s">
        <v>212</v>
      </c>
      <c r="B4" s="165" t="s">
        <v>1080</v>
      </c>
      <c r="C4" s="165" t="s">
        <v>206</v>
      </c>
      <c r="D4" s="165" t="s">
        <v>210</v>
      </c>
      <c r="E4" s="165" t="s">
        <v>220</v>
      </c>
      <c r="I4" s="165" t="s">
        <v>744</v>
      </c>
      <c r="J4" s="165">
        <f>J3/100</f>
        <v>1</v>
      </c>
      <c r="K4" s="165">
        <f>J4*1000000</f>
        <v>1000000</v>
      </c>
      <c r="L4" s="165">
        <f>J3*0.00001/1000000*6.022E+23</f>
        <v>602200000000000.13</v>
      </c>
    </row>
    <row r="5" spans="1:17" x14ac:dyDescent="0.25">
      <c r="A5" s="165" t="s">
        <v>213</v>
      </c>
      <c r="B5" s="165" t="s">
        <v>1080</v>
      </c>
      <c r="C5" s="165" t="s">
        <v>206</v>
      </c>
      <c r="D5" s="165" t="s">
        <v>210</v>
      </c>
      <c r="E5" s="165" t="s">
        <v>220</v>
      </c>
      <c r="I5" s="165" t="s">
        <v>30</v>
      </c>
      <c r="J5" s="165">
        <f>J4/100</f>
        <v>0.01</v>
      </c>
      <c r="K5" s="165">
        <f t="shared" ref="K5:K19" si="0">J5*1000000</f>
        <v>10000</v>
      </c>
      <c r="L5" s="89">
        <f>L4/100</f>
        <v>6022000000000.001</v>
      </c>
      <c r="M5" s="89">
        <f>L5/1000*2</f>
        <v>12044000000.000002</v>
      </c>
      <c r="N5" s="165">
        <f>LOG(M5)</f>
        <v>10.080770746840722</v>
      </c>
      <c r="O5" s="165" t="e">
        <f>F2</f>
        <v>#DIV/0!</v>
      </c>
      <c r="P5" s="165" t="e">
        <f>G2</f>
        <v>#DIV/0!</v>
      </c>
      <c r="Q5" s="165" t="e">
        <f>2*P5</f>
        <v>#DIV/0!</v>
      </c>
    </row>
    <row r="6" spans="1:17" x14ac:dyDescent="0.25">
      <c r="A6" s="165" t="s">
        <v>214</v>
      </c>
      <c r="B6" s="165" t="s">
        <v>1080</v>
      </c>
      <c r="C6" s="165" t="s">
        <v>206</v>
      </c>
      <c r="D6" s="165" t="s">
        <v>210</v>
      </c>
      <c r="E6" s="165" t="s">
        <v>220</v>
      </c>
      <c r="I6" s="165" t="s">
        <v>31</v>
      </c>
      <c r="J6" s="165">
        <f t="shared" ref="J6:J19" si="1">J5/10</f>
        <v>1E-3</v>
      </c>
      <c r="K6" s="165">
        <f t="shared" si="0"/>
        <v>1000</v>
      </c>
      <c r="L6" s="165">
        <f t="shared" ref="L6:L19" si="2">L5/10</f>
        <v>602200000000.00012</v>
      </c>
      <c r="M6" s="165">
        <f t="shared" ref="M6:M19" si="3">L6/1000*2</f>
        <v>1204400000.0000002</v>
      </c>
      <c r="N6" s="165">
        <f t="shared" ref="N6:N19" si="4">LOG(M6)</f>
        <v>9.0807707468407219</v>
      </c>
      <c r="O6" s="165" t="e">
        <f>F14</f>
        <v>#DIV/0!</v>
      </c>
      <c r="P6" s="165" t="e">
        <f>G14</f>
        <v>#DIV/0!</v>
      </c>
      <c r="Q6" s="165" t="e">
        <f t="shared" ref="Q6:Q19" si="5">2*P6</f>
        <v>#DIV/0!</v>
      </c>
    </row>
    <row r="7" spans="1:17" x14ac:dyDescent="0.25">
      <c r="A7" s="165" t="s">
        <v>215</v>
      </c>
      <c r="B7" s="165" t="s">
        <v>1080</v>
      </c>
      <c r="C7" s="165" t="s">
        <v>206</v>
      </c>
      <c r="D7" s="165" t="s">
        <v>210</v>
      </c>
      <c r="E7" s="165">
        <v>29.53</v>
      </c>
      <c r="F7" s="165">
        <f>AVERAGE(E8:E11)</f>
        <v>30.009999999999998</v>
      </c>
      <c r="G7" s="165">
        <f>STDEV(E8:E11)</f>
        <v>0.91129943853086404</v>
      </c>
      <c r="I7" s="165" t="s">
        <v>32</v>
      </c>
      <c r="J7" s="165">
        <f t="shared" si="1"/>
        <v>1E-4</v>
      </c>
      <c r="K7" s="165">
        <f t="shared" si="0"/>
        <v>100</v>
      </c>
      <c r="L7" s="165">
        <f t="shared" si="2"/>
        <v>60220000000.000015</v>
      </c>
      <c r="M7" s="165">
        <f t="shared" si="3"/>
        <v>120440000.00000003</v>
      </c>
      <c r="N7" s="165">
        <f t="shared" si="4"/>
        <v>8.0807707468407219</v>
      </c>
      <c r="O7" s="165">
        <f>F26</f>
        <v>7.7966666666666669</v>
      </c>
      <c r="P7" s="165">
        <f>G26</f>
        <v>0.11718930554164615</v>
      </c>
      <c r="Q7" s="165">
        <f t="shared" si="5"/>
        <v>0.2343786110832923</v>
      </c>
    </row>
    <row r="8" spans="1:17" x14ac:dyDescent="0.25">
      <c r="A8" s="165" t="s">
        <v>216</v>
      </c>
      <c r="B8" s="165" t="s">
        <v>1080</v>
      </c>
      <c r="C8" s="165" t="s">
        <v>206</v>
      </c>
      <c r="D8" s="165" t="s">
        <v>210</v>
      </c>
      <c r="E8" s="165">
        <v>30.91</v>
      </c>
      <c r="I8" s="165" t="s">
        <v>33</v>
      </c>
      <c r="J8" s="165">
        <f t="shared" si="1"/>
        <v>1.0000000000000001E-5</v>
      </c>
      <c r="K8" s="165">
        <f t="shared" si="0"/>
        <v>10</v>
      </c>
      <c r="L8" s="165">
        <f t="shared" si="2"/>
        <v>6022000000.0000019</v>
      </c>
      <c r="M8" s="165">
        <f t="shared" si="3"/>
        <v>12044000.000000004</v>
      </c>
      <c r="N8" s="165">
        <f t="shared" si="4"/>
        <v>7.0807707468407219</v>
      </c>
      <c r="O8" s="165">
        <f>F38</f>
        <v>12.037500000000001</v>
      </c>
      <c r="P8" s="165">
        <f>G38</f>
        <v>0.93239387242373761</v>
      </c>
      <c r="Q8" s="165">
        <f t="shared" si="5"/>
        <v>1.8647877448474752</v>
      </c>
    </row>
    <row r="9" spans="1:17" x14ac:dyDescent="0.25">
      <c r="A9" s="165" t="s">
        <v>217</v>
      </c>
      <c r="B9" s="165" t="s">
        <v>1080</v>
      </c>
      <c r="C9" s="165" t="s">
        <v>206</v>
      </c>
      <c r="D9" s="165" t="s">
        <v>210</v>
      </c>
      <c r="E9" s="165">
        <v>30.2</v>
      </c>
      <c r="I9" s="165" t="s">
        <v>34</v>
      </c>
      <c r="J9" s="165">
        <f t="shared" si="1"/>
        <v>1.0000000000000002E-6</v>
      </c>
      <c r="K9" s="165">
        <f t="shared" si="0"/>
        <v>1.0000000000000002</v>
      </c>
      <c r="L9" s="165">
        <f t="shared" si="2"/>
        <v>602200000.00000024</v>
      </c>
      <c r="M9" s="165">
        <f t="shared" si="3"/>
        <v>1204400.0000000005</v>
      </c>
      <c r="N9" s="165">
        <f t="shared" si="4"/>
        <v>6.0807707468407219</v>
      </c>
      <c r="O9" s="165">
        <f>F50</f>
        <v>15.662500000000001</v>
      </c>
      <c r="P9" s="165">
        <f>G50</f>
        <v>0.65555955742658067</v>
      </c>
      <c r="Q9" s="165">
        <f t="shared" si="5"/>
        <v>1.3111191148531613</v>
      </c>
    </row>
    <row r="10" spans="1:17" x14ac:dyDescent="0.25">
      <c r="A10" s="165" t="s">
        <v>218</v>
      </c>
      <c r="B10" s="165" t="s">
        <v>1080</v>
      </c>
      <c r="C10" s="165" t="s">
        <v>206</v>
      </c>
      <c r="D10" s="165" t="s">
        <v>210</v>
      </c>
      <c r="E10" s="165">
        <v>30.19</v>
      </c>
      <c r="I10" s="165" t="s">
        <v>35</v>
      </c>
      <c r="J10" s="165">
        <f t="shared" si="1"/>
        <v>1.0000000000000002E-7</v>
      </c>
      <c r="K10" s="165">
        <f t="shared" si="0"/>
        <v>0.10000000000000002</v>
      </c>
      <c r="L10" s="165">
        <f t="shared" si="2"/>
        <v>60220000.000000022</v>
      </c>
      <c r="M10" s="165">
        <f t="shared" si="3"/>
        <v>120440.00000000004</v>
      </c>
      <c r="N10" s="165">
        <f t="shared" si="4"/>
        <v>5.0807707468407219</v>
      </c>
      <c r="O10" s="165">
        <f>F62</f>
        <v>19.127500000000001</v>
      </c>
      <c r="P10" s="165">
        <f>G62</f>
        <v>0.92109988600585557</v>
      </c>
      <c r="Q10" s="165">
        <f t="shared" si="5"/>
        <v>1.8421997720117111</v>
      </c>
    </row>
    <row r="11" spans="1:17" x14ac:dyDescent="0.25">
      <c r="A11" s="165" t="s">
        <v>219</v>
      </c>
      <c r="B11" s="165" t="s">
        <v>1080</v>
      </c>
      <c r="C11" s="165" t="s">
        <v>206</v>
      </c>
      <c r="D11" s="165" t="s">
        <v>210</v>
      </c>
      <c r="E11" s="165">
        <v>28.74</v>
      </c>
      <c r="I11" s="165" t="s">
        <v>36</v>
      </c>
      <c r="J11" s="165">
        <f t="shared" si="1"/>
        <v>1.0000000000000002E-8</v>
      </c>
      <c r="K11" s="165">
        <f t="shared" si="0"/>
        <v>1.0000000000000002E-2</v>
      </c>
      <c r="L11" s="165">
        <f t="shared" si="2"/>
        <v>6022000.0000000019</v>
      </c>
      <c r="M11" s="165">
        <f t="shared" si="3"/>
        <v>12044.000000000004</v>
      </c>
      <c r="N11" s="165">
        <f t="shared" si="4"/>
        <v>4.0807707468407219</v>
      </c>
      <c r="O11" s="165">
        <f>F74</f>
        <v>22.475000000000001</v>
      </c>
      <c r="P11" s="165">
        <f>G74</f>
        <v>0.70543131014531435</v>
      </c>
      <c r="Q11" s="165">
        <f t="shared" si="5"/>
        <v>1.4108626202906287</v>
      </c>
    </row>
    <row r="12" spans="1:17" x14ac:dyDescent="0.25">
      <c r="A12" s="165" t="s">
        <v>221</v>
      </c>
      <c r="B12" s="165" t="s">
        <v>1080</v>
      </c>
      <c r="C12" s="165" t="s">
        <v>206</v>
      </c>
      <c r="D12" s="165" t="s">
        <v>210</v>
      </c>
      <c r="E12" s="165" t="s">
        <v>220</v>
      </c>
      <c r="I12" s="165" t="s">
        <v>37</v>
      </c>
      <c r="J12" s="165">
        <f t="shared" si="1"/>
        <v>1.0000000000000003E-9</v>
      </c>
      <c r="K12" s="165">
        <f t="shared" si="0"/>
        <v>1.0000000000000002E-3</v>
      </c>
      <c r="L12" s="165">
        <f t="shared" si="2"/>
        <v>602200.00000000023</v>
      </c>
      <c r="M12" s="165">
        <f t="shared" si="3"/>
        <v>1204.4000000000005</v>
      </c>
      <c r="N12" s="165">
        <f t="shared" si="4"/>
        <v>3.0807707468407219</v>
      </c>
      <c r="O12" s="165">
        <f>F86</f>
        <v>26.494999999999997</v>
      </c>
      <c r="P12" s="165">
        <f>G86</f>
        <v>1.0081170566953033</v>
      </c>
      <c r="Q12" s="165">
        <f t="shared" si="5"/>
        <v>2.0162341133906065</v>
      </c>
    </row>
    <row r="13" spans="1:17" x14ac:dyDescent="0.25">
      <c r="A13" s="165" t="s">
        <v>222</v>
      </c>
      <c r="B13" s="165" t="s">
        <v>1080</v>
      </c>
      <c r="C13" s="165" t="s">
        <v>206</v>
      </c>
      <c r="D13" s="165" t="s">
        <v>210</v>
      </c>
      <c r="E13" s="165" t="s">
        <v>220</v>
      </c>
      <c r="I13" s="165" t="s">
        <v>38</v>
      </c>
      <c r="J13" s="165">
        <f t="shared" si="1"/>
        <v>1.0000000000000003E-10</v>
      </c>
      <c r="K13" s="165">
        <f t="shared" si="0"/>
        <v>1.0000000000000003E-4</v>
      </c>
      <c r="L13" s="165">
        <f t="shared" si="2"/>
        <v>60220.000000000022</v>
      </c>
      <c r="M13" s="165">
        <f t="shared" si="3"/>
        <v>120.44000000000004</v>
      </c>
      <c r="N13" s="165">
        <f t="shared" si="4"/>
        <v>2.0807707468407219</v>
      </c>
      <c r="O13" s="165">
        <f>F7</f>
        <v>30.009999999999998</v>
      </c>
      <c r="P13" s="165">
        <f>G7</f>
        <v>0.91129943853086404</v>
      </c>
      <c r="Q13" s="165">
        <f t="shared" si="5"/>
        <v>1.8225988770617281</v>
      </c>
    </row>
    <row r="14" spans="1:17" x14ac:dyDescent="0.25">
      <c r="A14" s="165" t="s">
        <v>223</v>
      </c>
      <c r="B14" s="165" t="s">
        <v>1080</v>
      </c>
      <c r="C14" s="165" t="s">
        <v>206</v>
      </c>
      <c r="D14" s="165" t="s">
        <v>210</v>
      </c>
      <c r="E14" s="165" t="s">
        <v>220</v>
      </c>
      <c r="F14" s="165" t="e">
        <f>AVERAGE(E15:E18)</f>
        <v>#DIV/0!</v>
      </c>
      <c r="G14" s="165" t="e">
        <f>STDEV(E15:E18)</f>
        <v>#DIV/0!</v>
      </c>
      <c r="I14" s="165" t="s">
        <v>39</v>
      </c>
      <c r="J14" s="165">
        <f t="shared" si="1"/>
        <v>1.0000000000000003E-11</v>
      </c>
      <c r="K14" s="165">
        <f t="shared" si="0"/>
        <v>1.0000000000000003E-5</v>
      </c>
      <c r="L14" s="165">
        <f t="shared" si="2"/>
        <v>6022.0000000000018</v>
      </c>
      <c r="M14" s="165">
        <f t="shared" si="3"/>
        <v>12.044000000000004</v>
      </c>
      <c r="N14" s="165">
        <f t="shared" si="4"/>
        <v>1.0807707468407219</v>
      </c>
      <c r="O14" s="165">
        <f>F19</f>
        <v>32.630000000000003</v>
      </c>
      <c r="P14" s="165">
        <f>G19</f>
        <v>1.1699999999999993</v>
      </c>
      <c r="Q14" s="165">
        <f t="shared" si="5"/>
        <v>2.3399999999999985</v>
      </c>
    </row>
    <row r="15" spans="1:17" x14ac:dyDescent="0.25">
      <c r="A15" s="165" t="s">
        <v>234</v>
      </c>
      <c r="B15" s="165" t="s">
        <v>1080</v>
      </c>
      <c r="C15" s="165" t="s">
        <v>206</v>
      </c>
      <c r="D15" s="165" t="s">
        <v>210</v>
      </c>
      <c r="E15" s="165" t="s">
        <v>220</v>
      </c>
      <c r="I15" s="165" t="s">
        <v>40</v>
      </c>
      <c r="J15" s="165">
        <f t="shared" si="1"/>
        <v>1.0000000000000002E-12</v>
      </c>
      <c r="K15" s="165">
        <f t="shared" si="0"/>
        <v>1.0000000000000002E-6</v>
      </c>
      <c r="L15" s="165">
        <f t="shared" si="2"/>
        <v>602.20000000000016</v>
      </c>
      <c r="M15" s="89">
        <f t="shared" si="3"/>
        <v>1.2044000000000004</v>
      </c>
      <c r="N15" s="165">
        <f t="shared" si="4"/>
        <v>8.077074684072183E-2</v>
      </c>
      <c r="O15" s="165">
        <f>F31</f>
        <v>33.11</v>
      </c>
      <c r="P15" s="165" t="e">
        <f>G31</f>
        <v>#DIV/0!</v>
      </c>
      <c r="Q15" s="165" t="e">
        <f t="shared" si="5"/>
        <v>#DIV/0!</v>
      </c>
    </row>
    <row r="16" spans="1:17" x14ac:dyDescent="0.25">
      <c r="A16" s="165" t="s">
        <v>235</v>
      </c>
      <c r="B16" s="165" t="s">
        <v>1080</v>
      </c>
      <c r="C16" s="165" t="s">
        <v>206</v>
      </c>
      <c r="D16" s="165" t="s">
        <v>210</v>
      </c>
      <c r="E16" s="165" t="s">
        <v>220</v>
      </c>
      <c r="I16" s="165" t="s">
        <v>41</v>
      </c>
      <c r="J16" s="165">
        <f t="shared" si="1"/>
        <v>1.0000000000000002E-13</v>
      </c>
      <c r="K16" s="165">
        <f t="shared" si="0"/>
        <v>1.0000000000000002E-7</v>
      </c>
      <c r="L16" s="165">
        <f t="shared" si="2"/>
        <v>60.220000000000013</v>
      </c>
      <c r="M16" s="89">
        <f t="shared" si="3"/>
        <v>0.12044000000000002</v>
      </c>
      <c r="N16" s="165">
        <f t="shared" si="4"/>
        <v>-0.91922925315927817</v>
      </c>
      <c r="O16" s="165" t="e">
        <f>F43</f>
        <v>#DIV/0!</v>
      </c>
      <c r="P16" s="165" t="e">
        <f>G43</f>
        <v>#DIV/0!</v>
      </c>
      <c r="Q16" s="165" t="e">
        <f t="shared" si="5"/>
        <v>#DIV/0!</v>
      </c>
    </row>
    <row r="17" spans="1:17" x14ac:dyDescent="0.25">
      <c r="A17" s="165" t="s">
        <v>236</v>
      </c>
      <c r="B17" s="165" t="s">
        <v>1080</v>
      </c>
      <c r="C17" s="165" t="s">
        <v>206</v>
      </c>
      <c r="D17" s="165" t="s">
        <v>210</v>
      </c>
      <c r="E17" s="165" t="s">
        <v>220</v>
      </c>
      <c r="I17" s="89" t="s">
        <v>42</v>
      </c>
      <c r="J17" s="165">
        <f t="shared" si="1"/>
        <v>1.0000000000000002E-14</v>
      </c>
      <c r="K17" s="165">
        <f t="shared" si="0"/>
        <v>1.0000000000000002E-8</v>
      </c>
      <c r="L17" s="165">
        <f t="shared" si="2"/>
        <v>6.0220000000000011</v>
      </c>
      <c r="M17" s="89">
        <f t="shared" si="3"/>
        <v>1.2044000000000003E-2</v>
      </c>
      <c r="N17" s="165">
        <f t="shared" si="4"/>
        <v>-1.9192292531592783</v>
      </c>
      <c r="O17" s="165" t="e">
        <f>F55</f>
        <v>#DIV/0!</v>
      </c>
      <c r="P17" s="165" t="e">
        <f>G55</f>
        <v>#DIV/0!</v>
      </c>
      <c r="Q17" s="165" t="e">
        <f t="shared" si="5"/>
        <v>#DIV/0!</v>
      </c>
    </row>
    <row r="18" spans="1:17" x14ac:dyDescent="0.25">
      <c r="A18" s="165" t="s">
        <v>237</v>
      </c>
      <c r="B18" s="165" t="s">
        <v>1080</v>
      </c>
      <c r="C18" s="165" t="s">
        <v>206</v>
      </c>
      <c r="D18" s="165" t="s">
        <v>210</v>
      </c>
      <c r="E18" s="165" t="s">
        <v>220</v>
      </c>
      <c r="I18" s="89" t="s">
        <v>43</v>
      </c>
      <c r="J18" s="165">
        <f t="shared" si="1"/>
        <v>1.0000000000000001E-15</v>
      </c>
      <c r="K18" s="165">
        <f t="shared" si="0"/>
        <v>1.0000000000000001E-9</v>
      </c>
      <c r="L18" s="165">
        <f t="shared" si="2"/>
        <v>0.60220000000000007</v>
      </c>
      <c r="M18" s="89">
        <f t="shared" si="3"/>
        <v>1.2044000000000002E-3</v>
      </c>
      <c r="N18" s="165">
        <f t="shared" si="4"/>
        <v>-2.9192292531592781</v>
      </c>
      <c r="O18" s="165" t="e">
        <f>F67</f>
        <v>#DIV/0!</v>
      </c>
      <c r="P18" s="165" t="e">
        <f>G67</f>
        <v>#DIV/0!</v>
      </c>
      <c r="Q18" s="165" t="e">
        <f t="shared" si="5"/>
        <v>#DIV/0!</v>
      </c>
    </row>
    <row r="19" spans="1:17" x14ac:dyDescent="0.25">
      <c r="A19" s="165" t="s">
        <v>238</v>
      </c>
      <c r="B19" s="165" t="s">
        <v>1080</v>
      </c>
      <c r="C19" s="165" t="s">
        <v>206</v>
      </c>
      <c r="D19" s="165" t="s">
        <v>210</v>
      </c>
      <c r="E19" s="165">
        <v>32.71</v>
      </c>
      <c r="F19" s="165">
        <f>AVERAGE(E20:E23)</f>
        <v>32.630000000000003</v>
      </c>
      <c r="G19" s="165">
        <f>STDEV(E20:E23)</f>
        <v>1.1699999999999993</v>
      </c>
      <c r="I19" s="89" t="s">
        <v>44</v>
      </c>
      <c r="J19" s="165">
        <f t="shared" si="1"/>
        <v>1.0000000000000001E-16</v>
      </c>
      <c r="K19" s="165">
        <f t="shared" si="0"/>
        <v>1.0000000000000002E-10</v>
      </c>
      <c r="L19" s="165">
        <f t="shared" si="2"/>
        <v>6.022000000000001E-2</v>
      </c>
      <c r="M19" s="89">
        <f t="shared" si="3"/>
        <v>1.2044000000000002E-4</v>
      </c>
      <c r="N19" s="165">
        <f t="shared" si="4"/>
        <v>-3.9192292531592781</v>
      </c>
      <c r="O19" s="165" t="e">
        <f>F79</f>
        <v>#DIV/0!</v>
      </c>
      <c r="P19" s="165" t="e">
        <f>G79</f>
        <v>#DIV/0!</v>
      </c>
      <c r="Q19" s="165" t="e">
        <f t="shared" si="5"/>
        <v>#DIV/0!</v>
      </c>
    </row>
    <row r="20" spans="1:17" x14ac:dyDescent="0.25">
      <c r="A20" s="165" t="s">
        <v>239</v>
      </c>
      <c r="B20" s="165" t="s">
        <v>1080</v>
      </c>
      <c r="C20" s="165" t="s">
        <v>206</v>
      </c>
      <c r="D20" s="165" t="s">
        <v>210</v>
      </c>
      <c r="E20" s="165">
        <v>33.26</v>
      </c>
      <c r="I20" s="89"/>
      <c r="L20" s="89"/>
      <c r="M20" s="89"/>
    </row>
    <row r="21" spans="1:17" x14ac:dyDescent="0.25">
      <c r="A21" s="165" t="s">
        <v>242</v>
      </c>
      <c r="B21" s="165" t="s">
        <v>1080</v>
      </c>
      <c r="C21" s="165" t="s">
        <v>206</v>
      </c>
      <c r="D21" s="165" t="s">
        <v>210</v>
      </c>
      <c r="E21" s="165" t="s">
        <v>220</v>
      </c>
      <c r="I21" s="89"/>
      <c r="L21" s="89"/>
      <c r="M21" s="89"/>
      <c r="N21" s="119" t="s">
        <v>241</v>
      </c>
      <c r="O21" s="183" t="e">
        <f>10^(-1/O20)-1</f>
        <v>#DIV/0!</v>
      </c>
    </row>
    <row r="22" spans="1:17" x14ac:dyDescent="0.25">
      <c r="A22" s="165" t="s">
        <v>243</v>
      </c>
      <c r="B22" s="165" t="s">
        <v>1080</v>
      </c>
      <c r="C22" s="165" t="s">
        <v>206</v>
      </c>
      <c r="D22" s="165" t="s">
        <v>210</v>
      </c>
      <c r="E22" s="165">
        <v>33.35</v>
      </c>
      <c r="I22" s="89"/>
      <c r="L22" s="89"/>
      <c r="M22" s="89"/>
    </row>
    <row r="23" spans="1:17" x14ac:dyDescent="0.25">
      <c r="A23" s="165" t="s">
        <v>244</v>
      </c>
      <c r="B23" s="165" t="s">
        <v>1080</v>
      </c>
      <c r="C23" s="165" t="s">
        <v>206</v>
      </c>
      <c r="D23" s="165" t="s">
        <v>210</v>
      </c>
      <c r="E23" s="165">
        <v>31.28</v>
      </c>
    </row>
    <row r="24" spans="1:17" x14ac:dyDescent="0.25">
      <c r="A24" s="165" t="s">
        <v>245</v>
      </c>
      <c r="B24" s="165" t="s">
        <v>1080</v>
      </c>
      <c r="C24" s="165" t="s">
        <v>206</v>
      </c>
      <c r="D24" s="165" t="s">
        <v>210</v>
      </c>
      <c r="E24" s="165" t="s">
        <v>220</v>
      </c>
    </row>
    <row r="25" spans="1:17" x14ac:dyDescent="0.25">
      <c r="A25" s="165" t="s">
        <v>247</v>
      </c>
      <c r="B25" s="165" t="s">
        <v>1080</v>
      </c>
      <c r="C25" s="165" t="s">
        <v>206</v>
      </c>
      <c r="D25" s="165" t="s">
        <v>210</v>
      </c>
      <c r="E25" s="165" t="s">
        <v>220</v>
      </c>
    </row>
    <row r="26" spans="1:17" x14ac:dyDescent="0.25">
      <c r="A26" s="165" t="s">
        <v>248</v>
      </c>
      <c r="B26" s="165" t="s">
        <v>1080</v>
      </c>
      <c r="C26" s="165" t="s">
        <v>206</v>
      </c>
      <c r="D26" s="165" t="s">
        <v>210</v>
      </c>
      <c r="E26" s="165">
        <v>8.7200000000000006</v>
      </c>
      <c r="F26" s="165">
        <f>AVERAGE(E27:E30)</f>
        <v>7.7966666666666669</v>
      </c>
      <c r="G26" s="165">
        <f>STDEV(E27:E30)</f>
        <v>0.11718930554164615</v>
      </c>
    </row>
    <row r="27" spans="1:17" x14ac:dyDescent="0.25">
      <c r="A27" s="165" t="s">
        <v>249</v>
      </c>
      <c r="B27" s="165" t="s">
        <v>1080</v>
      </c>
      <c r="C27" s="165" t="s">
        <v>206</v>
      </c>
      <c r="D27" s="165" t="s">
        <v>210</v>
      </c>
      <c r="E27" s="165">
        <v>7.93</v>
      </c>
    </row>
    <row r="28" spans="1:17" x14ac:dyDescent="0.25">
      <c r="A28" s="165" t="s">
        <v>250</v>
      </c>
      <c r="B28" s="165" t="s">
        <v>1080</v>
      </c>
      <c r="C28" s="165" t="s">
        <v>206</v>
      </c>
      <c r="D28" s="165" t="s">
        <v>210</v>
      </c>
      <c r="E28" s="165">
        <v>7.75</v>
      </c>
    </row>
    <row r="29" spans="1:17" x14ac:dyDescent="0.25">
      <c r="A29" s="165" t="s">
        <v>251</v>
      </c>
      <c r="B29" s="165" t="s">
        <v>1080</v>
      </c>
      <c r="C29" s="165" t="s">
        <v>206</v>
      </c>
      <c r="D29" s="165" t="s">
        <v>210</v>
      </c>
      <c r="E29" s="165">
        <v>7.71</v>
      </c>
    </row>
    <row r="30" spans="1:17" x14ac:dyDescent="0.25">
      <c r="A30" s="165" t="s">
        <v>252</v>
      </c>
      <c r="B30" s="165" t="s">
        <v>1080</v>
      </c>
      <c r="C30" s="165" t="s">
        <v>206</v>
      </c>
      <c r="D30" s="165" t="s">
        <v>210</v>
      </c>
      <c r="E30" s="165" t="s">
        <v>220</v>
      </c>
    </row>
    <row r="31" spans="1:17" x14ac:dyDescent="0.25">
      <c r="A31" s="165" t="s">
        <v>253</v>
      </c>
      <c r="B31" s="165" t="s">
        <v>1080</v>
      </c>
      <c r="C31" s="165" t="s">
        <v>206</v>
      </c>
      <c r="D31" s="165" t="s">
        <v>210</v>
      </c>
      <c r="E31" s="165" t="s">
        <v>220</v>
      </c>
      <c r="F31" s="165">
        <f>AVERAGE(E32:E35)</f>
        <v>33.11</v>
      </c>
      <c r="G31" s="165" t="e">
        <f>STDEV(E32:E35)</f>
        <v>#DIV/0!</v>
      </c>
    </row>
    <row r="32" spans="1:17" x14ac:dyDescent="0.25">
      <c r="A32" s="165" t="s">
        <v>254</v>
      </c>
      <c r="B32" s="165" t="s">
        <v>1080</v>
      </c>
      <c r="C32" s="165" t="s">
        <v>206</v>
      </c>
      <c r="D32" s="165" t="s">
        <v>210</v>
      </c>
      <c r="E32" s="165" t="s">
        <v>220</v>
      </c>
    </row>
    <row r="33" spans="1:7" x14ac:dyDescent="0.25">
      <c r="A33" s="165" t="s">
        <v>255</v>
      </c>
      <c r="B33" s="165" t="s">
        <v>1080</v>
      </c>
      <c r="C33" s="165" t="s">
        <v>206</v>
      </c>
      <c r="D33" s="165" t="s">
        <v>210</v>
      </c>
      <c r="E33" s="165">
        <v>33.11</v>
      </c>
    </row>
    <row r="34" spans="1:7" x14ac:dyDescent="0.25">
      <c r="A34" s="165" t="s">
        <v>256</v>
      </c>
      <c r="B34" s="165" t="s">
        <v>1080</v>
      </c>
      <c r="C34" s="165" t="s">
        <v>206</v>
      </c>
      <c r="D34" s="165" t="s">
        <v>210</v>
      </c>
      <c r="E34" s="165" t="s">
        <v>220</v>
      </c>
    </row>
    <row r="35" spans="1:7" x14ac:dyDescent="0.25">
      <c r="A35" s="165" t="s">
        <v>257</v>
      </c>
      <c r="B35" s="165" t="s">
        <v>1080</v>
      </c>
      <c r="C35" s="165" t="s">
        <v>206</v>
      </c>
      <c r="D35" s="165" t="s">
        <v>210</v>
      </c>
      <c r="E35" s="165" t="s">
        <v>220</v>
      </c>
    </row>
    <row r="36" spans="1:7" x14ac:dyDescent="0.25">
      <c r="A36" s="165" t="s">
        <v>258</v>
      </c>
      <c r="B36" s="165" t="s">
        <v>1080</v>
      </c>
      <c r="C36" s="165" t="s">
        <v>206</v>
      </c>
      <c r="D36" s="165" t="s">
        <v>210</v>
      </c>
      <c r="E36" s="165" t="s">
        <v>220</v>
      </c>
    </row>
    <row r="37" spans="1:7" x14ac:dyDescent="0.25">
      <c r="A37" s="165" t="s">
        <v>259</v>
      </c>
      <c r="B37" s="165" t="s">
        <v>1080</v>
      </c>
      <c r="C37" s="165" t="s">
        <v>206</v>
      </c>
      <c r="D37" s="165" t="s">
        <v>210</v>
      </c>
      <c r="E37" s="165" t="s">
        <v>220</v>
      </c>
    </row>
    <row r="38" spans="1:7" x14ac:dyDescent="0.25">
      <c r="A38" s="165" t="s">
        <v>260</v>
      </c>
      <c r="B38" s="165" t="s">
        <v>1080</v>
      </c>
      <c r="C38" s="165" t="s">
        <v>206</v>
      </c>
      <c r="D38" s="165" t="s">
        <v>210</v>
      </c>
      <c r="E38" s="165">
        <v>12.92</v>
      </c>
      <c r="F38" s="165">
        <f>AVERAGE(E39:E42)</f>
        <v>12.037500000000001</v>
      </c>
      <c r="G38" s="165">
        <f>STDEV(E39:E42)</f>
        <v>0.93239387242373761</v>
      </c>
    </row>
    <row r="39" spans="1:7" x14ac:dyDescent="0.25">
      <c r="A39" s="165" t="s">
        <v>261</v>
      </c>
      <c r="B39" s="165" t="s">
        <v>1080</v>
      </c>
      <c r="C39" s="165" t="s">
        <v>206</v>
      </c>
      <c r="D39" s="165" t="s">
        <v>210</v>
      </c>
      <c r="E39" s="165">
        <v>12.55</v>
      </c>
    </row>
    <row r="40" spans="1:7" x14ac:dyDescent="0.25">
      <c r="A40" s="165" t="s">
        <v>262</v>
      </c>
      <c r="B40" s="165" t="s">
        <v>1080</v>
      </c>
      <c r="C40" s="165" t="s">
        <v>206</v>
      </c>
      <c r="D40" s="165" t="s">
        <v>210</v>
      </c>
      <c r="E40" s="165">
        <v>12.46</v>
      </c>
    </row>
    <row r="41" spans="1:7" x14ac:dyDescent="0.25">
      <c r="A41" s="165" t="s">
        <v>263</v>
      </c>
      <c r="B41" s="165" t="s">
        <v>1080</v>
      </c>
      <c r="C41" s="165" t="s">
        <v>206</v>
      </c>
      <c r="D41" s="165" t="s">
        <v>210</v>
      </c>
      <c r="E41" s="165">
        <v>12.5</v>
      </c>
    </row>
    <row r="42" spans="1:7" x14ac:dyDescent="0.25">
      <c r="A42" s="165" t="s">
        <v>264</v>
      </c>
      <c r="B42" s="165" t="s">
        <v>1080</v>
      </c>
      <c r="C42" s="165" t="s">
        <v>206</v>
      </c>
      <c r="D42" s="165" t="s">
        <v>210</v>
      </c>
      <c r="E42" s="165">
        <v>10.64</v>
      </c>
    </row>
    <row r="43" spans="1:7" x14ac:dyDescent="0.25">
      <c r="A43" s="165" t="s">
        <v>265</v>
      </c>
      <c r="B43" s="165" t="s">
        <v>1080</v>
      </c>
      <c r="C43" s="165" t="s">
        <v>206</v>
      </c>
      <c r="D43" s="165" t="s">
        <v>210</v>
      </c>
      <c r="E43" s="165" t="s">
        <v>220</v>
      </c>
      <c r="F43" s="165" t="e">
        <f>AVERAGE(E44:E47)</f>
        <v>#DIV/0!</v>
      </c>
      <c r="G43" s="165" t="e">
        <f>STDEV(E44:E47)</f>
        <v>#DIV/0!</v>
      </c>
    </row>
    <row r="44" spans="1:7" x14ac:dyDescent="0.25">
      <c r="A44" s="165" t="s">
        <v>266</v>
      </c>
      <c r="B44" s="165" t="s">
        <v>1080</v>
      </c>
      <c r="C44" s="165" t="s">
        <v>206</v>
      </c>
      <c r="D44" s="165" t="s">
        <v>210</v>
      </c>
      <c r="E44" s="165" t="s">
        <v>220</v>
      </c>
    </row>
    <row r="45" spans="1:7" x14ac:dyDescent="0.25">
      <c r="A45" s="165" t="s">
        <v>267</v>
      </c>
      <c r="B45" s="165" t="s">
        <v>1080</v>
      </c>
      <c r="C45" s="165" t="s">
        <v>206</v>
      </c>
      <c r="D45" s="165" t="s">
        <v>210</v>
      </c>
      <c r="E45" s="165" t="s">
        <v>220</v>
      </c>
    </row>
    <row r="46" spans="1:7" x14ac:dyDescent="0.25">
      <c r="A46" s="165" t="s">
        <v>268</v>
      </c>
      <c r="B46" s="165" t="s">
        <v>1080</v>
      </c>
      <c r="C46" s="165" t="s">
        <v>206</v>
      </c>
      <c r="D46" s="165" t="s">
        <v>210</v>
      </c>
      <c r="E46" s="165" t="s">
        <v>220</v>
      </c>
    </row>
    <row r="47" spans="1:7" x14ac:dyDescent="0.25">
      <c r="A47" s="165" t="s">
        <v>270</v>
      </c>
      <c r="B47" s="165" t="s">
        <v>1080</v>
      </c>
      <c r="C47" s="165" t="s">
        <v>206</v>
      </c>
      <c r="D47" s="165" t="s">
        <v>210</v>
      </c>
      <c r="E47" s="165" t="s">
        <v>220</v>
      </c>
    </row>
    <row r="48" spans="1:7" x14ac:dyDescent="0.25">
      <c r="A48" s="165" t="s">
        <v>272</v>
      </c>
      <c r="B48" s="165" t="s">
        <v>1080</v>
      </c>
      <c r="C48" s="165" t="s">
        <v>206</v>
      </c>
      <c r="D48" s="165" t="s">
        <v>210</v>
      </c>
      <c r="E48" s="165" t="s">
        <v>220</v>
      </c>
    </row>
    <row r="49" spans="1:7" x14ac:dyDescent="0.25">
      <c r="A49" s="165" t="s">
        <v>273</v>
      </c>
      <c r="B49" s="165" t="s">
        <v>1080</v>
      </c>
      <c r="C49" s="165" t="s">
        <v>206</v>
      </c>
      <c r="D49" s="165" t="s">
        <v>210</v>
      </c>
      <c r="E49" s="165" t="s">
        <v>220</v>
      </c>
    </row>
    <row r="50" spans="1:7" x14ac:dyDescent="0.25">
      <c r="A50" s="165" t="s">
        <v>274</v>
      </c>
      <c r="B50" s="165" t="s">
        <v>1080</v>
      </c>
      <c r="C50" s="165" t="s">
        <v>206</v>
      </c>
      <c r="D50" s="165" t="s">
        <v>210</v>
      </c>
      <c r="E50" s="165">
        <v>15.64</v>
      </c>
      <c r="F50" s="165">
        <f>AVERAGE(E51:E54)</f>
        <v>15.662500000000001</v>
      </c>
      <c r="G50" s="165">
        <f>STDEV(E51:E54)</f>
        <v>0.65555955742658067</v>
      </c>
    </row>
    <row r="51" spans="1:7" x14ac:dyDescent="0.25">
      <c r="A51" s="165" t="s">
        <v>275</v>
      </c>
      <c r="B51" s="165" t="s">
        <v>1080</v>
      </c>
      <c r="C51" s="165" t="s">
        <v>206</v>
      </c>
      <c r="D51" s="165" t="s">
        <v>210</v>
      </c>
      <c r="E51" s="165">
        <v>15.92</v>
      </c>
    </row>
    <row r="52" spans="1:7" x14ac:dyDescent="0.25">
      <c r="A52" s="165" t="s">
        <v>276</v>
      </c>
      <c r="B52" s="165" t="s">
        <v>1080</v>
      </c>
      <c r="C52" s="165" t="s">
        <v>206</v>
      </c>
      <c r="D52" s="165" t="s">
        <v>210</v>
      </c>
      <c r="E52" s="165">
        <v>16.170000000000002</v>
      </c>
    </row>
    <row r="53" spans="1:7" x14ac:dyDescent="0.25">
      <c r="A53" s="165" t="s">
        <v>277</v>
      </c>
      <c r="B53" s="165" t="s">
        <v>1080</v>
      </c>
      <c r="C53" s="165" t="s">
        <v>206</v>
      </c>
      <c r="D53" s="165" t="s">
        <v>210</v>
      </c>
      <c r="E53" s="165">
        <v>15.86</v>
      </c>
    </row>
    <row r="54" spans="1:7" x14ac:dyDescent="0.25">
      <c r="A54" s="165" t="s">
        <v>278</v>
      </c>
      <c r="B54" s="165" t="s">
        <v>1080</v>
      </c>
      <c r="C54" s="165" t="s">
        <v>206</v>
      </c>
      <c r="D54" s="165" t="s">
        <v>210</v>
      </c>
      <c r="E54" s="165">
        <v>14.7</v>
      </c>
    </row>
    <row r="55" spans="1:7" x14ac:dyDescent="0.25">
      <c r="A55" s="165" t="s">
        <v>279</v>
      </c>
      <c r="B55" s="165" t="s">
        <v>1080</v>
      </c>
      <c r="C55" s="165" t="s">
        <v>206</v>
      </c>
      <c r="D55" s="165" t="s">
        <v>210</v>
      </c>
      <c r="E55" s="165" t="s">
        <v>220</v>
      </c>
      <c r="F55" s="165" t="e">
        <f>AVERAGE(E56:E59)</f>
        <v>#DIV/0!</v>
      </c>
      <c r="G55" s="165" t="e">
        <f>STDEV(E56:E59)</f>
        <v>#DIV/0!</v>
      </c>
    </row>
    <row r="56" spans="1:7" x14ac:dyDescent="0.25">
      <c r="A56" s="165" t="s">
        <v>280</v>
      </c>
      <c r="B56" s="165" t="s">
        <v>1080</v>
      </c>
      <c r="C56" s="165" t="s">
        <v>206</v>
      </c>
      <c r="D56" s="165" t="s">
        <v>210</v>
      </c>
      <c r="E56" s="165" t="s">
        <v>220</v>
      </c>
    </row>
    <row r="57" spans="1:7" x14ac:dyDescent="0.25">
      <c r="A57" s="165" t="s">
        <v>281</v>
      </c>
      <c r="B57" s="165" t="s">
        <v>1080</v>
      </c>
      <c r="C57" s="165" t="s">
        <v>206</v>
      </c>
      <c r="D57" s="165" t="s">
        <v>210</v>
      </c>
      <c r="E57" s="165" t="s">
        <v>220</v>
      </c>
    </row>
    <row r="58" spans="1:7" x14ac:dyDescent="0.25">
      <c r="A58" s="165" t="s">
        <v>282</v>
      </c>
      <c r="B58" s="165" t="s">
        <v>1080</v>
      </c>
      <c r="C58" s="165" t="s">
        <v>206</v>
      </c>
      <c r="D58" s="165" t="s">
        <v>210</v>
      </c>
      <c r="E58" s="165" t="s">
        <v>220</v>
      </c>
    </row>
    <row r="59" spans="1:7" x14ac:dyDescent="0.25">
      <c r="A59" s="165" t="s">
        <v>283</v>
      </c>
      <c r="B59" s="165" t="s">
        <v>1080</v>
      </c>
      <c r="C59" s="165" t="s">
        <v>206</v>
      </c>
      <c r="D59" s="165" t="s">
        <v>210</v>
      </c>
      <c r="E59" s="165" t="s">
        <v>220</v>
      </c>
    </row>
    <row r="60" spans="1:7" x14ac:dyDescent="0.25">
      <c r="A60" s="165" t="s">
        <v>284</v>
      </c>
      <c r="B60" s="165" t="s">
        <v>1080</v>
      </c>
      <c r="C60" s="165" t="s">
        <v>206</v>
      </c>
      <c r="D60" s="165" t="s">
        <v>210</v>
      </c>
      <c r="E60" s="165" t="s">
        <v>220</v>
      </c>
    </row>
    <row r="61" spans="1:7" x14ac:dyDescent="0.25">
      <c r="A61" s="165" t="s">
        <v>285</v>
      </c>
      <c r="B61" s="165" t="s">
        <v>1080</v>
      </c>
      <c r="C61" s="165" t="s">
        <v>206</v>
      </c>
      <c r="D61" s="165" t="s">
        <v>210</v>
      </c>
      <c r="E61" s="165" t="s">
        <v>220</v>
      </c>
    </row>
    <row r="62" spans="1:7" x14ac:dyDescent="0.25">
      <c r="A62" s="165" t="s">
        <v>286</v>
      </c>
      <c r="B62" s="165" t="s">
        <v>1080</v>
      </c>
      <c r="C62" s="165" t="s">
        <v>206</v>
      </c>
      <c r="D62" s="165" t="s">
        <v>210</v>
      </c>
      <c r="E62" s="165">
        <v>19.8</v>
      </c>
      <c r="F62" s="165">
        <f>AVERAGE(E63:E66)</f>
        <v>19.127500000000001</v>
      </c>
      <c r="G62" s="165">
        <f>STDEV(E63:E66)</f>
        <v>0.92109988600585557</v>
      </c>
    </row>
    <row r="63" spans="1:7" x14ac:dyDescent="0.25">
      <c r="A63" s="165" t="s">
        <v>287</v>
      </c>
      <c r="B63" s="165" t="s">
        <v>1080</v>
      </c>
      <c r="C63" s="165" t="s">
        <v>206</v>
      </c>
      <c r="D63" s="165" t="s">
        <v>210</v>
      </c>
      <c r="E63" s="165">
        <v>19.82</v>
      </c>
    </row>
    <row r="64" spans="1:7" x14ac:dyDescent="0.25">
      <c r="A64" s="165" t="s">
        <v>288</v>
      </c>
      <c r="B64" s="165" t="s">
        <v>1080</v>
      </c>
      <c r="C64" s="165" t="s">
        <v>206</v>
      </c>
      <c r="D64" s="165" t="s">
        <v>210</v>
      </c>
      <c r="E64" s="165">
        <v>19.489999999999998</v>
      </c>
    </row>
    <row r="65" spans="1:7" x14ac:dyDescent="0.25">
      <c r="A65" s="165" t="s">
        <v>289</v>
      </c>
      <c r="B65" s="165" t="s">
        <v>1080</v>
      </c>
      <c r="C65" s="165" t="s">
        <v>206</v>
      </c>
      <c r="D65" s="165" t="s">
        <v>210</v>
      </c>
      <c r="E65" s="165">
        <v>19.43</v>
      </c>
    </row>
    <row r="66" spans="1:7" x14ac:dyDescent="0.25">
      <c r="A66" s="165" t="s">
        <v>290</v>
      </c>
      <c r="B66" s="165" t="s">
        <v>1080</v>
      </c>
      <c r="C66" s="165" t="s">
        <v>206</v>
      </c>
      <c r="D66" s="165" t="s">
        <v>210</v>
      </c>
      <c r="E66" s="165">
        <v>17.77</v>
      </c>
    </row>
    <row r="67" spans="1:7" x14ac:dyDescent="0.25">
      <c r="A67" s="165" t="s">
        <v>291</v>
      </c>
      <c r="B67" s="165" t="s">
        <v>1080</v>
      </c>
      <c r="C67" s="165" t="s">
        <v>206</v>
      </c>
      <c r="D67" s="165" t="s">
        <v>210</v>
      </c>
      <c r="E67" s="165" t="s">
        <v>220</v>
      </c>
      <c r="F67" s="165" t="e">
        <f>AVERAGE(E68:E71)</f>
        <v>#DIV/0!</v>
      </c>
      <c r="G67" s="165" t="e">
        <f>STDEV(E68:E71)</f>
        <v>#DIV/0!</v>
      </c>
    </row>
    <row r="68" spans="1:7" x14ac:dyDescent="0.25">
      <c r="A68" s="165" t="s">
        <v>292</v>
      </c>
      <c r="B68" s="165" t="s">
        <v>1080</v>
      </c>
      <c r="C68" s="165" t="s">
        <v>206</v>
      </c>
      <c r="D68" s="165" t="s">
        <v>210</v>
      </c>
      <c r="E68" s="165" t="s">
        <v>220</v>
      </c>
    </row>
    <row r="69" spans="1:7" x14ac:dyDescent="0.25">
      <c r="A69" s="165" t="s">
        <v>293</v>
      </c>
      <c r="B69" s="165" t="s">
        <v>1080</v>
      </c>
      <c r="C69" s="165" t="s">
        <v>206</v>
      </c>
      <c r="D69" s="165" t="s">
        <v>210</v>
      </c>
      <c r="E69" s="165" t="s">
        <v>220</v>
      </c>
    </row>
    <row r="70" spans="1:7" x14ac:dyDescent="0.25">
      <c r="A70" s="165" t="s">
        <v>294</v>
      </c>
      <c r="B70" s="165" t="s">
        <v>1080</v>
      </c>
      <c r="C70" s="165" t="s">
        <v>206</v>
      </c>
      <c r="D70" s="165" t="s">
        <v>210</v>
      </c>
      <c r="E70" s="165" t="s">
        <v>220</v>
      </c>
    </row>
    <row r="71" spans="1:7" x14ac:dyDescent="0.25">
      <c r="A71" s="165" t="s">
        <v>295</v>
      </c>
      <c r="B71" s="165" t="s">
        <v>1080</v>
      </c>
      <c r="C71" s="165" t="s">
        <v>206</v>
      </c>
      <c r="D71" s="165" t="s">
        <v>210</v>
      </c>
      <c r="E71" s="165" t="s">
        <v>220</v>
      </c>
    </row>
    <row r="72" spans="1:7" x14ac:dyDescent="0.25">
      <c r="A72" s="165" t="s">
        <v>296</v>
      </c>
      <c r="B72" s="165" t="s">
        <v>1080</v>
      </c>
      <c r="C72" s="165" t="s">
        <v>206</v>
      </c>
      <c r="D72" s="165" t="s">
        <v>210</v>
      </c>
      <c r="E72" s="165" t="s">
        <v>220</v>
      </c>
    </row>
    <row r="73" spans="1:7" x14ac:dyDescent="0.25">
      <c r="A73" s="165" t="s">
        <v>297</v>
      </c>
      <c r="B73" s="165" t="s">
        <v>1080</v>
      </c>
      <c r="C73" s="165" t="s">
        <v>206</v>
      </c>
      <c r="D73" s="165" t="s">
        <v>210</v>
      </c>
      <c r="E73" s="165" t="s">
        <v>220</v>
      </c>
    </row>
    <row r="74" spans="1:7" x14ac:dyDescent="0.25">
      <c r="A74" s="165" t="s">
        <v>298</v>
      </c>
      <c r="B74" s="165" t="s">
        <v>1080</v>
      </c>
      <c r="C74" s="165" t="s">
        <v>206</v>
      </c>
      <c r="D74" s="165" t="s">
        <v>210</v>
      </c>
      <c r="E74" s="165">
        <v>22.89</v>
      </c>
      <c r="F74" s="165">
        <f>AVERAGE(E75:E78)</f>
        <v>22.475000000000001</v>
      </c>
      <c r="G74" s="165">
        <f>STDEV(E75:E78)</f>
        <v>0.70543131014531435</v>
      </c>
    </row>
    <row r="75" spans="1:7" x14ac:dyDescent="0.25">
      <c r="A75" s="165" t="s">
        <v>299</v>
      </c>
      <c r="B75" s="165" t="s">
        <v>1080</v>
      </c>
      <c r="C75" s="165" t="s">
        <v>206</v>
      </c>
      <c r="D75" s="165" t="s">
        <v>210</v>
      </c>
      <c r="E75" s="165">
        <v>22.96</v>
      </c>
    </row>
    <row r="76" spans="1:7" x14ac:dyDescent="0.25">
      <c r="A76" s="165" t="s">
        <v>300</v>
      </c>
      <c r="B76" s="165" t="s">
        <v>1080</v>
      </c>
      <c r="C76" s="165" t="s">
        <v>206</v>
      </c>
      <c r="D76" s="165" t="s">
        <v>210</v>
      </c>
      <c r="E76" s="165">
        <v>22.92</v>
      </c>
    </row>
    <row r="77" spans="1:7" x14ac:dyDescent="0.25">
      <c r="A77" s="165" t="s">
        <v>301</v>
      </c>
      <c r="B77" s="165" t="s">
        <v>1080</v>
      </c>
      <c r="C77" s="165" t="s">
        <v>206</v>
      </c>
      <c r="D77" s="165" t="s">
        <v>210</v>
      </c>
      <c r="E77" s="165">
        <v>22.57</v>
      </c>
    </row>
    <row r="78" spans="1:7" x14ac:dyDescent="0.25">
      <c r="A78" s="165" t="s">
        <v>302</v>
      </c>
      <c r="B78" s="165" t="s">
        <v>1080</v>
      </c>
      <c r="C78" s="165" t="s">
        <v>206</v>
      </c>
      <c r="D78" s="165" t="s">
        <v>210</v>
      </c>
      <c r="E78" s="165">
        <v>21.45</v>
      </c>
    </row>
    <row r="79" spans="1:7" x14ac:dyDescent="0.25">
      <c r="A79" s="165" t="s">
        <v>303</v>
      </c>
      <c r="B79" s="165" t="s">
        <v>1080</v>
      </c>
      <c r="C79" s="165" t="s">
        <v>206</v>
      </c>
      <c r="D79" s="165" t="s">
        <v>210</v>
      </c>
      <c r="E79" s="165" t="s">
        <v>220</v>
      </c>
      <c r="F79" s="165" t="e">
        <f>AVERAGE(E80:E83)</f>
        <v>#DIV/0!</v>
      </c>
      <c r="G79" s="165" t="e">
        <f>STDEV(E80:E83)</f>
        <v>#DIV/0!</v>
      </c>
    </row>
    <row r="80" spans="1:7" x14ac:dyDescent="0.25">
      <c r="A80" s="165" t="s">
        <v>304</v>
      </c>
      <c r="B80" s="165" t="s">
        <v>1080</v>
      </c>
      <c r="C80" s="165" t="s">
        <v>206</v>
      </c>
      <c r="D80" s="165" t="s">
        <v>210</v>
      </c>
      <c r="E80" s="165" t="s">
        <v>220</v>
      </c>
    </row>
    <row r="81" spans="1:7" x14ac:dyDescent="0.25">
      <c r="A81" s="165" t="s">
        <v>305</v>
      </c>
      <c r="B81" s="165" t="s">
        <v>1080</v>
      </c>
      <c r="C81" s="165" t="s">
        <v>206</v>
      </c>
      <c r="D81" s="165" t="s">
        <v>210</v>
      </c>
      <c r="E81" s="165" t="s">
        <v>220</v>
      </c>
    </row>
    <row r="82" spans="1:7" x14ac:dyDescent="0.25">
      <c r="A82" s="165" t="s">
        <v>306</v>
      </c>
      <c r="B82" s="165" t="s">
        <v>1080</v>
      </c>
      <c r="C82" s="165" t="s">
        <v>206</v>
      </c>
      <c r="D82" s="165" t="s">
        <v>210</v>
      </c>
      <c r="E82" s="165" t="s">
        <v>220</v>
      </c>
    </row>
    <row r="83" spans="1:7" x14ac:dyDescent="0.25">
      <c r="A83" s="165" t="s">
        <v>307</v>
      </c>
      <c r="B83" s="165" t="s">
        <v>1080</v>
      </c>
      <c r="C83" s="165" t="s">
        <v>206</v>
      </c>
      <c r="D83" s="165" t="s">
        <v>210</v>
      </c>
      <c r="E83" s="165" t="s">
        <v>220</v>
      </c>
    </row>
    <row r="84" spans="1:7" x14ac:dyDescent="0.25">
      <c r="A84" s="165" t="s">
        <v>308</v>
      </c>
      <c r="B84" s="165" t="s">
        <v>1080</v>
      </c>
      <c r="C84" s="165" t="s">
        <v>206</v>
      </c>
      <c r="D84" s="165" t="s">
        <v>210</v>
      </c>
      <c r="E84" s="165" t="s">
        <v>220</v>
      </c>
    </row>
    <row r="85" spans="1:7" x14ac:dyDescent="0.25">
      <c r="A85" s="165" t="s">
        <v>309</v>
      </c>
      <c r="B85" s="165" t="s">
        <v>1080</v>
      </c>
      <c r="C85" s="165" t="s">
        <v>206</v>
      </c>
      <c r="D85" s="165" t="s">
        <v>210</v>
      </c>
      <c r="E85" s="165" t="s">
        <v>220</v>
      </c>
    </row>
    <row r="86" spans="1:7" x14ac:dyDescent="0.25">
      <c r="A86" s="165" t="s">
        <v>310</v>
      </c>
      <c r="B86" s="165" t="s">
        <v>1080</v>
      </c>
      <c r="C86" s="165" t="s">
        <v>206</v>
      </c>
      <c r="D86" s="165" t="s">
        <v>210</v>
      </c>
      <c r="E86" s="165">
        <v>9.43</v>
      </c>
      <c r="F86" s="165">
        <f>AVERAGE(E87:E90)</f>
        <v>26.494999999999997</v>
      </c>
      <c r="G86" s="165">
        <f>STDEV(E87:E90)</f>
        <v>1.0081170566953033</v>
      </c>
    </row>
    <row r="87" spans="1:7" x14ac:dyDescent="0.25">
      <c r="A87" s="165" t="s">
        <v>311</v>
      </c>
      <c r="B87" s="165" t="s">
        <v>1080</v>
      </c>
      <c r="C87" s="165" t="s">
        <v>206</v>
      </c>
      <c r="D87" s="165" t="s">
        <v>210</v>
      </c>
      <c r="E87" s="165">
        <v>26.99</v>
      </c>
    </row>
    <row r="88" spans="1:7" x14ac:dyDescent="0.25">
      <c r="A88" s="165" t="s">
        <v>312</v>
      </c>
      <c r="B88" s="165" t="s">
        <v>1080</v>
      </c>
      <c r="C88" s="165" t="s">
        <v>206</v>
      </c>
      <c r="D88" s="165" t="s">
        <v>210</v>
      </c>
      <c r="E88" s="165">
        <v>27.39</v>
      </c>
    </row>
    <row r="89" spans="1:7" x14ac:dyDescent="0.25">
      <c r="A89" s="165" t="s">
        <v>313</v>
      </c>
      <c r="B89" s="165" t="s">
        <v>1080</v>
      </c>
      <c r="C89" s="165" t="s">
        <v>206</v>
      </c>
      <c r="D89" s="165" t="s">
        <v>210</v>
      </c>
      <c r="E89" s="165">
        <v>26.52</v>
      </c>
    </row>
    <row r="90" spans="1:7" x14ac:dyDescent="0.25">
      <c r="A90" s="165" t="s">
        <v>314</v>
      </c>
      <c r="B90" s="165" t="s">
        <v>1080</v>
      </c>
      <c r="C90" s="165" t="s">
        <v>206</v>
      </c>
      <c r="D90" s="165" t="s">
        <v>210</v>
      </c>
      <c r="E90" s="165">
        <v>25.08</v>
      </c>
    </row>
    <row r="91" spans="1:7" x14ac:dyDescent="0.25">
      <c r="A91" s="165" t="s">
        <v>315</v>
      </c>
      <c r="B91" s="165" t="s">
        <v>1080</v>
      </c>
      <c r="C91" s="165" t="s">
        <v>206</v>
      </c>
      <c r="D91" s="165" t="s">
        <v>210</v>
      </c>
      <c r="E91" s="165" t="s">
        <v>220</v>
      </c>
      <c r="F91" s="165" t="e">
        <f>AVERAGE(E92:E95)</f>
        <v>#DIV/0!</v>
      </c>
      <c r="G91" s="165" t="e">
        <f>STDEV(E92:E95)</f>
        <v>#DIV/0!</v>
      </c>
    </row>
    <row r="92" spans="1:7" x14ac:dyDescent="0.25">
      <c r="A92" s="165" t="s">
        <v>316</v>
      </c>
      <c r="B92" s="165" t="s">
        <v>1080</v>
      </c>
      <c r="C92" s="165" t="s">
        <v>206</v>
      </c>
      <c r="D92" s="165" t="s">
        <v>210</v>
      </c>
      <c r="E92" s="165" t="s">
        <v>220</v>
      </c>
    </row>
    <row r="93" spans="1:7" x14ac:dyDescent="0.25">
      <c r="A93" s="165" t="s">
        <v>317</v>
      </c>
      <c r="B93" s="165" t="s">
        <v>1080</v>
      </c>
      <c r="C93" s="165" t="s">
        <v>206</v>
      </c>
      <c r="D93" s="165" t="s">
        <v>210</v>
      </c>
      <c r="E93" s="165" t="s">
        <v>220</v>
      </c>
    </row>
    <row r="94" spans="1:7" x14ac:dyDescent="0.25">
      <c r="A94" s="165" t="s">
        <v>318</v>
      </c>
      <c r="B94" s="165" t="s">
        <v>1080</v>
      </c>
      <c r="C94" s="165" t="s">
        <v>206</v>
      </c>
      <c r="D94" s="165" t="s">
        <v>210</v>
      </c>
      <c r="E94" s="165" t="s">
        <v>220</v>
      </c>
    </row>
    <row r="95" spans="1:7" x14ac:dyDescent="0.25">
      <c r="A95" s="165" t="s">
        <v>319</v>
      </c>
      <c r="B95" s="165" t="s">
        <v>1080</v>
      </c>
      <c r="C95" s="165" t="s">
        <v>206</v>
      </c>
      <c r="D95" s="165" t="s">
        <v>210</v>
      </c>
      <c r="E95" s="165" t="s">
        <v>220</v>
      </c>
    </row>
    <row r="96" spans="1:7" x14ac:dyDescent="0.25">
      <c r="A96" s="165" t="s">
        <v>321</v>
      </c>
      <c r="B96" s="165" t="s">
        <v>1080</v>
      </c>
      <c r="C96" s="165" t="s">
        <v>206</v>
      </c>
      <c r="D96" s="165" t="s">
        <v>210</v>
      </c>
      <c r="E96" s="165" t="s">
        <v>220</v>
      </c>
    </row>
    <row r="97" spans="1:5" x14ac:dyDescent="0.25">
      <c r="A97" s="165" t="s">
        <v>322</v>
      </c>
      <c r="B97" s="165" t="s">
        <v>1080</v>
      </c>
      <c r="C97" s="165" t="s">
        <v>206</v>
      </c>
      <c r="D97" s="165" t="s">
        <v>210</v>
      </c>
      <c r="E97" s="165" t="s">
        <v>220</v>
      </c>
    </row>
  </sheetData>
  <mergeCells count="1">
    <mergeCell ref="J1:M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C75F1-E3E4-48F8-AD7C-400493659133}">
  <sheetPr codeName="Sheet29"/>
  <dimension ref="A1:AK176"/>
  <sheetViews>
    <sheetView topLeftCell="A112" zoomScale="70" zoomScaleNormal="70" workbookViewId="0">
      <selection activeCell="S119" sqref="S119"/>
    </sheetView>
  </sheetViews>
  <sheetFormatPr defaultRowHeight="15" x14ac:dyDescent="0.25"/>
  <cols>
    <col min="4" max="4" width="9.28515625" bestFit="1" customWidth="1"/>
    <col min="5" max="5" width="9.5703125" bestFit="1" customWidth="1"/>
    <col min="13" max="13" width="12" bestFit="1" customWidth="1"/>
    <col min="15" max="15" width="12.7109375" bestFit="1" customWidth="1"/>
    <col min="16" max="17" width="12" bestFit="1" customWidth="1"/>
    <col min="18" max="18" width="12.28515625" bestFit="1" customWidth="1"/>
    <col min="19" max="19" width="12" bestFit="1" customWidth="1"/>
  </cols>
  <sheetData>
    <row r="1" spans="1:7" x14ac:dyDescent="0.25">
      <c r="A1">
        <v>20210529</v>
      </c>
    </row>
    <row r="2" spans="1:7" s="165" customFormat="1" x14ac:dyDescent="0.25">
      <c r="A2" s="165" t="s">
        <v>1075</v>
      </c>
    </row>
    <row r="3" spans="1:7" s="165" customFormat="1" x14ac:dyDescent="0.25">
      <c r="A3" s="165" t="s">
        <v>1076</v>
      </c>
    </row>
    <row r="4" spans="1:7" s="165" customFormat="1" x14ac:dyDescent="0.25"/>
    <row r="5" spans="1:7" s="165" customFormat="1" ht="15.75" thickBot="1" x14ac:dyDescent="0.3"/>
    <row r="6" spans="1:7" s="165" customFormat="1" x14ac:dyDescent="0.25">
      <c r="A6" s="123" t="s">
        <v>822</v>
      </c>
      <c r="B6" s="77"/>
      <c r="C6" s="77"/>
      <c r="D6" s="78" t="s">
        <v>125</v>
      </c>
      <c r="E6" s="79"/>
      <c r="F6" s="79"/>
      <c r="G6" s="80">
        <v>500</v>
      </c>
    </row>
    <row r="7" spans="1:7" ht="15.75" thickBot="1" x14ac:dyDescent="0.3">
      <c r="A7" s="6" t="s">
        <v>126</v>
      </c>
      <c r="B7" s="77"/>
      <c r="C7" s="77"/>
      <c r="D7" s="307" t="s">
        <v>127</v>
      </c>
      <c r="E7" s="307"/>
      <c r="F7" s="307"/>
      <c r="G7" s="170">
        <v>0.05</v>
      </c>
    </row>
    <row r="8" spans="1:7" x14ac:dyDescent="0.25">
      <c r="A8" s="77" t="s">
        <v>136</v>
      </c>
      <c r="B8" s="77">
        <v>10</v>
      </c>
      <c r="C8" s="77" t="s">
        <v>137</v>
      </c>
      <c r="D8" s="165"/>
      <c r="E8" s="308"/>
      <c r="F8" s="300"/>
      <c r="G8" s="300"/>
    </row>
    <row r="9" spans="1:7" x14ac:dyDescent="0.25">
      <c r="A9" s="77" t="s">
        <v>138</v>
      </c>
      <c r="B9" s="77">
        <v>1000</v>
      </c>
      <c r="C9" s="77" t="s">
        <v>137</v>
      </c>
      <c r="D9" s="85"/>
      <c r="E9" s="165"/>
      <c r="F9" s="86"/>
      <c r="G9" s="87"/>
    </row>
    <row r="10" spans="1:7" x14ac:dyDescent="0.25">
      <c r="A10" s="77" t="s">
        <v>139</v>
      </c>
      <c r="B10" s="77">
        <v>50</v>
      </c>
      <c r="C10" s="77" t="s">
        <v>140</v>
      </c>
      <c r="D10" s="165"/>
      <c r="E10" s="165"/>
      <c r="F10" s="86"/>
      <c r="G10" s="87"/>
    </row>
    <row r="11" spans="1:7" x14ac:dyDescent="0.25">
      <c r="A11" s="77" t="s">
        <v>142</v>
      </c>
      <c r="B11" s="77">
        <v>50</v>
      </c>
      <c r="C11" s="77" t="s">
        <v>143</v>
      </c>
      <c r="D11" s="165"/>
      <c r="E11" s="165"/>
      <c r="F11" s="86"/>
      <c r="G11" s="87"/>
    </row>
    <row r="12" spans="1:7" x14ac:dyDescent="0.25">
      <c r="A12" s="77" t="s">
        <v>144</v>
      </c>
      <c r="B12" s="77">
        <v>50</v>
      </c>
      <c r="C12" s="77" t="s">
        <v>145</v>
      </c>
      <c r="D12" s="85"/>
      <c r="E12" s="165"/>
      <c r="F12" s="86"/>
      <c r="G12" s="87"/>
    </row>
    <row r="13" spans="1:7" x14ac:dyDescent="0.25">
      <c r="A13" s="77" t="s">
        <v>146</v>
      </c>
      <c r="B13" s="77">
        <v>10</v>
      </c>
      <c r="C13" s="77" t="s">
        <v>147</v>
      </c>
      <c r="D13" s="85"/>
      <c r="E13" s="165"/>
      <c r="F13" s="86"/>
      <c r="G13" s="87"/>
    </row>
    <row r="14" spans="1:7" ht="75" x14ac:dyDescent="0.25">
      <c r="A14" s="5" t="s">
        <v>148</v>
      </c>
      <c r="B14" s="77">
        <v>45</v>
      </c>
      <c r="C14" s="77" t="s">
        <v>143</v>
      </c>
      <c r="D14" s="165"/>
      <c r="E14" s="165"/>
      <c r="F14" s="86"/>
      <c r="G14" s="87"/>
    </row>
    <row r="15" spans="1:7" x14ac:dyDescent="0.25">
      <c r="A15" s="77" t="s">
        <v>149</v>
      </c>
      <c r="B15" s="77">
        <v>25</v>
      </c>
      <c r="C15" s="77" t="s">
        <v>143</v>
      </c>
      <c r="D15" s="165"/>
      <c r="E15" s="165"/>
      <c r="F15" s="165"/>
      <c r="G15" s="84"/>
    </row>
    <row r="16" spans="1:7" x14ac:dyDescent="0.25">
      <c r="A16" s="77" t="s">
        <v>929</v>
      </c>
      <c r="B16" s="171">
        <v>100</v>
      </c>
      <c r="C16" s="171" t="s">
        <v>27</v>
      </c>
      <c r="D16" s="165"/>
      <c r="E16" s="165"/>
      <c r="F16" s="165"/>
      <c r="G16" s="84"/>
    </row>
    <row r="17" spans="1:7" x14ac:dyDescent="0.25">
      <c r="A17" s="77" t="s">
        <v>931</v>
      </c>
      <c r="B17" s="171">
        <v>100</v>
      </c>
      <c r="C17" s="171" t="s">
        <v>27</v>
      </c>
      <c r="D17" s="165"/>
      <c r="E17" s="165"/>
      <c r="F17" s="165"/>
      <c r="G17" s="84"/>
    </row>
    <row r="18" spans="1:7" x14ac:dyDescent="0.25">
      <c r="A18" s="77" t="s">
        <v>969</v>
      </c>
      <c r="B18" s="171">
        <v>100</v>
      </c>
      <c r="C18" s="171" t="s">
        <v>27</v>
      </c>
      <c r="D18" s="165"/>
      <c r="E18" s="165"/>
      <c r="F18" s="165"/>
      <c r="G18" s="84"/>
    </row>
    <row r="19" spans="1:7" x14ac:dyDescent="0.25">
      <c r="A19" s="77" t="s">
        <v>894</v>
      </c>
      <c r="B19" s="171">
        <v>100</v>
      </c>
      <c r="C19" s="171" t="s">
        <v>27</v>
      </c>
      <c r="D19" s="165"/>
      <c r="E19" s="165"/>
      <c r="F19" s="165"/>
      <c r="G19" s="84"/>
    </row>
    <row r="20" spans="1:7" x14ac:dyDescent="0.25">
      <c r="A20" s="77" t="s">
        <v>115</v>
      </c>
      <c r="B20" s="171">
        <v>100</v>
      </c>
      <c r="C20" s="171" t="s">
        <v>27</v>
      </c>
      <c r="D20" s="165"/>
      <c r="E20" s="165"/>
      <c r="F20" s="165"/>
      <c r="G20" s="84"/>
    </row>
    <row r="21" spans="1:7" x14ac:dyDescent="0.25">
      <c r="A21" s="77" t="s">
        <v>116</v>
      </c>
      <c r="B21" s="171">
        <v>100</v>
      </c>
      <c r="C21" s="171" t="s">
        <v>27</v>
      </c>
      <c r="D21" s="165"/>
      <c r="E21" s="165"/>
      <c r="F21" s="165"/>
      <c r="G21" s="84"/>
    </row>
    <row r="22" spans="1:7" ht="15.75" thickBot="1" x14ac:dyDescent="0.3">
      <c r="A22" s="105"/>
      <c r="B22" s="165"/>
      <c r="C22" s="165"/>
      <c r="D22" s="165"/>
      <c r="E22" s="165"/>
      <c r="F22" s="165"/>
      <c r="G22" s="84"/>
    </row>
    <row r="23" spans="1:7" x14ac:dyDescent="0.25">
      <c r="A23" s="127" t="s">
        <v>50</v>
      </c>
      <c r="B23" s="128" t="s">
        <v>74</v>
      </c>
      <c r="C23" s="128"/>
      <c r="D23" s="128" t="s">
        <v>150</v>
      </c>
      <c r="E23" s="129"/>
      <c r="F23" s="318" t="s">
        <v>151</v>
      </c>
      <c r="G23" s="319"/>
    </row>
    <row r="24" spans="1:7" x14ac:dyDescent="0.25">
      <c r="A24" s="130" t="s">
        <v>136</v>
      </c>
      <c r="B24" s="131">
        <v>0.25</v>
      </c>
      <c r="C24" s="131" t="s">
        <v>137</v>
      </c>
      <c r="D24" s="132">
        <f>32*B24/B8</f>
        <v>0.8</v>
      </c>
      <c r="E24" s="133" t="s">
        <v>56</v>
      </c>
      <c r="F24" s="132">
        <f>D24*$G$4*(1+$G$5)</f>
        <v>0</v>
      </c>
      <c r="G24" s="134" t="str">
        <f t="shared" ref="G24:G39" si="0">E24</f>
        <v>uL</v>
      </c>
    </row>
    <row r="25" spans="1:7" x14ac:dyDescent="0.25">
      <c r="A25" s="130" t="s">
        <v>139</v>
      </c>
      <c r="B25" s="131">
        <v>2.5</v>
      </c>
      <c r="C25" s="131" t="s">
        <v>52</v>
      </c>
      <c r="D25" s="132">
        <f>B25/B10</f>
        <v>0.05</v>
      </c>
      <c r="E25" s="133" t="s">
        <v>56</v>
      </c>
      <c r="F25" s="132">
        <f t="shared" ref="F25:F39" si="1">D25*$G$4*(1+$G$5)</f>
        <v>0</v>
      </c>
      <c r="G25" s="134" t="str">
        <f t="shared" si="0"/>
        <v>uL</v>
      </c>
    </row>
    <row r="26" spans="1:7" x14ac:dyDescent="0.25">
      <c r="A26" s="130" t="s">
        <v>138</v>
      </c>
      <c r="B26" s="131">
        <v>3.5</v>
      </c>
      <c r="C26" s="131" t="s">
        <v>137</v>
      </c>
      <c r="D26" s="132">
        <f>(20*(B26/B9))</f>
        <v>7.0000000000000007E-2</v>
      </c>
      <c r="E26" s="133" t="s">
        <v>56</v>
      </c>
      <c r="F26" s="132">
        <f t="shared" si="1"/>
        <v>0</v>
      </c>
      <c r="G26" s="134" t="str">
        <f t="shared" si="0"/>
        <v>uL</v>
      </c>
    </row>
    <row r="27" spans="1:7" x14ac:dyDescent="0.25">
      <c r="A27" s="130" t="s">
        <v>142</v>
      </c>
      <c r="B27" s="131">
        <v>10</v>
      </c>
      <c r="C27" s="131" t="s">
        <v>143</v>
      </c>
      <c r="D27" s="132">
        <f>20*B27/B11</f>
        <v>4</v>
      </c>
      <c r="E27" s="133" t="s">
        <v>56</v>
      </c>
      <c r="F27" s="132">
        <f t="shared" si="1"/>
        <v>0</v>
      </c>
      <c r="G27" s="134" t="str">
        <f t="shared" si="0"/>
        <v>uL</v>
      </c>
    </row>
    <row r="28" spans="1:7" x14ac:dyDescent="0.25">
      <c r="A28" s="130" t="s">
        <v>144</v>
      </c>
      <c r="B28" s="131">
        <v>0.5</v>
      </c>
      <c r="C28" s="131" t="s">
        <v>145</v>
      </c>
      <c r="D28" s="132">
        <f>20*B28/B12</f>
        <v>0.2</v>
      </c>
      <c r="E28" s="133" t="s">
        <v>56</v>
      </c>
      <c r="F28" s="132">
        <f t="shared" si="1"/>
        <v>0</v>
      </c>
      <c r="G28" s="134" t="str">
        <f t="shared" si="0"/>
        <v>uL</v>
      </c>
    </row>
    <row r="29" spans="1:7" x14ac:dyDescent="0.25">
      <c r="A29" s="130" t="s">
        <v>159</v>
      </c>
      <c r="B29" s="131">
        <v>1</v>
      </c>
      <c r="C29" s="131" t="s">
        <v>147</v>
      </c>
      <c r="D29" s="132">
        <f>20*B29/B13</f>
        <v>2</v>
      </c>
      <c r="E29" s="133" t="s">
        <v>56</v>
      </c>
      <c r="F29" s="132">
        <f t="shared" si="1"/>
        <v>0</v>
      </c>
      <c r="G29" s="134" t="str">
        <f t="shared" si="0"/>
        <v>uL</v>
      </c>
    </row>
    <row r="30" spans="1:7" x14ac:dyDescent="0.25">
      <c r="A30" s="130" t="s">
        <v>148</v>
      </c>
      <c r="B30" s="131">
        <v>5</v>
      </c>
      <c r="C30" s="131" t="s">
        <v>143</v>
      </c>
      <c r="D30" s="132">
        <f>20*B30/B14</f>
        <v>2.2222222222222223</v>
      </c>
      <c r="E30" s="133" t="s">
        <v>56</v>
      </c>
      <c r="F30" s="132">
        <f t="shared" si="1"/>
        <v>0</v>
      </c>
      <c r="G30" s="134" t="str">
        <f t="shared" si="0"/>
        <v>uL</v>
      </c>
    </row>
    <row r="31" spans="1:7" x14ac:dyDescent="0.25">
      <c r="A31" s="105" t="s">
        <v>823</v>
      </c>
      <c r="B31" s="110">
        <v>3</v>
      </c>
      <c r="C31" s="110" t="s">
        <v>143</v>
      </c>
      <c r="D31" s="116">
        <f>B31*20/B15</f>
        <v>2.4</v>
      </c>
      <c r="E31" s="133" t="s">
        <v>56</v>
      </c>
      <c r="F31" s="132">
        <f t="shared" si="1"/>
        <v>0</v>
      </c>
      <c r="G31" s="134" t="str">
        <f t="shared" si="0"/>
        <v>uL</v>
      </c>
    </row>
    <row r="32" spans="1:7" x14ac:dyDescent="0.25">
      <c r="A32" s="105" t="s">
        <v>929</v>
      </c>
      <c r="B32" s="110">
        <v>0.4</v>
      </c>
      <c r="C32" s="110" t="s">
        <v>27</v>
      </c>
      <c r="D32" s="116">
        <f>B32*20/B16</f>
        <v>0.08</v>
      </c>
      <c r="E32" s="133" t="s">
        <v>56</v>
      </c>
      <c r="F32" s="132">
        <f>D32*$G$4*(1+$G$5)</f>
        <v>0</v>
      </c>
      <c r="G32" s="134" t="str">
        <f t="shared" si="0"/>
        <v>uL</v>
      </c>
    </row>
    <row r="33" spans="1:7" x14ac:dyDescent="0.25">
      <c r="A33" s="105" t="s">
        <v>931</v>
      </c>
      <c r="B33" s="110">
        <v>0.4</v>
      </c>
      <c r="C33" s="110" t="s">
        <v>27</v>
      </c>
      <c r="D33" s="116">
        <f t="shared" ref="D33:D37" si="2">B33*20/B17</f>
        <v>0.08</v>
      </c>
      <c r="E33" s="133" t="s">
        <v>56</v>
      </c>
      <c r="F33" s="132">
        <f t="shared" si="1"/>
        <v>0</v>
      </c>
      <c r="G33" s="134" t="str">
        <f t="shared" si="0"/>
        <v>uL</v>
      </c>
    </row>
    <row r="34" spans="1:7" x14ac:dyDescent="0.25">
      <c r="A34" s="105" t="s">
        <v>969</v>
      </c>
      <c r="B34" s="110">
        <v>0.5</v>
      </c>
      <c r="C34" s="110" t="s">
        <v>27</v>
      </c>
      <c r="D34" s="116">
        <f t="shared" si="2"/>
        <v>0.1</v>
      </c>
      <c r="E34" s="133" t="s">
        <v>56</v>
      </c>
      <c r="F34" s="132">
        <f t="shared" si="1"/>
        <v>0</v>
      </c>
      <c r="G34" s="134" t="str">
        <f t="shared" si="0"/>
        <v>uL</v>
      </c>
    </row>
    <row r="35" spans="1:7" x14ac:dyDescent="0.25">
      <c r="A35" s="105" t="s">
        <v>894</v>
      </c>
      <c r="B35" s="110">
        <v>0.3</v>
      </c>
      <c r="C35" s="110" t="s">
        <v>27</v>
      </c>
      <c r="D35" s="172">
        <v>0</v>
      </c>
      <c r="E35" s="133" t="s">
        <v>56</v>
      </c>
      <c r="F35" s="138">
        <f t="shared" si="1"/>
        <v>0</v>
      </c>
      <c r="G35" s="134" t="str">
        <f t="shared" si="0"/>
        <v>uL</v>
      </c>
    </row>
    <row r="36" spans="1:7" x14ac:dyDescent="0.25">
      <c r="A36" s="105" t="s">
        <v>115</v>
      </c>
      <c r="B36" s="110">
        <v>0.3</v>
      </c>
      <c r="C36" s="110" t="s">
        <v>27</v>
      </c>
      <c r="D36" s="116">
        <f t="shared" si="2"/>
        <v>0.06</v>
      </c>
      <c r="E36" s="133" t="s">
        <v>56</v>
      </c>
      <c r="F36" s="132">
        <f t="shared" si="1"/>
        <v>0</v>
      </c>
      <c r="G36" s="134" t="str">
        <f t="shared" si="0"/>
        <v>uL</v>
      </c>
    </row>
    <row r="37" spans="1:7" x14ac:dyDescent="0.25">
      <c r="A37" s="105" t="s">
        <v>116</v>
      </c>
      <c r="B37" s="110">
        <v>0.25</v>
      </c>
      <c r="C37" s="110" t="s">
        <v>27</v>
      </c>
      <c r="D37" s="116">
        <f t="shared" si="2"/>
        <v>0.05</v>
      </c>
      <c r="E37" s="133" t="s">
        <v>56</v>
      </c>
      <c r="F37" s="132">
        <f t="shared" si="1"/>
        <v>0</v>
      </c>
      <c r="G37" s="134" t="str">
        <f t="shared" si="0"/>
        <v>uL</v>
      </c>
    </row>
    <row r="38" spans="1:7" x14ac:dyDescent="0.25">
      <c r="A38" s="105" t="s">
        <v>886</v>
      </c>
      <c r="B38" s="110">
        <v>0</v>
      </c>
      <c r="C38" s="110"/>
      <c r="D38" s="172">
        <f t="shared" ref="D38" si="3">B38*20/10</f>
        <v>0</v>
      </c>
      <c r="E38" s="133" t="s">
        <v>56</v>
      </c>
      <c r="F38" s="138">
        <f t="shared" si="1"/>
        <v>0</v>
      </c>
      <c r="G38" s="134" t="str">
        <f t="shared" si="0"/>
        <v>uL</v>
      </c>
    </row>
    <row r="39" spans="1:7" ht="15.75" thickBot="1" x14ac:dyDescent="0.3">
      <c r="A39" s="121" t="s">
        <v>161</v>
      </c>
      <c r="B39" s="122"/>
      <c r="C39" s="122"/>
      <c r="D39" s="135">
        <v>0</v>
      </c>
      <c r="E39" s="133" t="s">
        <v>56</v>
      </c>
      <c r="F39" s="138">
        <f t="shared" si="1"/>
        <v>0</v>
      </c>
      <c r="G39" s="134" t="str">
        <f t="shared" si="0"/>
        <v>uL</v>
      </c>
    </row>
    <row r="40" spans="1:7" x14ac:dyDescent="0.25">
      <c r="A40" s="165"/>
      <c r="B40" s="165"/>
      <c r="C40" s="85" t="s">
        <v>162</v>
      </c>
      <c r="D40" s="85">
        <f>SUM(D24:D39)</f>
        <v>12.112222222222224</v>
      </c>
      <c r="E40" s="85" t="s">
        <v>56</v>
      </c>
      <c r="F40" s="138">
        <f>D40*$G$4*(1+$G$5)</f>
        <v>0</v>
      </c>
      <c r="G40" s="85" t="s">
        <v>56</v>
      </c>
    </row>
    <row r="42" spans="1:7" ht="15.75" thickBot="1" x14ac:dyDescent="0.3"/>
    <row r="43" spans="1:7" x14ac:dyDescent="0.25">
      <c r="A43" s="127" t="s">
        <v>50</v>
      </c>
      <c r="B43" s="128" t="s">
        <v>74</v>
      </c>
      <c r="C43" s="128" t="s">
        <v>52</v>
      </c>
      <c r="D43" s="128" t="s">
        <v>75</v>
      </c>
      <c r="E43" s="180">
        <v>74</v>
      </c>
    </row>
    <row r="44" spans="1:7" x14ac:dyDescent="0.25">
      <c r="A44" s="105" t="s">
        <v>76</v>
      </c>
      <c r="B44" s="115"/>
      <c r="C44" s="115"/>
      <c r="D44" s="116">
        <f>D40</f>
        <v>12.112222222222224</v>
      </c>
      <c r="E44" s="181">
        <f>D44*$E$43</f>
        <v>896.30444444444458</v>
      </c>
    </row>
    <row r="45" spans="1:7" x14ac:dyDescent="0.25">
      <c r="A45" s="105" t="s">
        <v>894</v>
      </c>
      <c r="B45" s="115"/>
      <c r="C45" s="115"/>
      <c r="D45" s="116">
        <f>0.3*20/10</f>
        <v>0.6</v>
      </c>
      <c r="E45" s="181">
        <f t="shared" ref="E45:E48" si="4">D45*$E$43</f>
        <v>44.4</v>
      </c>
    </row>
    <row r="46" spans="1:7" x14ac:dyDescent="0.25">
      <c r="A46" s="105" t="s">
        <v>1077</v>
      </c>
      <c r="B46" s="115"/>
      <c r="C46" s="115"/>
      <c r="D46" s="116">
        <v>0.2</v>
      </c>
      <c r="E46" s="181">
        <f t="shared" si="4"/>
        <v>14.8</v>
      </c>
    </row>
    <row r="47" spans="1:7" x14ac:dyDescent="0.25">
      <c r="A47" s="105" t="s">
        <v>79</v>
      </c>
      <c r="B47" s="115"/>
      <c r="C47" s="115"/>
      <c r="D47" s="116">
        <f>18-SUM(D44:D46)</f>
        <v>5.0877777777777773</v>
      </c>
      <c r="E47" s="181">
        <f t="shared" si="4"/>
        <v>376.49555555555554</v>
      </c>
    </row>
    <row r="48" spans="1:7" ht="15.75" thickBot="1" x14ac:dyDescent="0.3">
      <c r="A48" s="121" t="s">
        <v>80</v>
      </c>
      <c r="B48" s="122"/>
      <c r="C48" s="122"/>
      <c r="D48" s="135">
        <v>18</v>
      </c>
      <c r="E48" s="182">
        <f t="shared" si="4"/>
        <v>1332</v>
      </c>
    </row>
    <row r="50" spans="1:18" x14ac:dyDescent="0.25">
      <c r="A50" t="s">
        <v>1079</v>
      </c>
    </row>
    <row r="51" spans="1:18" x14ac:dyDescent="0.25">
      <c r="A51" t="s">
        <v>1078</v>
      </c>
    </row>
    <row r="52" spans="1:18" ht="15.75" thickBot="1" x14ac:dyDescent="0.3"/>
    <row r="53" spans="1:18" x14ac:dyDescent="0.25">
      <c r="A53" s="91" t="s">
        <v>50</v>
      </c>
      <c r="B53" s="92" t="s">
        <v>74</v>
      </c>
      <c r="C53" s="92" t="s">
        <v>52</v>
      </c>
      <c r="D53" s="92" t="s">
        <v>75</v>
      </c>
      <c r="E53" s="93">
        <f>96*1.2</f>
        <v>115.19999999999999</v>
      </c>
    </row>
    <row r="54" spans="1:18" x14ac:dyDescent="0.25">
      <c r="A54" s="94" t="s">
        <v>76</v>
      </c>
      <c r="B54" s="95"/>
      <c r="C54" s="95"/>
      <c r="D54" s="96">
        <f>D40</f>
        <v>12.112222222222224</v>
      </c>
      <c r="E54" s="96">
        <f>D54*$E$53</f>
        <v>1395.328</v>
      </c>
    </row>
    <row r="55" spans="1:18" x14ac:dyDescent="0.25">
      <c r="A55" s="105" t="s">
        <v>894</v>
      </c>
      <c r="B55" s="115"/>
      <c r="C55" s="115"/>
      <c r="D55" s="116">
        <f>0.3*20/10</f>
        <v>0.6</v>
      </c>
      <c r="E55" s="96">
        <f t="shared" ref="E55:E58" si="5">D55*$E$53</f>
        <v>69.11999999999999</v>
      </c>
    </row>
    <row r="56" spans="1:18" x14ac:dyDescent="0.25">
      <c r="A56" s="105" t="s">
        <v>1077</v>
      </c>
      <c r="B56" s="115"/>
      <c r="C56" s="115"/>
      <c r="D56" s="116">
        <v>0.2</v>
      </c>
      <c r="E56" s="96">
        <f t="shared" si="5"/>
        <v>23.04</v>
      </c>
    </row>
    <row r="57" spans="1:18" x14ac:dyDescent="0.25">
      <c r="A57" s="165" t="s">
        <v>79</v>
      </c>
      <c r="B57" s="165"/>
      <c r="C57" s="165"/>
      <c r="D57" s="96">
        <f>18-SUM(D54:D56)</f>
        <v>5.0877777777777773</v>
      </c>
      <c r="E57" s="96">
        <f t="shared" si="5"/>
        <v>586.11199999999985</v>
      </c>
    </row>
    <row r="58" spans="1:18" ht="15.75" thickBot="1" x14ac:dyDescent="0.3">
      <c r="A58" s="97" t="s">
        <v>80</v>
      </c>
      <c r="B58" s="98"/>
      <c r="C58" s="98"/>
      <c r="D58" s="99">
        <f>SUM(D54:D57)</f>
        <v>18</v>
      </c>
      <c r="E58" s="96">
        <f t="shared" si="5"/>
        <v>2073.6</v>
      </c>
    </row>
    <row r="61" spans="1:18" x14ac:dyDescent="0.25">
      <c r="A61" s="165" t="s">
        <v>198</v>
      </c>
      <c r="B61" s="165" t="s">
        <v>199</v>
      </c>
      <c r="C61" s="165" t="s">
        <v>200</v>
      </c>
      <c r="D61" s="165" t="s">
        <v>201</v>
      </c>
      <c r="E61" s="165" t="s">
        <v>202</v>
      </c>
      <c r="F61" s="184" t="s">
        <v>807</v>
      </c>
      <c r="G61" s="184" t="s">
        <v>1092</v>
      </c>
      <c r="I61" s="107"/>
      <c r="J61" s="107"/>
      <c r="K61" s="107"/>
      <c r="L61" s="107"/>
      <c r="M61" s="107"/>
      <c r="N61" s="107"/>
      <c r="O61" s="107"/>
      <c r="P61" s="107"/>
      <c r="Q61" s="107"/>
      <c r="R61" s="107"/>
    </row>
    <row r="62" spans="1:18" x14ac:dyDescent="0.25">
      <c r="A62" s="165" t="s">
        <v>204</v>
      </c>
      <c r="B62" s="165" t="s">
        <v>1080</v>
      </c>
      <c r="C62" s="165" t="s">
        <v>206</v>
      </c>
      <c r="D62" s="165" t="s">
        <v>210</v>
      </c>
      <c r="E62" s="165">
        <v>34.46</v>
      </c>
      <c r="F62" s="165">
        <f>AVERAGE(E63:E73)</f>
        <v>35.523636363636363</v>
      </c>
      <c r="G62" s="165">
        <f>STDEV(E63:E73)</f>
        <v>0.52209716963938257</v>
      </c>
      <c r="I62" s="89"/>
      <c r="J62" s="165"/>
      <c r="K62" s="165"/>
      <c r="L62" s="107"/>
      <c r="M62" s="107"/>
      <c r="N62" s="186"/>
      <c r="O62" s="186"/>
      <c r="P62" s="107"/>
      <c r="Q62" s="165"/>
      <c r="R62" s="186"/>
    </row>
    <row r="63" spans="1:18" x14ac:dyDescent="0.25">
      <c r="A63" s="165" t="s">
        <v>211</v>
      </c>
      <c r="B63" s="165" t="s">
        <v>1080</v>
      </c>
      <c r="C63" s="165" t="s">
        <v>206</v>
      </c>
      <c r="D63" s="165" t="s">
        <v>210</v>
      </c>
      <c r="E63" s="165">
        <v>35.54</v>
      </c>
      <c r="F63" s="165"/>
      <c r="G63" s="165"/>
      <c r="I63" s="89"/>
      <c r="J63" s="165"/>
      <c r="K63" s="165"/>
      <c r="L63" s="107"/>
      <c r="M63" s="107"/>
      <c r="N63" s="186"/>
      <c r="O63" s="186"/>
      <c r="P63" s="107"/>
      <c r="Q63" s="165"/>
      <c r="R63" s="186"/>
    </row>
    <row r="64" spans="1:18" x14ac:dyDescent="0.25">
      <c r="A64" s="165" t="s">
        <v>212</v>
      </c>
      <c r="B64" s="165" t="s">
        <v>1080</v>
      </c>
      <c r="C64" s="165" t="s">
        <v>206</v>
      </c>
      <c r="D64" s="165" t="s">
        <v>210</v>
      </c>
      <c r="E64" s="165">
        <v>36.409999999999997</v>
      </c>
      <c r="F64" s="165"/>
      <c r="G64" s="165"/>
      <c r="I64" s="89"/>
      <c r="J64" s="165"/>
      <c r="K64" s="165"/>
      <c r="L64" s="107"/>
      <c r="M64" s="107"/>
      <c r="N64" s="186"/>
      <c r="O64" s="186"/>
      <c r="P64" s="107"/>
      <c r="Q64" s="165"/>
      <c r="R64" s="186"/>
    </row>
    <row r="65" spans="1:22" x14ac:dyDescent="0.25">
      <c r="A65" s="165" t="s">
        <v>213</v>
      </c>
      <c r="B65" s="165" t="s">
        <v>1080</v>
      </c>
      <c r="C65" s="165" t="s">
        <v>206</v>
      </c>
      <c r="D65" s="165" t="s">
        <v>210</v>
      </c>
      <c r="E65" s="165">
        <v>35.94</v>
      </c>
      <c r="F65" s="165"/>
      <c r="G65" s="165"/>
      <c r="I65" s="89"/>
      <c r="J65" s="165"/>
      <c r="K65" s="165"/>
      <c r="L65" s="107"/>
      <c r="M65" s="107"/>
      <c r="N65" s="186"/>
      <c r="O65" s="186"/>
      <c r="P65" s="107"/>
      <c r="Q65" s="165"/>
      <c r="R65" s="186"/>
    </row>
    <row r="66" spans="1:22" x14ac:dyDescent="0.25">
      <c r="A66" s="165" t="s">
        <v>214</v>
      </c>
      <c r="B66" s="165" t="s">
        <v>1080</v>
      </c>
      <c r="C66" s="165" t="s">
        <v>206</v>
      </c>
      <c r="D66" s="165" t="s">
        <v>210</v>
      </c>
      <c r="E66" s="165">
        <v>36.270000000000003</v>
      </c>
      <c r="F66" s="165"/>
      <c r="G66" s="165"/>
      <c r="I66" s="89"/>
      <c r="J66" s="165"/>
      <c r="K66" s="165"/>
      <c r="L66" s="107"/>
      <c r="M66" s="107"/>
      <c r="N66" s="186"/>
      <c r="O66" s="186"/>
      <c r="P66" s="107"/>
      <c r="Q66" s="165"/>
      <c r="R66" s="186"/>
    </row>
    <row r="67" spans="1:22" x14ac:dyDescent="0.25">
      <c r="A67" s="165" t="s">
        <v>215</v>
      </c>
      <c r="B67" s="165" t="s">
        <v>1080</v>
      </c>
      <c r="C67" s="165" t="s">
        <v>206</v>
      </c>
      <c r="D67" s="165" t="s">
        <v>210</v>
      </c>
      <c r="E67" s="165">
        <v>34.840000000000003</v>
      </c>
      <c r="F67" s="165"/>
      <c r="G67" s="165"/>
      <c r="I67" s="89"/>
      <c r="J67" s="165"/>
      <c r="K67" s="165"/>
      <c r="L67" s="107"/>
      <c r="M67" s="107"/>
      <c r="N67" s="186"/>
      <c r="O67" s="186"/>
      <c r="P67" s="107"/>
      <c r="Q67" s="165"/>
      <c r="R67" s="186"/>
    </row>
    <row r="68" spans="1:22" x14ac:dyDescent="0.25">
      <c r="A68" s="165" t="s">
        <v>216</v>
      </c>
      <c r="B68" s="165" t="s">
        <v>1080</v>
      </c>
      <c r="C68" s="165" t="s">
        <v>206</v>
      </c>
      <c r="D68" s="165" t="s">
        <v>210</v>
      </c>
      <c r="E68" s="165">
        <v>35.26</v>
      </c>
      <c r="F68" s="165"/>
      <c r="G68" s="165"/>
    </row>
    <row r="69" spans="1:22" x14ac:dyDescent="0.25">
      <c r="A69" s="165" t="s">
        <v>217</v>
      </c>
      <c r="B69" s="165" t="s">
        <v>1080</v>
      </c>
      <c r="C69" s="165" t="s">
        <v>206</v>
      </c>
      <c r="D69" s="165" t="s">
        <v>210</v>
      </c>
      <c r="E69" s="165">
        <v>35.840000000000003</v>
      </c>
      <c r="F69" s="165"/>
      <c r="G69" s="165"/>
    </row>
    <row r="70" spans="1:22" ht="60" x14ac:dyDescent="0.25">
      <c r="A70" s="165" t="s">
        <v>218</v>
      </c>
      <c r="B70" s="165" t="s">
        <v>1080</v>
      </c>
      <c r="C70" s="165" t="s">
        <v>206</v>
      </c>
      <c r="D70" s="165" t="s">
        <v>210</v>
      </c>
      <c r="E70" s="165">
        <v>35.04</v>
      </c>
      <c r="F70" s="165"/>
      <c r="G70" s="165"/>
      <c r="H70" t="s">
        <v>791</v>
      </c>
      <c r="I70" s="185" t="s">
        <v>20</v>
      </c>
      <c r="J70" s="185" t="s">
        <v>21</v>
      </c>
      <c r="K70" s="185" t="s">
        <v>1093</v>
      </c>
      <c r="L70" s="185" t="s">
        <v>1094</v>
      </c>
      <c r="M70" s="185" t="s">
        <v>1095</v>
      </c>
      <c r="N70" s="185" t="s">
        <v>1096</v>
      </c>
      <c r="O70" s="185" t="s">
        <v>1115</v>
      </c>
      <c r="P70" s="185" t="s">
        <v>1113</v>
      </c>
      <c r="Q70" s="185" t="s">
        <v>1114</v>
      </c>
    </row>
    <row r="71" spans="1:22" x14ac:dyDescent="0.25">
      <c r="A71" s="165" t="s">
        <v>219</v>
      </c>
      <c r="B71" s="165" t="s">
        <v>1080</v>
      </c>
      <c r="C71" s="165" t="s">
        <v>206</v>
      </c>
      <c r="D71" s="165" t="s">
        <v>210</v>
      </c>
      <c r="E71" s="165">
        <v>35.33</v>
      </c>
      <c r="F71" s="165"/>
      <c r="G71" s="165"/>
      <c r="I71" s="165" t="s">
        <v>1104</v>
      </c>
      <c r="J71" s="165">
        <v>1.0000000000000002E-7</v>
      </c>
      <c r="K71" s="165">
        <v>3.0499999999999999E-4</v>
      </c>
      <c r="L71" s="165">
        <v>6274180.9312668871</v>
      </c>
      <c r="M71" s="167">
        <v>6022000.0000000019</v>
      </c>
      <c r="N71" s="167">
        <v>12044.000000000004</v>
      </c>
      <c r="O71" s="165">
        <f t="shared" ref="O71:O72" si="6">LOG(N71)</f>
        <v>4.0807707468407219</v>
      </c>
      <c r="P71" s="187">
        <v>0</v>
      </c>
      <c r="Q71" s="163">
        <f t="shared" ref="Q71:Q72" si="7">1-P71</f>
        <v>1</v>
      </c>
    </row>
    <row r="72" spans="1:22" x14ac:dyDescent="0.25">
      <c r="A72" s="165" t="s">
        <v>221</v>
      </c>
      <c r="B72" s="165" t="s">
        <v>1080</v>
      </c>
      <c r="C72" s="165" t="s">
        <v>206</v>
      </c>
      <c r="D72" s="165" t="s">
        <v>210</v>
      </c>
      <c r="E72" s="165">
        <v>35.06</v>
      </c>
      <c r="F72" s="165"/>
      <c r="G72" s="165"/>
      <c r="I72" s="165" t="s">
        <v>1105</v>
      </c>
      <c r="J72" s="165">
        <v>1.0000000000000002E-8</v>
      </c>
      <c r="K72" s="165">
        <v>3.0499999999999996E-5</v>
      </c>
      <c r="L72" s="165">
        <v>627418.09312668873</v>
      </c>
      <c r="M72" s="167">
        <v>602200.00000000023</v>
      </c>
      <c r="N72" s="167">
        <v>1204.4000000000005</v>
      </c>
      <c r="O72" s="165">
        <f t="shared" si="6"/>
        <v>3.0807707468407219</v>
      </c>
      <c r="P72" s="187">
        <v>0</v>
      </c>
      <c r="Q72" s="163">
        <f t="shared" si="7"/>
        <v>1</v>
      </c>
    </row>
    <row r="73" spans="1:22" x14ac:dyDescent="0.25">
      <c r="A73" s="165" t="s">
        <v>222</v>
      </c>
      <c r="B73" s="165" t="s">
        <v>1080</v>
      </c>
      <c r="C73" s="165" t="s">
        <v>206</v>
      </c>
      <c r="D73" s="165" t="s">
        <v>210</v>
      </c>
      <c r="E73" s="165">
        <v>35.229999999999997</v>
      </c>
      <c r="F73" s="165"/>
      <c r="G73" s="165"/>
      <c r="H73" t="s">
        <v>793</v>
      </c>
      <c r="I73" s="165" t="s">
        <v>1106</v>
      </c>
      <c r="J73" s="165">
        <v>1.0000000000000003E-9</v>
      </c>
      <c r="K73" s="165">
        <v>3.05E-6</v>
      </c>
      <c r="L73" s="165">
        <v>62741.809312668876</v>
      </c>
      <c r="M73" s="167">
        <v>60220.000000000022</v>
      </c>
      <c r="N73" s="167">
        <v>120.44000000000004</v>
      </c>
      <c r="O73">
        <f>LOG(N73)</f>
        <v>2.0807707468407219</v>
      </c>
      <c r="P73" s="187">
        <v>0</v>
      </c>
      <c r="Q73" s="163">
        <f>1-P73</f>
        <v>1</v>
      </c>
    </row>
    <row r="74" spans="1:22" x14ac:dyDescent="0.25">
      <c r="A74" s="165" t="s">
        <v>223</v>
      </c>
      <c r="B74" s="165" t="s">
        <v>1080</v>
      </c>
      <c r="C74" s="165" t="s">
        <v>206</v>
      </c>
      <c r="D74" s="165" t="s">
        <v>210</v>
      </c>
      <c r="E74" s="165">
        <v>37.119999999999997</v>
      </c>
      <c r="F74" s="165">
        <f>AVERAGE(E75:E85)</f>
        <v>38.392857142857146</v>
      </c>
      <c r="G74" s="165">
        <f>STDEV(E75:E85)</f>
        <v>0.74674213054026073</v>
      </c>
      <c r="H74" t="s">
        <v>794</v>
      </c>
      <c r="I74" s="165" t="s">
        <v>1107</v>
      </c>
      <c r="J74" s="165">
        <v>1.0000000000000003E-10</v>
      </c>
      <c r="K74" s="165">
        <v>3.0499999999999994E-7</v>
      </c>
      <c r="L74" s="165">
        <v>6274.1809312668875</v>
      </c>
      <c r="M74" s="167">
        <v>6022.0000000000018</v>
      </c>
      <c r="N74" s="167">
        <v>12.044000000000004</v>
      </c>
      <c r="O74" s="165">
        <f t="shared" ref="O74:O78" si="8">LOG(N74)</f>
        <v>1.0807707468407219</v>
      </c>
      <c r="P74" s="187">
        <f>5/11</f>
        <v>0.45454545454545453</v>
      </c>
      <c r="Q74" s="163">
        <f t="shared" ref="Q74:Q78" si="9">1-P74</f>
        <v>0.54545454545454541</v>
      </c>
    </row>
    <row r="75" spans="1:22" x14ac:dyDescent="0.25">
      <c r="A75" s="165" t="s">
        <v>234</v>
      </c>
      <c r="B75" s="165" t="s">
        <v>1080</v>
      </c>
      <c r="C75" s="165" t="s">
        <v>206</v>
      </c>
      <c r="D75" s="165" t="s">
        <v>210</v>
      </c>
      <c r="E75" s="165">
        <v>38.53</v>
      </c>
      <c r="F75" s="165"/>
      <c r="G75" s="165"/>
      <c r="H75" t="s">
        <v>795</v>
      </c>
      <c r="I75" s="165" t="s">
        <v>1108</v>
      </c>
      <c r="J75" s="165">
        <v>1.0000000000000003E-11</v>
      </c>
      <c r="K75" s="165">
        <v>3.0500000000000002E-8</v>
      </c>
      <c r="L75" s="165">
        <v>627.41809312668875</v>
      </c>
      <c r="M75" s="167">
        <v>602.20000000000016</v>
      </c>
      <c r="N75" s="167">
        <v>1.2044000000000004</v>
      </c>
      <c r="O75" s="165">
        <f t="shared" si="8"/>
        <v>8.077074684072183E-2</v>
      </c>
      <c r="P75" s="187">
        <v>1</v>
      </c>
      <c r="Q75" s="163">
        <f t="shared" si="9"/>
        <v>0</v>
      </c>
    </row>
    <row r="76" spans="1:22" x14ac:dyDescent="0.25">
      <c r="A76" s="165" t="s">
        <v>235</v>
      </c>
      <c r="B76" s="165" t="s">
        <v>1080</v>
      </c>
      <c r="C76" s="165" t="s">
        <v>206</v>
      </c>
      <c r="D76" s="165" t="s">
        <v>210</v>
      </c>
      <c r="E76" s="165" t="s">
        <v>220</v>
      </c>
      <c r="F76" s="165"/>
      <c r="G76" s="165"/>
      <c r="H76" t="s">
        <v>796</v>
      </c>
      <c r="I76" s="165" t="s">
        <v>1109</v>
      </c>
      <c r="J76" s="165">
        <v>1.0000000000000002E-12</v>
      </c>
      <c r="K76" s="165">
        <v>3.0499999999999992E-9</v>
      </c>
      <c r="L76" s="165">
        <v>62.741809312668877</v>
      </c>
      <c r="M76" s="167">
        <v>60.220000000000013</v>
      </c>
      <c r="N76" s="167">
        <v>0.12044000000000002</v>
      </c>
      <c r="O76" s="165">
        <f t="shared" si="8"/>
        <v>-0.91922925315927817</v>
      </c>
      <c r="P76" s="187">
        <v>1</v>
      </c>
      <c r="Q76" s="163">
        <f t="shared" si="9"/>
        <v>0</v>
      </c>
    </row>
    <row r="77" spans="1:22" x14ac:dyDescent="0.25">
      <c r="A77" s="165" t="s">
        <v>236</v>
      </c>
      <c r="B77" s="165" t="s">
        <v>1080</v>
      </c>
      <c r="C77" s="165" t="s">
        <v>206</v>
      </c>
      <c r="D77" s="165" t="s">
        <v>210</v>
      </c>
      <c r="E77" s="165">
        <v>38.450000000000003</v>
      </c>
      <c r="F77" s="165"/>
      <c r="G77" s="165"/>
      <c r="H77" t="s">
        <v>797</v>
      </c>
      <c r="I77" s="165" t="s">
        <v>1110</v>
      </c>
      <c r="J77" s="165">
        <v>1.0000000000000002E-13</v>
      </c>
      <c r="K77" s="165">
        <v>3.0500000000000003E-10</v>
      </c>
      <c r="L77" s="165">
        <v>6.2741809312668879</v>
      </c>
      <c r="M77" s="167">
        <v>6.0220000000000011</v>
      </c>
      <c r="N77" s="167">
        <v>1.2044000000000003E-2</v>
      </c>
      <c r="O77" s="165">
        <f t="shared" si="8"/>
        <v>-1.9192292531592783</v>
      </c>
      <c r="P77" s="187">
        <v>1</v>
      </c>
      <c r="Q77" s="163">
        <f t="shared" si="9"/>
        <v>0</v>
      </c>
      <c r="V77" s="165" t="s">
        <v>1116</v>
      </c>
    </row>
    <row r="78" spans="1:22" x14ac:dyDescent="0.25">
      <c r="A78" s="165" t="s">
        <v>237</v>
      </c>
      <c r="B78" s="165" t="s">
        <v>1080</v>
      </c>
      <c r="C78" s="165" t="s">
        <v>206</v>
      </c>
      <c r="D78" s="165" t="s">
        <v>210</v>
      </c>
      <c r="E78" s="165">
        <v>37.630000000000003</v>
      </c>
      <c r="F78" s="165"/>
      <c r="G78" s="165"/>
      <c r="H78" t="s">
        <v>775</v>
      </c>
      <c r="I78" s="165" t="s">
        <v>1111</v>
      </c>
      <c r="J78" s="165">
        <v>1.0000000000000002E-14</v>
      </c>
      <c r="K78" s="165">
        <v>3.0499999999999992E-11</v>
      </c>
      <c r="L78" s="165">
        <v>0.62741809312668884</v>
      </c>
      <c r="M78" s="167">
        <v>0.60220000000000007</v>
      </c>
      <c r="N78" s="167">
        <v>1.2044000000000002E-3</v>
      </c>
      <c r="O78" s="165">
        <f t="shared" si="8"/>
        <v>-2.9192292531592781</v>
      </c>
      <c r="P78" s="187">
        <v>1</v>
      </c>
      <c r="Q78" s="163">
        <f t="shared" si="9"/>
        <v>0</v>
      </c>
    </row>
    <row r="79" spans="1:22" x14ac:dyDescent="0.25">
      <c r="A79" s="165" t="s">
        <v>238</v>
      </c>
      <c r="B79" s="165" t="s">
        <v>1080</v>
      </c>
      <c r="C79" s="165" t="s">
        <v>206</v>
      </c>
      <c r="D79" s="165" t="s">
        <v>210</v>
      </c>
      <c r="E79" s="165" t="s">
        <v>220</v>
      </c>
      <c r="F79" s="165"/>
      <c r="G79" s="165"/>
      <c r="V79" s="165" t="s">
        <v>1116</v>
      </c>
    </row>
    <row r="80" spans="1:22" x14ac:dyDescent="0.25">
      <c r="A80" s="165" t="s">
        <v>239</v>
      </c>
      <c r="B80" s="165" t="s">
        <v>1080</v>
      </c>
      <c r="C80" s="165" t="s">
        <v>206</v>
      </c>
      <c r="D80" s="165" t="s">
        <v>210</v>
      </c>
      <c r="E80" s="165">
        <v>37.57</v>
      </c>
      <c r="F80" s="165"/>
      <c r="G80" s="165"/>
      <c r="J80" t="s">
        <v>26</v>
      </c>
      <c r="K80" t="s">
        <v>1119</v>
      </c>
      <c r="L80" s="165" t="s">
        <v>1114</v>
      </c>
      <c r="M80" t="s">
        <v>1121</v>
      </c>
      <c r="N80" s="165"/>
      <c r="O80" t="s">
        <v>1125</v>
      </c>
    </row>
    <row r="81" spans="1:37" x14ac:dyDescent="0.25">
      <c r="A81" s="165" t="s">
        <v>242</v>
      </c>
      <c r="B81" s="165" t="s">
        <v>1080</v>
      </c>
      <c r="C81" s="165" t="s">
        <v>206</v>
      </c>
      <c r="D81" s="165" t="s">
        <v>210</v>
      </c>
      <c r="E81" s="165" t="s">
        <v>220</v>
      </c>
      <c r="F81" s="165"/>
      <c r="G81" s="165"/>
      <c r="J81" s="165">
        <v>1.0000000000000002E-7</v>
      </c>
      <c r="K81">
        <f>LOG(J81)</f>
        <v>-7</v>
      </c>
      <c r="L81" s="165">
        <v>100</v>
      </c>
      <c r="M81" s="165" t="e">
        <f t="shared" ref="M81:M83" si="10" xml:space="preserve"> 100 + (-0.0000002073971 - 100)/(1 + (K81/-9.858086)^-193.1934)^13.02813</f>
        <v>#NUM!</v>
      </c>
      <c r="O81" s="165">
        <f t="array" ref="O81:P81">LINEST(N71:N78,J71:J78)</f>
        <v>120440000000</v>
      </c>
      <c r="P81" s="165">
        <v>4.5474735088646412E-13</v>
      </c>
    </row>
    <row r="82" spans="1:37" x14ac:dyDescent="0.25">
      <c r="A82" s="165" t="s">
        <v>243</v>
      </c>
      <c r="B82" s="165" t="s">
        <v>1080</v>
      </c>
      <c r="C82" s="165" t="s">
        <v>206</v>
      </c>
      <c r="D82" s="165" t="s">
        <v>210</v>
      </c>
      <c r="E82" s="165" t="s">
        <v>220</v>
      </c>
      <c r="F82" s="165"/>
      <c r="G82" s="165"/>
      <c r="J82" s="165">
        <v>1.0000000000000002E-8</v>
      </c>
      <c r="K82" s="165">
        <f t="shared" ref="K82:K88" si="11">LOG(J82)</f>
        <v>-8</v>
      </c>
      <c r="L82" s="165">
        <v>100</v>
      </c>
      <c r="M82" s="165">
        <f t="shared" si="10"/>
        <v>100</v>
      </c>
      <c r="N82" s="165"/>
      <c r="AK82" s="165" t="s">
        <v>1118</v>
      </c>
    </row>
    <row r="83" spans="1:37" x14ac:dyDescent="0.25">
      <c r="A83" s="165" t="s">
        <v>244</v>
      </c>
      <c r="B83" s="165" t="s">
        <v>1080</v>
      </c>
      <c r="C83" s="165" t="s">
        <v>206</v>
      </c>
      <c r="D83" s="165" t="s">
        <v>210</v>
      </c>
      <c r="E83" s="165">
        <v>39.659999999999997</v>
      </c>
      <c r="F83" s="165"/>
      <c r="G83" s="165"/>
      <c r="J83" s="165">
        <v>1.0000000000000003E-9</v>
      </c>
      <c r="K83" s="165">
        <f t="shared" si="11"/>
        <v>-9</v>
      </c>
      <c r="L83" s="165">
        <v>100</v>
      </c>
      <c r="M83" s="165">
        <f t="shared" si="10"/>
        <v>100</v>
      </c>
      <c r="N83" s="165"/>
      <c r="O83" t="s">
        <v>1124</v>
      </c>
      <c r="P83" t="s">
        <v>1126</v>
      </c>
    </row>
    <row r="84" spans="1:37" x14ac:dyDescent="0.25">
      <c r="A84" s="165" t="s">
        <v>245</v>
      </c>
      <c r="B84" s="165" t="s">
        <v>1080</v>
      </c>
      <c r="C84" s="165" t="s">
        <v>206</v>
      </c>
      <c r="D84" s="165" t="s">
        <v>210</v>
      </c>
      <c r="E84" s="165">
        <v>37.979999999999997</v>
      </c>
      <c r="F84" s="165"/>
      <c r="G84" s="165"/>
      <c r="J84" s="165">
        <v>1.0000000000000003E-10</v>
      </c>
      <c r="K84" s="165">
        <f t="shared" si="11"/>
        <v>-10</v>
      </c>
      <c r="L84" s="165">
        <v>55</v>
      </c>
      <c r="M84" s="165">
        <f xml:space="preserve"> 100 + (-0.0000002073971 - 100)/(1 + (K84/-9.858086)^-193.1934)^13.02813</f>
        <v>54.999807200143536</v>
      </c>
      <c r="N84" s="165"/>
      <c r="O84" s="111">
        <v>-9.927354991779568</v>
      </c>
      <c r="P84" s="111">
        <f xml:space="preserve"> 100 + (-0.0000002073971 - 100)/(1 + (O84/-9.858086)^-193.1934)^13.02813</f>
        <v>94.999992876666667</v>
      </c>
    </row>
    <row r="85" spans="1:37" x14ac:dyDescent="0.25">
      <c r="A85" s="165" t="s">
        <v>247</v>
      </c>
      <c r="B85" s="165" t="s">
        <v>1080</v>
      </c>
      <c r="C85" s="165" t="s">
        <v>206</v>
      </c>
      <c r="D85" s="165" t="s">
        <v>210</v>
      </c>
      <c r="E85" s="165">
        <v>38.93</v>
      </c>
      <c r="F85" s="165"/>
      <c r="G85" s="165"/>
      <c r="J85" s="165">
        <v>1.0000000000000003E-11</v>
      </c>
      <c r="K85" s="165">
        <f t="shared" si="11"/>
        <v>-11</v>
      </c>
      <c r="L85" s="165">
        <v>0</v>
      </c>
      <c r="M85" s="165">
        <f t="shared" ref="M85:M88" si="12" xml:space="preserve"> 100 + (-0.0000002073971 - 100)/(1 + (K85/-9.858086)^-193.1934)^13.02813</f>
        <v>6.2218670393576758E-7</v>
      </c>
      <c r="N85" s="165"/>
      <c r="O85">
        <f>10^O84</f>
        <v>1.1820749341125783E-10</v>
      </c>
      <c r="P85" t="s">
        <v>27</v>
      </c>
      <c r="Q85">
        <f>O85*0.000002/1000000*6.022E+23</f>
        <v>142.36910506451895</v>
      </c>
    </row>
    <row r="86" spans="1:37" x14ac:dyDescent="0.25">
      <c r="A86" s="165" t="s">
        <v>248</v>
      </c>
      <c r="B86" s="165" t="s">
        <v>1080</v>
      </c>
      <c r="C86" s="165" t="s">
        <v>206</v>
      </c>
      <c r="D86" s="165" t="s">
        <v>210</v>
      </c>
      <c r="E86" s="165" t="s">
        <v>220</v>
      </c>
      <c r="F86" s="165"/>
      <c r="G86" s="165"/>
      <c r="J86" s="165">
        <v>1.0000000000000002E-12</v>
      </c>
      <c r="K86" s="165">
        <f t="shared" si="11"/>
        <v>-12</v>
      </c>
      <c r="L86" s="165">
        <v>0</v>
      </c>
      <c r="M86" s="165">
        <f t="shared" si="12"/>
        <v>-2.0739709327699529E-7</v>
      </c>
      <c r="N86" s="165"/>
      <c r="O86" s="194">
        <f>O81*O85+P81</f>
        <v>14.236910506452348</v>
      </c>
      <c r="P86" s="119" t="s">
        <v>1128</v>
      </c>
    </row>
    <row r="87" spans="1:37" x14ac:dyDescent="0.25">
      <c r="A87" s="165" t="s">
        <v>249</v>
      </c>
      <c r="B87" s="165" t="s">
        <v>1080</v>
      </c>
      <c r="C87" s="165" t="s">
        <v>206</v>
      </c>
      <c r="D87" s="165" t="s">
        <v>210</v>
      </c>
      <c r="E87" s="165" t="s">
        <v>220</v>
      </c>
      <c r="F87" s="165"/>
      <c r="G87" s="165"/>
      <c r="J87" s="165">
        <v>1.0000000000000002E-13</v>
      </c>
      <c r="K87" s="165">
        <f t="shared" si="11"/>
        <v>-13</v>
      </c>
      <c r="L87" s="165">
        <v>0</v>
      </c>
      <c r="M87" s="165">
        <f t="shared" si="12"/>
        <v>-2.0739709327699529E-7</v>
      </c>
      <c r="N87" s="165"/>
      <c r="O87">
        <f>O85*0.001/1000000*6.022E+23</f>
        <v>71184.552532259477</v>
      </c>
    </row>
    <row r="88" spans="1:37" x14ac:dyDescent="0.25">
      <c r="A88" s="165" t="s">
        <v>250</v>
      </c>
      <c r="B88" s="165" t="s">
        <v>1080</v>
      </c>
      <c r="C88" s="165" t="s">
        <v>206</v>
      </c>
      <c r="D88" s="165" t="s">
        <v>210</v>
      </c>
      <c r="E88" s="165" t="s">
        <v>220</v>
      </c>
      <c r="F88" s="165"/>
      <c r="G88" s="165"/>
      <c r="J88" s="165">
        <v>1.0000000000000002E-14</v>
      </c>
      <c r="K88" s="165">
        <f t="shared" si="11"/>
        <v>-14</v>
      </c>
      <c r="L88" s="165">
        <v>0</v>
      </c>
      <c r="M88" s="165">
        <f t="shared" si="12"/>
        <v>-2.0739709327699529E-7</v>
      </c>
      <c r="N88" s="165"/>
      <c r="O88" s="119">
        <f>O87/1000*2</f>
        <v>142.36910506451895</v>
      </c>
      <c r="P88" s="119" t="s">
        <v>1128</v>
      </c>
    </row>
    <row r="89" spans="1:37" x14ac:dyDescent="0.25">
      <c r="A89" s="165" t="s">
        <v>251</v>
      </c>
      <c r="B89" s="165" t="s">
        <v>1080</v>
      </c>
      <c r="C89" s="165" t="s">
        <v>206</v>
      </c>
      <c r="D89" s="165" t="s">
        <v>210</v>
      </c>
      <c r="E89" s="165" t="s">
        <v>220</v>
      </c>
      <c r="F89" s="165"/>
      <c r="G89" s="165"/>
      <c r="M89" s="165" t="s">
        <v>1120</v>
      </c>
      <c r="O89" t="s">
        <v>1220</v>
      </c>
    </row>
    <row r="90" spans="1:37" x14ac:dyDescent="0.25">
      <c r="A90" s="165" t="s">
        <v>252</v>
      </c>
      <c r="B90" s="165" t="s">
        <v>1080</v>
      </c>
      <c r="C90" s="165" t="s">
        <v>206</v>
      </c>
      <c r="D90" s="165" t="s">
        <v>210</v>
      </c>
      <c r="E90" s="165" t="s">
        <v>220</v>
      </c>
      <c r="F90" s="165"/>
      <c r="G90" s="165"/>
      <c r="L90" s="165"/>
    </row>
    <row r="91" spans="1:37" x14ac:dyDescent="0.25">
      <c r="A91" s="165" t="s">
        <v>253</v>
      </c>
      <c r="B91" s="165" t="s">
        <v>1080</v>
      </c>
      <c r="C91" s="165" t="s">
        <v>206</v>
      </c>
      <c r="D91" s="165" t="s">
        <v>210</v>
      </c>
      <c r="E91" s="165" t="s">
        <v>220</v>
      </c>
      <c r="F91" s="165"/>
      <c r="G91" s="165"/>
      <c r="J91" t="s">
        <v>1122</v>
      </c>
    </row>
    <row r="92" spans="1:37" x14ac:dyDescent="0.25">
      <c r="A92" s="165" t="s">
        <v>254</v>
      </c>
      <c r="B92" s="165" t="s">
        <v>1080</v>
      </c>
      <c r="C92" s="165" t="s">
        <v>206</v>
      </c>
      <c r="D92" s="165" t="s">
        <v>210</v>
      </c>
      <c r="E92" s="165" t="s">
        <v>220</v>
      </c>
      <c r="F92" s="165"/>
      <c r="G92" s="165"/>
      <c r="J92" t="s">
        <v>1123</v>
      </c>
    </row>
    <row r="93" spans="1:37" x14ac:dyDescent="0.25">
      <c r="A93" s="165" t="s">
        <v>255</v>
      </c>
      <c r="B93" s="165" t="s">
        <v>1080</v>
      </c>
      <c r="C93" s="165" t="s">
        <v>206</v>
      </c>
      <c r="D93" s="165" t="s">
        <v>210</v>
      </c>
      <c r="E93" s="165" t="s">
        <v>220</v>
      </c>
      <c r="F93" s="165"/>
      <c r="G93" s="165"/>
      <c r="M93" s="165"/>
    </row>
    <row r="94" spans="1:37" x14ac:dyDescent="0.25">
      <c r="A94" s="165" t="s">
        <v>256</v>
      </c>
      <c r="B94" s="165" t="s">
        <v>1080</v>
      </c>
      <c r="C94" s="165" t="s">
        <v>206</v>
      </c>
      <c r="D94" s="165" t="s">
        <v>210</v>
      </c>
      <c r="E94" s="165" t="s">
        <v>220</v>
      </c>
      <c r="F94" s="165"/>
      <c r="G94" s="165"/>
    </row>
    <row r="95" spans="1:37" x14ac:dyDescent="0.25">
      <c r="A95" s="165" t="s">
        <v>257</v>
      </c>
      <c r="B95" s="165" t="s">
        <v>1080</v>
      </c>
      <c r="C95" s="165" t="s">
        <v>206</v>
      </c>
      <c r="D95" s="165" t="s">
        <v>210</v>
      </c>
      <c r="E95" s="165" t="s">
        <v>220</v>
      </c>
      <c r="F95" s="165"/>
      <c r="G95" s="165"/>
    </row>
    <row r="96" spans="1:37" x14ac:dyDescent="0.25">
      <c r="A96" s="165" t="s">
        <v>258</v>
      </c>
      <c r="B96" s="165" t="s">
        <v>1080</v>
      </c>
      <c r="C96" s="165" t="s">
        <v>206</v>
      </c>
      <c r="D96" s="165" t="s">
        <v>210</v>
      </c>
      <c r="E96" s="165" t="s">
        <v>220</v>
      </c>
      <c r="F96" s="165"/>
      <c r="G96" s="165"/>
    </row>
    <row r="97" spans="1:16" x14ac:dyDescent="0.25">
      <c r="A97" s="165" t="s">
        <v>259</v>
      </c>
      <c r="B97" s="165" t="s">
        <v>1080</v>
      </c>
      <c r="C97" s="165" t="s">
        <v>206</v>
      </c>
      <c r="D97" s="165" t="s">
        <v>210</v>
      </c>
      <c r="E97" s="165" t="s">
        <v>220</v>
      </c>
      <c r="F97" s="165"/>
      <c r="G97" s="165"/>
    </row>
    <row r="98" spans="1:16" x14ac:dyDescent="0.25">
      <c r="A98" s="165" t="s">
        <v>260</v>
      </c>
      <c r="B98" s="165" t="s">
        <v>1080</v>
      </c>
      <c r="C98" s="165" t="s">
        <v>206</v>
      </c>
      <c r="D98" s="165" t="s">
        <v>210</v>
      </c>
      <c r="E98" s="165" t="s">
        <v>220</v>
      </c>
      <c r="F98" s="165"/>
      <c r="G98" s="165"/>
    </row>
    <row r="99" spans="1:16" x14ac:dyDescent="0.25">
      <c r="A99" s="165" t="s">
        <v>261</v>
      </c>
      <c r="B99" s="165" t="s">
        <v>1080</v>
      </c>
      <c r="C99" s="165" t="s">
        <v>206</v>
      </c>
      <c r="D99" s="165" t="s">
        <v>210</v>
      </c>
      <c r="E99" s="165" t="s">
        <v>220</v>
      </c>
      <c r="F99" s="165"/>
      <c r="G99" s="165"/>
    </row>
    <row r="100" spans="1:16" x14ac:dyDescent="0.25">
      <c r="A100" s="165" t="s">
        <v>262</v>
      </c>
      <c r="B100" s="165" t="s">
        <v>1080</v>
      </c>
      <c r="C100" s="165" t="s">
        <v>206</v>
      </c>
      <c r="D100" s="165" t="s">
        <v>210</v>
      </c>
      <c r="E100" s="165" t="s">
        <v>220</v>
      </c>
      <c r="F100" s="165"/>
      <c r="G100" s="165"/>
    </row>
    <row r="101" spans="1:16" x14ac:dyDescent="0.25">
      <c r="A101" s="165" t="s">
        <v>263</v>
      </c>
      <c r="B101" s="165" t="s">
        <v>1080</v>
      </c>
      <c r="C101" s="165" t="s">
        <v>206</v>
      </c>
      <c r="D101" s="165" t="s">
        <v>210</v>
      </c>
      <c r="E101" s="165" t="s">
        <v>220</v>
      </c>
      <c r="F101" s="165"/>
      <c r="G101" s="165"/>
    </row>
    <row r="102" spans="1:16" x14ac:dyDescent="0.25">
      <c r="A102" s="165" t="s">
        <v>264</v>
      </c>
      <c r="B102" s="165" t="s">
        <v>1080</v>
      </c>
      <c r="C102" s="165" t="s">
        <v>206</v>
      </c>
      <c r="D102" s="165" t="s">
        <v>210</v>
      </c>
      <c r="E102" s="165" t="s">
        <v>220</v>
      </c>
      <c r="F102" s="165"/>
      <c r="G102" s="165"/>
    </row>
    <row r="103" spans="1:16" x14ac:dyDescent="0.25">
      <c r="A103" s="165" t="s">
        <v>265</v>
      </c>
      <c r="B103" s="165" t="s">
        <v>1080</v>
      </c>
      <c r="C103" s="165" t="s">
        <v>206</v>
      </c>
      <c r="D103" s="165" t="s">
        <v>210</v>
      </c>
      <c r="E103" s="165" t="s">
        <v>220</v>
      </c>
      <c r="F103" s="165"/>
      <c r="G103" s="165"/>
    </row>
    <row r="104" spans="1:16" x14ac:dyDescent="0.25">
      <c r="A104" s="165" t="s">
        <v>266</v>
      </c>
      <c r="B104" s="165" t="s">
        <v>1080</v>
      </c>
      <c r="C104" s="165" t="s">
        <v>206</v>
      </c>
      <c r="D104" s="165" t="s">
        <v>210</v>
      </c>
      <c r="E104" s="165" t="s">
        <v>220</v>
      </c>
      <c r="F104" s="165"/>
      <c r="G104" s="165"/>
    </row>
    <row r="105" spans="1:16" x14ac:dyDescent="0.25">
      <c r="A105" s="165" t="s">
        <v>267</v>
      </c>
      <c r="B105" s="165" t="s">
        <v>1080</v>
      </c>
      <c r="C105" s="165" t="s">
        <v>206</v>
      </c>
      <c r="D105" s="165" t="s">
        <v>210</v>
      </c>
      <c r="E105" s="165" t="s">
        <v>220</v>
      </c>
      <c r="F105" s="165"/>
      <c r="G105" s="165"/>
    </row>
    <row r="106" spans="1:16" x14ac:dyDescent="0.25">
      <c r="A106" s="165" t="s">
        <v>268</v>
      </c>
      <c r="B106" s="165" t="s">
        <v>1080</v>
      </c>
      <c r="C106" s="165" t="s">
        <v>206</v>
      </c>
      <c r="D106" s="165" t="s">
        <v>210</v>
      </c>
      <c r="E106" s="165" t="s">
        <v>220</v>
      </c>
      <c r="F106" s="165"/>
      <c r="G106" s="165"/>
    </row>
    <row r="107" spans="1:16" x14ac:dyDescent="0.25">
      <c r="A107" s="165" t="s">
        <v>270</v>
      </c>
      <c r="B107" s="165" t="s">
        <v>1080</v>
      </c>
      <c r="C107" s="165" t="s">
        <v>206</v>
      </c>
      <c r="D107" s="165" t="s">
        <v>210</v>
      </c>
      <c r="E107" s="165" t="s">
        <v>220</v>
      </c>
      <c r="F107" s="165"/>
      <c r="G107" s="165"/>
    </row>
    <row r="108" spans="1:16" x14ac:dyDescent="0.25">
      <c r="A108" s="165" t="s">
        <v>272</v>
      </c>
      <c r="B108" s="165" t="s">
        <v>1080</v>
      </c>
      <c r="C108" s="165" t="s">
        <v>206</v>
      </c>
      <c r="D108" s="165" t="s">
        <v>210</v>
      </c>
      <c r="E108" s="165" t="s">
        <v>220</v>
      </c>
      <c r="F108" s="165"/>
      <c r="G108" s="165"/>
    </row>
    <row r="109" spans="1:16" x14ac:dyDescent="0.25">
      <c r="A109" s="165" t="s">
        <v>273</v>
      </c>
      <c r="B109" s="165" t="s">
        <v>1080</v>
      </c>
      <c r="C109" s="165" t="s">
        <v>206</v>
      </c>
      <c r="D109" s="165" t="s">
        <v>210</v>
      </c>
      <c r="E109" s="165" t="s">
        <v>220</v>
      </c>
      <c r="F109" s="165"/>
      <c r="G109" s="165"/>
      <c r="O109">
        <v>0.8</v>
      </c>
      <c r="P109">
        <f>LOG(O109)</f>
        <v>-9.6910013008056392E-2</v>
      </c>
    </row>
    <row r="110" spans="1:16" x14ac:dyDescent="0.25">
      <c r="A110" s="165" t="s">
        <v>274</v>
      </c>
      <c r="B110" s="165" t="s">
        <v>1080</v>
      </c>
      <c r="C110" s="165" t="s">
        <v>206</v>
      </c>
      <c r="D110" s="165" t="s">
        <v>210</v>
      </c>
      <c r="E110" s="165" t="s">
        <v>220</v>
      </c>
      <c r="F110" s="165"/>
      <c r="G110" s="165"/>
    </row>
    <row r="111" spans="1:16" x14ac:dyDescent="0.25">
      <c r="A111" s="165" t="s">
        <v>275</v>
      </c>
      <c r="B111" s="165" t="s">
        <v>1080</v>
      </c>
      <c r="C111" s="165" t="s">
        <v>206</v>
      </c>
      <c r="D111" s="165" t="s">
        <v>210</v>
      </c>
      <c r="E111" s="165" t="s">
        <v>220</v>
      </c>
      <c r="F111" s="165"/>
      <c r="G111" s="165"/>
    </row>
    <row r="112" spans="1:16" x14ac:dyDescent="0.25">
      <c r="A112" s="165" t="s">
        <v>276</v>
      </c>
      <c r="B112" s="165" t="s">
        <v>1080</v>
      </c>
      <c r="C112" s="165" t="s">
        <v>206</v>
      </c>
      <c r="D112" s="165" t="s">
        <v>210</v>
      </c>
      <c r="E112" s="165" t="s">
        <v>220</v>
      </c>
      <c r="F112" s="165"/>
      <c r="G112" s="165"/>
    </row>
    <row r="113" spans="1:22" x14ac:dyDescent="0.25">
      <c r="A113" s="165" t="s">
        <v>277</v>
      </c>
      <c r="B113" s="165" t="s">
        <v>1080</v>
      </c>
      <c r="C113" s="165" t="s">
        <v>206</v>
      </c>
      <c r="D113" s="165" t="s">
        <v>210</v>
      </c>
      <c r="E113" s="165" t="s">
        <v>220</v>
      </c>
      <c r="F113" s="165"/>
      <c r="G113" s="165"/>
    </row>
    <row r="114" spans="1:22" x14ac:dyDescent="0.25">
      <c r="A114" s="165" t="s">
        <v>278</v>
      </c>
      <c r="B114" s="165" t="s">
        <v>1080</v>
      </c>
      <c r="C114" s="165" t="s">
        <v>206</v>
      </c>
      <c r="D114" s="165" t="s">
        <v>210</v>
      </c>
      <c r="E114" s="165" t="s">
        <v>220</v>
      </c>
      <c r="F114" s="165"/>
      <c r="G114" s="165"/>
      <c r="V114" s="165" t="s">
        <v>1117</v>
      </c>
    </row>
    <row r="115" spans="1:22" x14ac:dyDescent="0.25">
      <c r="A115" s="165" t="s">
        <v>279</v>
      </c>
      <c r="B115" s="165" t="s">
        <v>1080</v>
      </c>
      <c r="C115" s="165" t="s">
        <v>206</v>
      </c>
      <c r="D115" s="165" t="s">
        <v>210</v>
      </c>
      <c r="E115" s="165" t="s">
        <v>220</v>
      </c>
      <c r="F115" s="165"/>
      <c r="G115" s="165"/>
    </row>
    <row r="116" spans="1:22" x14ac:dyDescent="0.25">
      <c r="A116" s="165" t="s">
        <v>280</v>
      </c>
      <c r="B116" s="165" t="s">
        <v>1080</v>
      </c>
      <c r="C116" s="165" t="s">
        <v>206</v>
      </c>
      <c r="D116" s="165" t="s">
        <v>210</v>
      </c>
      <c r="E116" s="165" t="s">
        <v>220</v>
      </c>
      <c r="F116" s="165"/>
      <c r="G116" s="165"/>
    </row>
    <row r="117" spans="1:22" x14ac:dyDescent="0.25">
      <c r="A117" s="165" t="s">
        <v>281</v>
      </c>
      <c r="B117" s="165" t="s">
        <v>1080</v>
      </c>
      <c r="C117" s="165" t="s">
        <v>206</v>
      </c>
      <c r="D117" s="165" t="s">
        <v>210</v>
      </c>
      <c r="E117" s="165" t="s">
        <v>220</v>
      </c>
      <c r="F117" s="165"/>
      <c r="G117" s="165"/>
    </row>
    <row r="118" spans="1:22" x14ac:dyDescent="0.25">
      <c r="A118" s="165" t="s">
        <v>282</v>
      </c>
      <c r="B118" s="165" t="s">
        <v>1080</v>
      </c>
      <c r="C118" s="165" t="s">
        <v>206</v>
      </c>
      <c r="D118" s="165" t="s">
        <v>210</v>
      </c>
      <c r="E118" s="165" t="s">
        <v>220</v>
      </c>
      <c r="F118" s="165"/>
      <c r="G118" s="165"/>
    </row>
    <row r="119" spans="1:22" x14ac:dyDescent="0.25">
      <c r="A119" s="165" t="s">
        <v>283</v>
      </c>
      <c r="B119" s="165" t="s">
        <v>1080</v>
      </c>
      <c r="C119" s="165" t="s">
        <v>206</v>
      </c>
      <c r="D119" s="165" t="s">
        <v>210</v>
      </c>
      <c r="E119" s="165" t="s">
        <v>220</v>
      </c>
      <c r="F119" s="165"/>
      <c r="G119" s="165"/>
    </row>
    <row r="120" spans="1:22" x14ac:dyDescent="0.25">
      <c r="A120" s="165" t="s">
        <v>284</v>
      </c>
      <c r="B120" s="165" t="s">
        <v>1080</v>
      </c>
      <c r="C120" s="165" t="s">
        <v>206</v>
      </c>
      <c r="D120" s="165" t="s">
        <v>210</v>
      </c>
      <c r="E120" s="165" t="s">
        <v>220</v>
      </c>
      <c r="F120" s="165"/>
      <c r="G120" s="165"/>
    </row>
    <row r="121" spans="1:22" x14ac:dyDescent="0.25">
      <c r="A121" s="165" t="s">
        <v>285</v>
      </c>
      <c r="B121" s="165" t="s">
        <v>1080</v>
      </c>
      <c r="C121" s="165" t="s">
        <v>206</v>
      </c>
      <c r="D121" s="165" t="s">
        <v>210</v>
      </c>
      <c r="E121" s="165" t="s">
        <v>220</v>
      </c>
      <c r="F121" s="165"/>
      <c r="G121" s="165"/>
    </row>
    <row r="122" spans="1:22" x14ac:dyDescent="0.25">
      <c r="A122" s="165" t="s">
        <v>286</v>
      </c>
      <c r="B122" s="165" t="s">
        <v>1080</v>
      </c>
      <c r="C122" s="165" t="s">
        <v>206</v>
      </c>
      <c r="D122" s="165" t="s">
        <v>210</v>
      </c>
      <c r="E122" s="165" t="s">
        <v>220</v>
      </c>
      <c r="F122" s="165"/>
      <c r="G122" s="165"/>
    </row>
    <row r="123" spans="1:22" x14ac:dyDescent="0.25">
      <c r="A123" s="165" t="s">
        <v>287</v>
      </c>
      <c r="B123" s="165" t="s">
        <v>1080</v>
      </c>
      <c r="C123" s="165" t="s">
        <v>206</v>
      </c>
      <c r="D123" s="165" t="s">
        <v>210</v>
      </c>
      <c r="E123" s="165" t="s">
        <v>220</v>
      </c>
      <c r="F123" s="165"/>
      <c r="G123" s="165"/>
    </row>
    <row r="124" spans="1:22" x14ac:dyDescent="0.25">
      <c r="A124" s="165" t="s">
        <v>288</v>
      </c>
      <c r="B124" s="165" t="s">
        <v>1080</v>
      </c>
      <c r="C124" s="165" t="s">
        <v>206</v>
      </c>
      <c r="D124" s="165" t="s">
        <v>210</v>
      </c>
      <c r="E124" s="165" t="s">
        <v>220</v>
      </c>
      <c r="F124" s="165"/>
      <c r="G124" s="165"/>
    </row>
    <row r="125" spans="1:22" x14ac:dyDescent="0.25">
      <c r="A125" s="165" t="s">
        <v>289</v>
      </c>
      <c r="B125" s="165" t="s">
        <v>1080</v>
      </c>
      <c r="C125" s="165" t="s">
        <v>206</v>
      </c>
      <c r="D125" s="165" t="s">
        <v>210</v>
      </c>
      <c r="E125" s="165" t="s">
        <v>220</v>
      </c>
      <c r="F125" s="165"/>
      <c r="G125" s="165"/>
    </row>
    <row r="126" spans="1:22" x14ac:dyDescent="0.25">
      <c r="A126" s="165" t="s">
        <v>290</v>
      </c>
      <c r="B126" s="165" t="s">
        <v>1080</v>
      </c>
      <c r="C126" s="165" t="s">
        <v>206</v>
      </c>
      <c r="D126" s="165" t="s">
        <v>210</v>
      </c>
      <c r="E126" s="165" t="s">
        <v>220</v>
      </c>
      <c r="F126" s="165"/>
      <c r="G126" s="165"/>
    </row>
    <row r="127" spans="1:22" x14ac:dyDescent="0.25">
      <c r="A127" s="165" t="s">
        <v>291</v>
      </c>
      <c r="B127" s="165" t="s">
        <v>1080</v>
      </c>
      <c r="C127" s="165" t="s">
        <v>206</v>
      </c>
      <c r="D127" s="165" t="s">
        <v>210</v>
      </c>
      <c r="E127" s="165" t="s">
        <v>220</v>
      </c>
      <c r="F127" s="165"/>
      <c r="G127" s="165"/>
    </row>
    <row r="128" spans="1:22" ht="60" x14ac:dyDescent="0.25">
      <c r="A128" s="165" t="s">
        <v>292</v>
      </c>
      <c r="B128" s="165" t="s">
        <v>1080</v>
      </c>
      <c r="C128" s="165" t="s">
        <v>206</v>
      </c>
      <c r="D128" s="165" t="s">
        <v>210</v>
      </c>
      <c r="E128" s="165" t="s">
        <v>220</v>
      </c>
      <c r="F128" s="165"/>
      <c r="G128" s="165"/>
      <c r="J128" s="185" t="s">
        <v>20</v>
      </c>
      <c r="K128" s="185" t="s">
        <v>21</v>
      </c>
      <c r="L128" s="185" t="s">
        <v>1093</v>
      </c>
      <c r="M128" s="185" t="s">
        <v>1094</v>
      </c>
      <c r="N128" s="185" t="s">
        <v>1095</v>
      </c>
      <c r="O128" s="185" t="s">
        <v>1096</v>
      </c>
    </row>
    <row r="129" spans="1:15" x14ac:dyDescent="0.25">
      <c r="A129" s="165" t="s">
        <v>293</v>
      </c>
      <c r="B129" s="165" t="s">
        <v>1080</v>
      </c>
      <c r="C129" s="165" t="s">
        <v>206</v>
      </c>
      <c r="D129" s="165" t="s">
        <v>210</v>
      </c>
      <c r="E129" s="165" t="s">
        <v>220</v>
      </c>
      <c r="F129" s="165"/>
      <c r="G129" s="165"/>
      <c r="J129" s="165" t="s">
        <v>54</v>
      </c>
      <c r="K129" s="165">
        <v>100</v>
      </c>
      <c r="L129" s="165">
        <f>30.5*4*1000</f>
        <v>122000</v>
      </c>
      <c r="M129" s="165"/>
      <c r="N129" s="167">
        <f>K129*0.00004/1000000*6.022E+23</f>
        <v>2408800000000000.5</v>
      </c>
      <c r="O129" s="167"/>
    </row>
    <row r="130" spans="1:15" x14ac:dyDescent="0.25">
      <c r="A130" s="165" t="s">
        <v>294</v>
      </c>
      <c r="B130" s="165" t="s">
        <v>1080</v>
      </c>
      <c r="C130" s="165" t="s">
        <v>206</v>
      </c>
      <c r="D130" s="165" t="s">
        <v>210</v>
      </c>
      <c r="E130" s="165" t="s">
        <v>220</v>
      </c>
      <c r="F130" s="165"/>
      <c r="G130" s="165"/>
      <c r="J130" s="165"/>
      <c r="K130" s="165"/>
      <c r="L130" s="165"/>
      <c r="M130" s="165"/>
      <c r="N130" s="167"/>
      <c r="O130" s="167"/>
    </row>
    <row r="131" spans="1:15" x14ac:dyDescent="0.25">
      <c r="A131" s="165" t="s">
        <v>295</v>
      </c>
      <c r="B131" s="165" t="s">
        <v>1080</v>
      </c>
      <c r="C131" s="165" t="s">
        <v>206</v>
      </c>
      <c r="D131" s="165" t="s">
        <v>210</v>
      </c>
      <c r="E131" s="165" t="s">
        <v>220</v>
      </c>
      <c r="F131" s="165"/>
      <c r="G131" s="165"/>
      <c r="J131" s="165" t="s">
        <v>1097</v>
      </c>
      <c r="K131" s="165">
        <v>10</v>
      </c>
      <c r="L131" s="165">
        <f>30.5*1000</f>
        <v>30500</v>
      </c>
      <c r="M131" s="165"/>
      <c r="N131" s="167">
        <f>K129*0.00001/1000000*6.022E+23</f>
        <v>602200000000000.13</v>
      </c>
      <c r="O131" s="167"/>
    </row>
    <row r="132" spans="1:15" x14ac:dyDescent="0.25">
      <c r="A132" s="165" t="s">
        <v>296</v>
      </c>
      <c r="B132" s="165" t="s">
        <v>1080</v>
      </c>
      <c r="C132" s="165" t="s">
        <v>206</v>
      </c>
      <c r="D132" s="165" t="s">
        <v>210</v>
      </c>
      <c r="E132" s="165" t="s">
        <v>220</v>
      </c>
      <c r="F132" s="165"/>
      <c r="G132" s="165"/>
      <c r="J132" s="165"/>
      <c r="K132" s="165"/>
      <c r="L132" s="165"/>
      <c r="M132" s="165"/>
      <c r="N132" s="167"/>
      <c r="O132" s="167"/>
    </row>
    <row r="133" spans="1:15" x14ac:dyDescent="0.25">
      <c r="A133" s="165" t="s">
        <v>297</v>
      </c>
      <c r="B133" s="165" t="s">
        <v>1080</v>
      </c>
      <c r="C133" s="165" t="s">
        <v>206</v>
      </c>
      <c r="D133" s="165" t="s">
        <v>210</v>
      </c>
      <c r="E133" s="165" t="s">
        <v>220</v>
      </c>
      <c r="F133" s="165"/>
      <c r="G133" s="165"/>
      <c r="J133" s="165" t="s">
        <v>1098</v>
      </c>
      <c r="K133" s="165">
        <f>K131/100</f>
        <v>0.1</v>
      </c>
      <c r="L133" s="165">
        <f>L131/100</f>
        <v>305</v>
      </c>
      <c r="M133" s="165">
        <f>L133/1000000000/29274.1*6.022E+23</f>
        <v>6274180931266.8877</v>
      </c>
      <c r="N133" s="167">
        <f>N131/100</f>
        <v>6022000000000.001</v>
      </c>
      <c r="O133" s="167">
        <f>N133/1000*2</f>
        <v>12044000000.000002</v>
      </c>
    </row>
    <row r="134" spans="1:15" x14ac:dyDescent="0.25">
      <c r="A134" s="165" t="s">
        <v>298</v>
      </c>
      <c r="B134" s="165" t="s">
        <v>1080</v>
      </c>
      <c r="C134" s="165" t="s">
        <v>206</v>
      </c>
      <c r="D134" s="165" t="s">
        <v>210</v>
      </c>
      <c r="E134" s="165">
        <v>9.2100000000000009</v>
      </c>
      <c r="F134" s="165"/>
      <c r="G134" s="165"/>
      <c r="J134" s="165" t="s">
        <v>1099</v>
      </c>
      <c r="K134" s="165">
        <f t="shared" ref="K134:K147" si="13">K133/10</f>
        <v>0.01</v>
      </c>
      <c r="L134" s="165">
        <f>L133/10</f>
        <v>30.5</v>
      </c>
      <c r="M134" s="165">
        <f>M133/10</f>
        <v>627418093126.68872</v>
      </c>
      <c r="N134" s="167">
        <f t="shared" ref="N134:N147" si="14">N133/10</f>
        <v>602200000000.00012</v>
      </c>
      <c r="O134" s="167">
        <f t="shared" ref="O134:O147" si="15">N134/1000*2</f>
        <v>1204400000.0000002</v>
      </c>
    </row>
    <row r="135" spans="1:15" x14ac:dyDescent="0.25">
      <c r="A135" s="165" t="s">
        <v>299</v>
      </c>
      <c r="B135" s="165" t="s">
        <v>1080</v>
      </c>
      <c r="C135" s="165" t="s">
        <v>206</v>
      </c>
      <c r="D135" s="165" t="s">
        <v>210</v>
      </c>
      <c r="E135" s="165">
        <v>9.9</v>
      </c>
      <c r="F135" s="165"/>
      <c r="G135" s="165"/>
      <c r="J135" s="165" t="s">
        <v>1100</v>
      </c>
      <c r="K135" s="165">
        <f t="shared" si="13"/>
        <v>1E-3</v>
      </c>
      <c r="L135" s="165">
        <f t="shared" ref="L135:L147" si="16">L133/100</f>
        <v>3.05</v>
      </c>
      <c r="M135" s="165">
        <f t="shared" ref="M135:M147" si="17">M134/10</f>
        <v>62741809312.668869</v>
      </c>
      <c r="N135" s="167">
        <f t="shared" si="14"/>
        <v>60220000000.000015</v>
      </c>
      <c r="O135" s="167">
        <f t="shared" si="15"/>
        <v>120440000.00000003</v>
      </c>
    </row>
    <row r="136" spans="1:15" x14ac:dyDescent="0.25">
      <c r="A136" s="165" t="s">
        <v>300</v>
      </c>
      <c r="B136" s="165" t="s">
        <v>1080</v>
      </c>
      <c r="C136" s="165" t="s">
        <v>206</v>
      </c>
      <c r="D136" s="165" t="s">
        <v>210</v>
      </c>
      <c r="E136" s="165">
        <v>10.1</v>
      </c>
      <c r="F136" s="165"/>
      <c r="G136" s="165"/>
      <c r="J136" s="165" t="s">
        <v>1101</v>
      </c>
      <c r="K136" s="165">
        <f t="shared" si="13"/>
        <v>1E-4</v>
      </c>
      <c r="L136" s="165">
        <f t="shared" si="16"/>
        <v>0.30499999999999999</v>
      </c>
      <c r="M136" s="165">
        <f t="shared" si="17"/>
        <v>6274180931.2668867</v>
      </c>
      <c r="N136" s="167">
        <f t="shared" si="14"/>
        <v>6022000000.0000019</v>
      </c>
      <c r="O136" s="167">
        <f t="shared" si="15"/>
        <v>12044000.000000004</v>
      </c>
    </row>
    <row r="137" spans="1:15" x14ac:dyDescent="0.25">
      <c r="A137" s="165" t="s">
        <v>301</v>
      </c>
      <c r="B137" s="165" t="s">
        <v>1080</v>
      </c>
      <c r="C137" s="165" t="s">
        <v>206</v>
      </c>
      <c r="D137" s="165" t="s">
        <v>210</v>
      </c>
      <c r="E137" s="165">
        <v>13.55</v>
      </c>
      <c r="F137" s="165"/>
      <c r="G137" s="165"/>
      <c r="J137" s="165" t="s">
        <v>1102</v>
      </c>
      <c r="K137" s="165">
        <f t="shared" si="13"/>
        <v>1.0000000000000001E-5</v>
      </c>
      <c r="L137" s="165">
        <f t="shared" si="16"/>
        <v>3.0499999999999999E-2</v>
      </c>
      <c r="M137" s="165">
        <f t="shared" si="17"/>
        <v>627418093.12668872</v>
      </c>
      <c r="N137" s="167">
        <f t="shared" si="14"/>
        <v>602200000.00000024</v>
      </c>
      <c r="O137" s="167">
        <f t="shared" si="15"/>
        <v>1204400.0000000005</v>
      </c>
    </row>
    <row r="138" spans="1:15" x14ac:dyDescent="0.25">
      <c r="A138" s="165" t="s">
        <v>302</v>
      </c>
      <c r="B138" s="165" t="s">
        <v>1080</v>
      </c>
      <c r="C138" s="165" t="s">
        <v>206</v>
      </c>
      <c r="D138" s="165" t="s">
        <v>210</v>
      </c>
      <c r="E138" s="165">
        <v>13.74</v>
      </c>
      <c r="F138" s="165"/>
      <c r="G138" s="165"/>
      <c r="J138" s="165" t="s">
        <v>1103</v>
      </c>
      <c r="K138" s="165">
        <f t="shared" si="13"/>
        <v>1.0000000000000002E-6</v>
      </c>
      <c r="L138" s="165">
        <f t="shared" si="16"/>
        <v>3.0499999999999998E-3</v>
      </c>
      <c r="M138" s="165">
        <f t="shared" si="17"/>
        <v>62741809.312668875</v>
      </c>
      <c r="N138" s="167">
        <f t="shared" si="14"/>
        <v>60220000.000000022</v>
      </c>
      <c r="O138" s="167">
        <f t="shared" si="15"/>
        <v>120440.00000000004</v>
      </c>
    </row>
    <row r="139" spans="1:15" x14ac:dyDescent="0.25">
      <c r="A139" s="165" t="s">
        <v>303</v>
      </c>
      <c r="B139" s="165" t="s">
        <v>1080</v>
      </c>
      <c r="C139" s="165" t="s">
        <v>206</v>
      </c>
      <c r="D139" s="165" t="s">
        <v>210</v>
      </c>
      <c r="E139" s="165">
        <v>13.81</v>
      </c>
      <c r="F139" s="165"/>
      <c r="G139" s="165"/>
      <c r="J139" s="165" t="s">
        <v>1104</v>
      </c>
      <c r="K139" s="165">
        <f t="shared" si="13"/>
        <v>1.0000000000000002E-7</v>
      </c>
      <c r="L139" s="165">
        <f t="shared" si="16"/>
        <v>3.0499999999999999E-4</v>
      </c>
      <c r="M139" s="165">
        <f t="shared" si="17"/>
        <v>6274180.9312668871</v>
      </c>
      <c r="N139" s="167">
        <f t="shared" si="14"/>
        <v>6022000.0000000019</v>
      </c>
      <c r="O139" s="167">
        <f t="shared" si="15"/>
        <v>12044.000000000004</v>
      </c>
    </row>
    <row r="140" spans="1:15" x14ac:dyDescent="0.25">
      <c r="A140" s="165" t="s">
        <v>304</v>
      </c>
      <c r="B140" s="165" t="s">
        <v>1080</v>
      </c>
      <c r="C140" s="165" t="s">
        <v>206</v>
      </c>
      <c r="D140" s="165" t="s">
        <v>210</v>
      </c>
      <c r="E140" s="165">
        <v>17.88</v>
      </c>
      <c r="F140" s="165"/>
      <c r="G140" s="165"/>
      <c r="J140" s="165" t="s">
        <v>1105</v>
      </c>
      <c r="K140" s="165">
        <f t="shared" si="13"/>
        <v>1.0000000000000002E-8</v>
      </c>
      <c r="L140" s="165">
        <f t="shared" si="16"/>
        <v>3.0499999999999996E-5</v>
      </c>
      <c r="M140" s="165">
        <f t="shared" si="17"/>
        <v>627418.09312668873</v>
      </c>
      <c r="N140" s="167">
        <f t="shared" si="14"/>
        <v>602200.00000000023</v>
      </c>
      <c r="O140" s="167">
        <f t="shared" si="15"/>
        <v>1204.4000000000005</v>
      </c>
    </row>
    <row r="141" spans="1:15" x14ac:dyDescent="0.25">
      <c r="A141" s="165" t="s">
        <v>305</v>
      </c>
      <c r="B141" s="165" t="s">
        <v>1080</v>
      </c>
      <c r="C141" s="165" t="s">
        <v>206</v>
      </c>
      <c r="D141" s="165" t="s">
        <v>210</v>
      </c>
      <c r="E141" s="165">
        <v>17.8</v>
      </c>
      <c r="F141" s="165"/>
      <c r="G141" s="165"/>
      <c r="J141" s="165" t="s">
        <v>1106</v>
      </c>
      <c r="K141" s="165">
        <f t="shared" si="13"/>
        <v>1.0000000000000003E-9</v>
      </c>
      <c r="L141" s="165">
        <f t="shared" si="16"/>
        <v>3.05E-6</v>
      </c>
      <c r="M141" s="165">
        <f t="shared" si="17"/>
        <v>62741.809312668876</v>
      </c>
      <c r="N141" s="167">
        <f t="shared" si="14"/>
        <v>60220.000000000022</v>
      </c>
      <c r="O141" s="167">
        <f t="shared" si="15"/>
        <v>120.44000000000004</v>
      </c>
    </row>
    <row r="142" spans="1:15" x14ac:dyDescent="0.25">
      <c r="A142" s="165" t="s">
        <v>306</v>
      </c>
      <c r="B142" s="165" t="s">
        <v>1080</v>
      </c>
      <c r="C142" s="165" t="s">
        <v>206</v>
      </c>
      <c r="D142" s="165" t="s">
        <v>210</v>
      </c>
      <c r="E142" s="165">
        <v>17.739999999999998</v>
      </c>
      <c r="F142" s="165"/>
      <c r="G142" s="165"/>
      <c r="J142" s="165" t="s">
        <v>1107</v>
      </c>
      <c r="K142" s="165">
        <f t="shared" si="13"/>
        <v>1.0000000000000003E-10</v>
      </c>
      <c r="L142" s="165">
        <f t="shared" si="16"/>
        <v>3.0499999999999994E-7</v>
      </c>
      <c r="M142" s="165">
        <f t="shared" si="17"/>
        <v>6274.1809312668875</v>
      </c>
      <c r="N142" s="167">
        <f t="shared" si="14"/>
        <v>6022.0000000000018</v>
      </c>
      <c r="O142" s="167">
        <f t="shared" si="15"/>
        <v>12.044000000000004</v>
      </c>
    </row>
    <row r="143" spans="1:15" x14ac:dyDescent="0.25">
      <c r="A143" s="165" t="s">
        <v>307</v>
      </c>
      <c r="B143" s="165" t="s">
        <v>1080</v>
      </c>
      <c r="C143" s="165" t="s">
        <v>206</v>
      </c>
      <c r="D143" s="165" t="s">
        <v>210</v>
      </c>
      <c r="E143" s="165">
        <v>20.94</v>
      </c>
      <c r="F143" s="165"/>
      <c r="G143" s="165"/>
      <c r="J143" s="165" t="s">
        <v>1108</v>
      </c>
      <c r="K143" s="165">
        <f t="shared" si="13"/>
        <v>1.0000000000000003E-11</v>
      </c>
      <c r="L143" s="165">
        <f t="shared" si="16"/>
        <v>3.0500000000000002E-8</v>
      </c>
      <c r="M143" s="165">
        <f t="shared" si="17"/>
        <v>627.41809312668875</v>
      </c>
      <c r="N143" s="167">
        <f t="shared" si="14"/>
        <v>602.20000000000016</v>
      </c>
      <c r="O143" s="167">
        <f t="shared" si="15"/>
        <v>1.2044000000000004</v>
      </c>
    </row>
    <row r="144" spans="1:15" x14ac:dyDescent="0.25">
      <c r="A144" s="165" t="s">
        <v>308</v>
      </c>
      <c r="B144" s="165" t="s">
        <v>1080</v>
      </c>
      <c r="C144" s="165" t="s">
        <v>206</v>
      </c>
      <c r="D144" s="165" t="s">
        <v>210</v>
      </c>
      <c r="E144" s="165">
        <v>21.7</v>
      </c>
      <c r="F144" s="165"/>
      <c r="G144" s="165"/>
      <c r="J144" s="165" t="s">
        <v>1109</v>
      </c>
      <c r="K144" s="165">
        <f t="shared" si="13"/>
        <v>1.0000000000000002E-12</v>
      </c>
      <c r="L144" s="165">
        <f t="shared" si="16"/>
        <v>3.0499999999999992E-9</v>
      </c>
      <c r="M144" s="165">
        <f t="shared" si="17"/>
        <v>62.741809312668877</v>
      </c>
      <c r="N144" s="167">
        <f t="shared" si="14"/>
        <v>60.220000000000013</v>
      </c>
      <c r="O144" s="167">
        <f t="shared" si="15"/>
        <v>0.12044000000000002</v>
      </c>
    </row>
    <row r="145" spans="1:23" x14ac:dyDescent="0.25">
      <c r="A145" s="165" t="s">
        <v>309</v>
      </c>
      <c r="B145" s="165" t="s">
        <v>1080</v>
      </c>
      <c r="C145" s="165" t="s">
        <v>206</v>
      </c>
      <c r="D145" s="165" t="s">
        <v>210</v>
      </c>
      <c r="E145" s="165">
        <v>22.12</v>
      </c>
      <c r="F145" s="165"/>
      <c r="G145" s="165"/>
      <c r="J145" s="165" t="s">
        <v>1110</v>
      </c>
      <c r="K145" s="165">
        <f t="shared" si="13"/>
        <v>1.0000000000000002E-13</v>
      </c>
      <c r="L145" s="165">
        <f t="shared" si="16"/>
        <v>3.0500000000000003E-10</v>
      </c>
      <c r="M145" s="165">
        <f t="shared" si="17"/>
        <v>6.2741809312668879</v>
      </c>
      <c r="N145" s="167">
        <f t="shared" si="14"/>
        <v>6.0220000000000011</v>
      </c>
      <c r="O145" s="167">
        <f t="shared" si="15"/>
        <v>1.2044000000000003E-2</v>
      </c>
    </row>
    <row r="146" spans="1:23" x14ac:dyDescent="0.25">
      <c r="A146" s="165" t="s">
        <v>310</v>
      </c>
      <c r="B146" s="165" t="s">
        <v>1080</v>
      </c>
      <c r="C146" s="165" t="s">
        <v>206</v>
      </c>
      <c r="D146" s="165" t="s">
        <v>210</v>
      </c>
      <c r="E146" s="165">
        <v>25.19</v>
      </c>
      <c r="F146" s="165"/>
      <c r="G146" s="165"/>
      <c r="J146" s="165" t="s">
        <v>1111</v>
      </c>
      <c r="K146" s="165">
        <f t="shared" si="13"/>
        <v>1.0000000000000002E-14</v>
      </c>
      <c r="L146" s="165">
        <f t="shared" si="16"/>
        <v>3.0499999999999992E-11</v>
      </c>
      <c r="M146" s="165">
        <f t="shared" si="17"/>
        <v>0.62741809312668884</v>
      </c>
      <c r="N146" s="167">
        <f t="shared" si="14"/>
        <v>0.60220000000000007</v>
      </c>
      <c r="O146" s="167">
        <f t="shared" si="15"/>
        <v>1.2044000000000002E-3</v>
      </c>
    </row>
    <row r="147" spans="1:23" x14ac:dyDescent="0.25">
      <c r="A147" s="165" t="s">
        <v>311</v>
      </c>
      <c r="B147" s="165" t="s">
        <v>1080</v>
      </c>
      <c r="C147" s="165" t="s">
        <v>206</v>
      </c>
      <c r="D147" s="165" t="s">
        <v>210</v>
      </c>
      <c r="E147" s="165">
        <v>25.27</v>
      </c>
      <c r="F147" s="165"/>
      <c r="G147" s="165"/>
      <c r="J147" s="165" t="s">
        <v>1112</v>
      </c>
      <c r="K147" s="165">
        <f t="shared" si="13"/>
        <v>1.0000000000000001E-15</v>
      </c>
      <c r="L147" s="165">
        <f t="shared" si="16"/>
        <v>3.0500000000000001E-12</v>
      </c>
      <c r="M147" s="165">
        <f t="shared" si="17"/>
        <v>6.2741809312668886E-2</v>
      </c>
      <c r="N147" s="167">
        <f t="shared" si="14"/>
        <v>6.022000000000001E-2</v>
      </c>
      <c r="O147" s="167">
        <f t="shared" si="15"/>
        <v>1.2044000000000002E-4</v>
      </c>
    </row>
    <row r="148" spans="1:23" x14ac:dyDescent="0.25">
      <c r="A148" s="165" t="s">
        <v>312</v>
      </c>
      <c r="B148" s="165" t="s">
        <v>1080</v>
      </c>
      <c r="C148" s="165" t="s">
        <v>206</v>
      </c>
      <c r="D148" s="165" t="s">
        <v>210</v>
      </c>
      <c r="E148" s="165">
        <v>25.16</v>
      </c>
      <c r="F148" s="165"/>
      <c r="G148" s="165"/>
    </row>
    <row r="149" spans="1:23" x14ac:dyDescent="0.25">
      <c r="A149" s="165" t="s">
        <v>313</v>
      </c>
      <c r="B149" s="165" t="s">
        <v>1080</v>
      </c>
      <c r="C149" s="165" t="s">
        <v>206</v>
      </c>
      <c r="D149" s="165" t="s">
        <v>210</v>
      </c>
      <c r="E149" s="165">
        <v>28.46</v>
      </c>
      <c r="F149" s="165"/>
      <c r="G149" s="165"/>
    </row>
    <row r="150" spans="1:23" x14ac:dyDescent="0.25">
      <c r="A150" s="165" t="s">
        <v>314</v>
      </c>
      <c r="B150" s="165" t="s">
        <v>1080</v>
      </c>
      <c r="C150" s="165" t="s">
        <v>206</v>
      </c>
      <c r="D150" s="165" t="s">
        <v>210</v>
      </c>
      <c r="E150" s="165">
        <v>28.87</v>
      </c>
      <c r="F150" s="165"/>
      <c r="G150" s="165"/>
    </row>
    <row r="151" spans="1:23" x14ac:dyDescent="0.25">
      <c r="A151" s="165" t="s">
        <v>315</v>
      </c>
      <c r="B151" s="165" t="s">
        <v>1080</v>
      </c>
      <c r="C151" s="165" t="s">
        <v>206</v>
      </c>
      <c r="D151" s="165" t="s">
        <v>210</v>
      </c>
      <c r="E151" s="165">
        <v>28.68</v>
      </c>
      <c r="F151" s="165"/>
      <c r="G151" s="165"/>
    </row>
    <row r="152" spans="1:23" x14ac:dyDescent="0.25">
      <c r="A152" s="165" t="s">
        <v>316</v>
      </c>
      <c r="B152" s="165" t="s">
        <v>1080</v>
      </c>
      <c r="C152" s="165" t="s">
        <v>206</v>
      </c>
      <c r="D152" s="165" t="s">
        <v>210</v>
      </c>
      <c r="E152" s="165">
        <v>32.26</v>
      </c>
      <c r="F152" s="165"/>
      <c r="G152" s="165"/>
    </row>
    <row r="153" spans="1:23" x14ac:dyDescent="0.25">
      <c r="A153" s="165" t="s">
        <v>317</v>
      </c>
      <c r="B153" s="165" t="s">
        <v>1080</v>
      </c>
      <c r="C153" s="165" t="s">
        <v>206</v>
      </c>
      <c r="D153" s="165" t="s">
        <v>210</v>
      </c>
      <c r="E153" s="165">
        <v>32.39</v>
      </c>
      <c r="F153" s="165"/>
      <c r="G153" s="165"/>
    </row>
    <row r="154" spans="1:23" x14ac:dyDescent="0.25">
      <c r="A154" s="165" t="s">
        <v>318</v>
      </c>
      <c r="B154" s="165" t="s">
        <v>1080</v>
      </c>
      <c r="C154" s="165" t="s">
        <v>206</v>
      </c>
      <c r="D154" s="165" t="s">
        <v>210</v>
      </c>
      <c r="E154" s="165">
        <v>32.28</v>
      </c>
      <c r="F154" s="165"/>
      <c r="G154" s="165"/>
    </row>
    <row r="155" spans="1:23" x14ac:dyDescent="0.25">
      <c r="A155" s="165" t="s">
        <v>319</v>
      </c>
      <c r="B155" s="165" t="s">
        <v>1080</v>
      </c>
      <c r="C155" s="165" t="s">
        <v>206</v>
      </c>
      <c r="D155" s="165" t="s">
        <v>210</v>
      </c>
      <c r="E155" s="165" t="s">
        <v>220</v>
      </c>
      <c r="F155" s="165"/>
      <c r="G155" s="165"/>
      <c r="K155" t="s">
        <v>1219</v>
      </c>
    </row>
    <row r="156" spans="1:23" x14ac:dyDescent="0.25">
      <c r="A156" s="165" t="s">
        <v>321</v>
      </c>
      <c r="B156" s="165" t="s">
        <v>1080</v>
      </c>
      <c r="C156" s="165" t="s">
        <v>206</v>
      </c>
      <c r="D156" s="165" t="s">
        <v>210</v>
      </c>
      <c r="E156" s="165" t="s">
        <v>220</v>
      </c>
      <c r="F156" s="165"/>
      <c r="G156" s="165"/>
    </row>
    <row r="157" spans="1:23" ht="60" x14ac:dyDescent="0.25">
      <c r="A157" s="165" t="s">
        <v>322</v>
      </c>
      <c r="B157" s="165" t="s">
        <v>1080</v>
      </c>
      <c r="C157" s="165" t="s">
        <v>206</v>
      </c>
      <c r="D157" s="165" t="s">
        <v>210</v>
      </c>
      <c r="E157" s="165">
        <v>38.51</v>
      </c>
      <c r="F157" s="165"/>
      <c r="G157" s="165"/>
      <c r="K157" s="230" t="s">
        <v>20</v>
      </c>
      <c r="L157" s="231" t="s">
        <v>21</v>
      </c>
      <c r="M157" s="231" t="s">
        <v>1093</v>
      </c>
      <c r="N157" s="231" t="s">
        <v>1094</v>
      </c>
      <c r="O157" s="231" t="s">
        <v>1095</v>
      </c>
      <c r="P157" s="232" t="s">
        <v>1096</v>
      </c>
      <c r="S157" s="244" t="s">
        <v>1223</v>
      </c>
      <c r="T157" s="244" t="s">
        <v>26</v>
      </c>
      <c r="U157" s="244" t="s">
        <v>1119</v>
      </c>
      <c r="V157" s="244" t="s">
        <v>1114</v>
      </c>
      <c r="W157" s="244" t="s">
        <v>1121</v>
      </c>
    </row>
    <row r="158" spans="1:23" x14ac:dyDescent="0.25">
      <c r="K158" s="233" t="s">
        <v>54</v>
      </c>
      <c r="L158" s="234">
        <v>92.35</v>
      </c>
      <c r="M158" s="234">
        <f>30.5*4*1000</f>
        <v>122000</v>
      </c>
      <c r="N158" s="242"/>
      <c r="O158" s="242">
        <f>L158*0.00004/1000000*6.022E+23</f>
        <v>2224526800000000.3</v>
      </c>
      <c r="P158" s="235"/>
      <c r="T158" s="165">
        <v>1.0000000000000003E-9</v>
      </c>
      <c r="U158" s="165">
        <f t="shared" ref="U158:U163" si="18">LOG(T158)</f>
        <v>-9</v>
      </c>
      <c r="V158" s="165">
        <v>100</v>
      </c>
      <c r="W158" s="165">
        <f t="shared" ref="W158:W163" si="19" xml:space="preserve"> 100 + (-0.0000002043069 - 100)/(1 + (U158/-9.857024)^-193.3437)^13.32201</f>
        <v>100</v>
      </c>
    </row>
    <row r="159" spans="1:23" x14ac:dyDescent="0.25">
      <c r="K159" s="236"/>
      <c r="L159" s="237"/>
      <c r="M159" s="237"/>
      <c r="N159" s="243"/>
      <c r="O159" s="243"/>
      <c r="P159" s="238"/>
      <c r="T159" s="165">
        <v>1.0000000000000003E-10</v>
      </c>
      <c r="U159" s="165">
        <f t="shared" si="18"/>
        <v>-10</v>
      </c>
      <c r="V159" s="165">
        <v>55</v>
      </c>
      <c r="W159" s="165">
        <f t="shared" si="19"/>
        <v>55.000207873005714</v>
      </c>
    </row>
    <row r="160" spans="1:23" x14ac:dyDescent="0.25">
      <c r="K160" s="233" t="s">
        <v>1097</v>
      </c>
      <c r="L160" s="234">
        <f>L158/100</f>
        <v>0.92349999999999999</v>
      </c>
      <c r="M160" s="234">
        <f>30.5*1000</f>
        <v>30500</v>
      </c>
      <c r="N160" s="242"/>
      <c r="O160" s="242">
        <f>L158*0.00001/1000000*6.022E+23</f>
        <v>556131700000000.06</v>
      </c>
      <c r="P160" s="235"/>
      <c r="T160" s="165">
        <v>1.0000000000000003E-11</v>
      </c>
      <c r="U160" s="165">
        <f t="shared" si="18"/>
        <v>-11</v>
      </c>
      <c r="V160" s="165">
        <v>0</v>
      </c>
      <c r="W160" s="165">
        <f t="shared" si="19"/>
        <v>6.1292880104701908E-7</v>
      </c>
    </row>
    <row r="161" spans="11:25" x14ac:dyDescent="0.25">
      <c r="K161" s="236"/>
      <c r="L161" s="237"/>
      <c r="M161" s="237"/>
      <c r="N161" s="243"/>
      <c r="O161" s="243"/>
      <c r="P161" s="238"/>
      <c r="T161" s="165">
        <v>1.0000000000000002E-12</v>
      </c>
      <c r="U161" s="165">
        <f t="shared" si="18"/>
        <v>-12</v>
      </c>
      <c r="V161" s="165">
        <v>0</v>
      </c>
      <c r="W161" s="165">
        <f t="shared" si="19"/>
        <v>-2.0430690028661047E-7</v>
      </c>
    </row>
    <row r="162" spans="11:25" x14ac:dyDescent="0.25">
      <c r="K162" s="233" t="s">
        <v>1098</v>
      </c>
      <c r="L162" s="234">
        <f>L160/100</f>
        <v>9.2350000000000002E-3</v>
      </c>
      <c r="M162" s="234">
        <f>M160/100</f>
        <v>305</v>
      </c>
      <c r="N162" s="242">
        <f>M162/1000000000/29274.1*6.022E+23</f>
        <v>6274180931266.8877</v>
      </c>
      <c r="O162" s="242">
        <f>O160/100</f>
        <v>5561317000000.001</v>
      </c>
      <c r="P162" s="235">
        <f>O162/1000*2</f>
        <v>11122634000.000002</v>
      </c>
      <c r="T162" s="165">
        <v>1.0000000000000002E-13</v>
      </c>
      <c r="U162" s="165">
        <f t="shared" si="18"/>
        <v>-13</v>
      </c>
      <c r="V162" s="165">
        <v>0</v>
      </c>
      <c r="W162" s="165">
        <f t="shared" si="19"/>
        <v>-2.0430690028661047E-7</v>
      </c>
    </row>
    <row r="163" spans="11:25" x14ac:dyDescent="0.25">
      <c r="K163" s="236" t="s">
        <v>1099</v>
      </c>
      <c r="L163" s="237">
        <f t="shared" ref="L163:L176" si="20">L162/10</f>
        <v>9.2350000000000006E-4</v>
      </c>
      <c r="M163" s="237">
        <f>M162/10</f>
        <v>30.5</v>
      </c>
      <c r="N163" s="243">
        <f>N162/10</f>
        <v>627418093126.68872</v>
      </c>
      <c r="O163" s="243">
        <f t="shared" ref="O163:O176" si="21">O162/10</f>
        <v>556131700000.00012</v>
      </c>
      <c r="P163" s="238">
        <f t="shared" ref="P163:P176" si="22">O163/1000*2</f>
        <v>1112263400.0000002</v>
      </c>
      <c r="T163" s="165">
        <v>1.0000000000000002E-14</v>
      </c>
      <c r="U163" s="165">
        <f t="shared" si="18"/>
        <v>-14</v>
      </c>
      <c r="V163" s="165">
        <v>0</v>
      </c>
      <c r="W163" s="165">
        <f t="shared" si="19"/>
        <v>-2.0430690028661047E-7</v>
      </c>
    </row>
    <row r="164" spans="11:25" x14ac:dyDescent="0.25">
      <c r="K164" s="233" t="s">
        <v>1100</v>
      </c>
      <c r="L164" s="234">
        <f t="shared" si="20"/>
        <v>9.2350000000000009E-5</v>
      </c>
      <c r="M164" s="234">
        <f t="shared" ref="M164:M176" si="23">M162/100</f>
        <v>3.05</v>
      </c>
      <c r="N164" s="242">
        <f t="shared" ref="N164:N176" si="24">N163/10</f>
        <v>62741809312.668869</v>
      </c>
      <c r="O164" s="242">
        <f t="shared" si="21"/>
        <v>55613170000.000015</v>
      </c>
      <c r="P164" s="235">
        <f t="shared" si="22"/>
        <v>111226340.00000003</v>
      </c>
      <c r="R164" s="119" t="s">
        <v>1195</v>
      </c>
      <c r="V164" t="s">
        <v>1222</v>
      </c>
    </row>
    <row r="165" spans="11:25" x14ac:dyDescent="0.25">
      <c r="K165" s="236" t="s">
        <v>1101</v>
      </c>
      <c r="L165" s="237">
        <f t="shared" si="20"/>
        <v>9.2350000000000005E-6</v>
      </c>
      <c r="M165" s="237">
        <f t="shared" si="23"/>
        <v>0.30499999999999999</v>
      </c>
      <c r="N165" s="243">
        <f t="shared" si="24"/>
        <v>6274180931.2668867</v>
      </c>
      <c r="O165" s="243">
        <f t="shared" si="21"/>
        <v>5561317000.0000019</v>
      </c>
      <c r="P165" s="238">
        <f t="shared" si="22"/>
        <v>11122634.000000004</v>
      </c>
      <c r="R165" s="245">
        <f>S165/1000*2</f>
        <v>142.31766404666556</v>
      </c>
      <c r="S165">
        <f>T165*0.001/1000000*6.022E+23</f>
        <v>71158.832023332783</v>
      </c>
      <c r="T165">
        <f>10^U165</f>
        <v>1.1816478250304344E-10</v>
      </c>
      <c r="U165">
        <v>-9.9275119400670508</v>
      </c>
      <c r="W165" s="165">
        <f xml:space="preserve"> 100 + (-0.0000002043069 - 100)/(1 + (U165/-9.857024)^-193.3437)^13.32201</f>
        <v>94.999993953412641</v>
      </c>
    </row>
    <row r="166" spans="11:25" x14ac:dyDescent="0.25">
      <c r="K166" s="233" t="s">
        <v>1102</v>
      </c>
      <c r="L166" s="234">
        <f t="shared" si="20"/>
        <v>9.2350000000000003E-7</v>
      </c>
      <c r="M166" s="234">
        <f t="shared" si="23"/>
        <v>3.0499999999999999E-2</v>
      </c>
      <c r="N166" s="242">
        <f t="shared" si="24"/>
        <v>627418093.12668872</v>
      </c>
      <c r="O166" s="242">
        <f t="shared" si="21"/>
        <v>556131700.00000024</v>
      </c>
      <c r="P166" s="235">
        <f t="shared" si="22"/>
        <v>1112263.4000000004</v>
      </c>
    </row>
    <row r="167" spans="11:25" x14ac:dyDescent="0.25">
      <c r="K167" s="236" t="s">
        <v>1103</v>
      </c>
      <c r="L167" s="237">
        <f t="shared" si="20"/>
        <v>9.2350000000000003E-8</v>
      </c>
      <c r="M167" s="237">
        <f t="shared" si="23"/>
        <v>3.0499999999999998E-3</v>
      </c>
      <c r="N167" s="243">
        <f t="shared" si="24"/>
        <v>62741809.312668875</v>
      </c>
      <c r="O167" s="243">
        <f t="shared" si="21"/>
        <v>55613170.000000022</v>
      </c>
      <c r="P167" s="238">
        <f t="shared" si="22"/>
        <v>111226.34000000004</v>
      </c>
    </row>
    <row r="168" spans="11:25" x14ac:dyDescent="0.25">
      <c r="K168" s="233" t="s">
        <v>1104</v>
      </c>
      <c r="L168" s="234">
        <f t="shared" si="20"/>
        <v>9.2349999999999996E-9</v>
      </c>
      <c r="M168" s="234">
        <f t="shared" si="23"/>
        <v>3.0499999999999999E-4</v>
      </c>
      <c r="N168" s="242">
        <f t="shared" si="24"/>
        <v>6274180.9312668871</v>
      </c>
      <c r="O168" s="242">
        <f t="shared" si="21"/>
        <v>5561317.0000000019</v>
      </c>
      <c r="P168" s="235">
        <f t="shared" si="22"/>
        <v>11122.634000000004</v>
      </c>
    </row>
    <row r="169" spans="11:25" x14ac:dyDescent="0.25">
      <c r="K169" s="236" t="s">
        <v>1105</v>
      </c>
      <c r="L169" s="237">
        <f t="shared" si="20"/>
        <v>9.2349999999999996E-10</v>
      </c>
      <c r="M169" s="237">
        <f t="shared" si="23"/>
        <v>3.0499999999999996E-5</v>
      </c>
      <c r="N169" s="243">
        <f t="shared" si="24"/>
        <v>627418.09312668873</v>
      </c>
      <c r="O169" s="243">
        <f t="shared" si="21"/>
        <v>556131.70000000019</v>
      </c>
      <c r="P169" s="238">
        <f t="shared" si="22"/>
        <v>1112.2634000000003</v>
      </c>
    </row>
    <row r="170" spans="11:25" x14ac:dyDescent="0.25">
      <c r="K170" s="233" t="s">
        <v>1106</v>
      </c>
      <c r="L170" s="234">
        <f t="shared" si="20"/>
        <v>9.2349999999999996E-11</v>
      </c>
      <c r="M170" s="234">
        <f t="shared" si="23"/>
        <v>3.05E-6</v>
      </c>
      <c r="N170" s="242">
        <f t="shared" si="24"/>
        <v>62741.809312668876</v>
      </c>
      <c r="O170" s="242">
        <f t="shared" si="21"/>
        <v>55613.17000000002</v>
      </c>
      <c r="P170" s="235">
        <f t="shared" si="22"/>
        <v>111.22634000000004</v>
      </c>
      <c r="Y170" s="165" t="s">
        <v>1221</v>
      </c>
    </row>
    <row r="171" spans="11:25" x14ac:dyDescent="0.25">
      <c r="K171" s="236" t="s">
        <v>1107</v>
      </c>
      <c r="L171" s="237">
        <f t="shared" si="20"/>
        <v>9.2349999999999993E-12</v>
      </c>
      <c r="M171" s="237">
        <f t="shared" si="23"/>
        <v>3.0499999999999994E-7</v>
      </c>
      <c r="N171" s="243">
        <f t="shared" si="24"/>
        <v>6274.1809312668875</v>
      </c>
      <c r="O171" s="243">
        <f t="shared" si="21"/>
        <v>5561.3170000000018</v>
      </c>
      <c r="P171" s="238">
        <f t="shared" si="22"/>
        <v>11.122634000000003</v>
      </c>
      <c r="R171" t="s">
        <v>1135</v>
      </c>
      <c r="S171" t="s">
        <v>1136</v>
      </c>
    </row>
    <row r="172" spans="11:25" x14ac:dyDescent="0.25">
      <c r="K172" s="233" t="s">
        <v>1108</v>
      </c>
      <c r="L172" s="234">
        <f t="shared" si="20"/>
        <v>9.2349999999999985E-13</v>
      </c>
      <c r="M172" s="234">
        <f t="shared" si="23"/>
        <v>3.0500000000000002E-8</v>
      </c>
      <c r="N172" s="242">
        <f t="shared" si="24"/>
        <v>627.41809312668875</v>
      </c>
      <c r="O172" s="242">
        <f t="shared" si="21"/>
        <v>556.13170000000014</v>
      </c>
      <c r="P172" s="235">
        <f t="shared" si="22"/>
        <v>1.1122634000000002</v>
      </c>
      <c r="R172">
        <f t="array" ref="R172:S172">LINEST(P170:P175,L170:L175)</f>
        <v>1204400000000.0007</v>
      </c>
      <c r="S172">
        <v>0</v>
      </c>
    </row>
    <row r="173" spans="11:25" x14ac:dyDescent="0.25">
      <c r="K173" s="236" t="s">
        <v>1109</v>
      </c>
      <c r="L173" s="237">
        <f t="shared" si="20"/>
        <v>9.234999999999998E-14</v>
      </c>
      <c r="M173" s="237">
        <f t="shared" si="23"/>
        <v>3.0499999999999992E-9</v>
      </c>
      <c r="N173" s="243">
        <f t="shared" si="24"/>
        <v>62.741809312668877</v>
      </c>
      <c r="O173" s="243">
        <f t="shared" si="21"/>
        <v>55.613170000000011</v>
      </c>
      <c r="P173" s="238">
        <f t="shared" si="22"/>
        <v>0.11122634000000002</v>
      </c>
      <c r="R173" t="s">
        <v>1224</v>
      </c>
    </row>
    <row r="174" spans="11:25" x14ac:dyDescent="0.25">
      <c r="K174" s="233" t="s">
        <v>1110</v>
      </c>
      <c r="L174" s="234">
        <f t="shared" si="20"/>
        <v>9.234999999999998E-15</v>
      </c>
      <c r="M174" s="234">
        <f t="shared" si="23"/>
        <v>3.0500000000000003E-10</v>
      </c>
      <c r="N174" s="242">
        <f t="shared" si="24"/>
        <v>6.2741809312668879</v>
      </c>
      <c r="O174" s="242">
        <f t="shared" si="21"/>
        <v>5.5613170000000007</v>
      </c>
      <c r="P174" s="235">
        <f t="shared" si="22"/>
        <v>1.1122634000000001E-2</v>
      </c>
      <c r="R174" s="245">
        <f>T165*R172+S172</f>
        <v>142.31766404666561</v>
      </c>
    </row>
    <row r="175" spans="11:25" x14ac:dyDescent="0.25">
      <c r="K175" s="236" t="s">
        <v>1111</v>
      </c>
      <c r="L175" s="237">
        <f t="shared" si="20"/>
        <v>9.2349999999999972E-16</v>
      </c>
      <c r="M175" s="237">
        <f t="shared" si="23"/>
        <v>3.0499999999999992E-11</v>
      </c>
      <c r="N175" s="243">
        <f t="shared" si="24"/>
        <v>0.62741809312668884</v>
      </c>
      <c r="O175" s="243">
        <f t="shared" si="21"/>
        <v>0.55613170000000012</v>
      </c>
      <c r="P175" s="238">
        <f t="shared" si="22"/>
        <v>1.1122634000000002E-3</v>
      </c>
    </row>
    <row r="176" spans="11:25" x14ac:dyDescent="0.25">
      <c r="K176" s="233" t="s">
        <v>1112</v>
      </c>
      <c r="L176" s="234">
        <f t="shared" si="20"/>
        <v>9.2349999999999975E-17</v>
      </c>
      <c r="M176" s="234">
        <f t="shared" si="23"/>
        <v>3.0500000000000001E-12</v>
      </c>
      <c r="N176" s="242">
        <f t="shared" si="24"/>
        <v>6.2741809312668886E-2</v>
      </c>
      <c r="O176" s="242">
        <f t="shared" si="21"/>
        <v>5.561317000000001E-2</v>
      </c>
      <c r="P176" s="235">
        <f t="shared" si="22"/>
        <v>1.1122634000000002E-4</v>
      </c>
    </row>
  </sheetData>
  <mergeCells count="3">
    <mergeCell ref="D7:F7"/>
    <mergeCell ref="E8:G8"/>
    <mergeCell ref="F23:G23"/>
  </mergeCell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C514-5D13-41F9-B86A-A18667454153}">
  <sheetPr codeName="Sheet30">
    <outlinePr summaryBelow="0" summaryRight="0"/>
    <pageSetUpPr autoPageBreaks="0" fitToPage="1"/>
  </sheetPr>
  <dimension ref="A1:AM65"/>
  <sheetViews>
    <sheetView topLeftCell="I1" zoomScale="85" zoomScaleNormal="85" workbookViewId="0">
      <selection activeCell="AK4" sqref="AK4"/>
    </sheetView>
  </sheetViews>
  <sheetFormatPr defaultRowHeight="12.75" x14ac:dyDescent="0.2"/>
  <cols>
    <col min="1" max="30" width="9.140625" style="107"/>
    <col min="31" max="31" width="12" style="107" bestFit="1" customWidth="1"/>
    <col min="32" max="32" width="11.7109375" style="107" bestFit="1" customWidth="1"/>
    <col min="33" max="33" width="12.85546875" style="107" bestFit="1" customWidth="1"/>
    <col min="34" max="286" width="9.140625" style="107"/>
    <col min="287" max="287" width="12" style="107" bestFit="1" customWidth="1"/>
    <col min="288" max="288" width="11.7109375" style="107" bestFit="1" customWidth="1"/>
    <col min="289" max="289" width="12.85546875" style="107" bestFit="1" customWidth="1"/>
    <col min="290" max="542" width="9.140625" style="107"/>
    <col min="543" max="543" width="12" style="107" bestFit="1" customWidth="1"/>
    <col min="544" max="544" width="11.7109375" style="107" bestFit="1" customWidth="1"/>
    <col min="545" max="545" width="12.85546875" style="107" bestFit="1" customWidth="1"/>
    <col min="546" max="798" width="9.140625" style="107"/>
    <col min="799" max="799" width="12" style="107" bestFit="1" customWidth="1"/>
    <col min="800" max="800" width="11.7109375" style="107" bestFit="1" customWidth="1"/>
    <col min="801" max="801" width="12.85546875" style="107" bestFit="1" customWidth="1"/>
    <col min="802" max="1054" width="9.140625" style="107"/>
    <col min="1055" max="1055" width="12" style="107" bestFit="1" customWidth="1"/>
    <col min="1056" max="1056" width="11.7109375" style="107" bestFit="1" customWidth="1"/>
    <col min="1057" max="1057" width="12.85546875" style="107" bestFit="1" customWidth="1"/>
    <col min="1058" max="1310" width="9.140625" style="107"/>
    <col min="1311" max="1311" width="12" style="107" bestFit="1" customWidth="1"/>
    <col min="1312" max="1312" width="11.7109375" style="107" bestFit="1" customWidth="1"/>
    <col min="1313" max="1313" width="12.85546875" style="107" bestFit="1" customWidth="1"/>
    <col min="1314" max="1566" width="9.140625" style="107"/>
    <col min="1567" max="1567" width="12" style="107" bestFit="1" customWidth="1"/>
    <col min="1568" max="1568" width="11.7109375" style="107" bestFit="1" customWidth="1"/>
    <col min="1569" max="1569" width="12.85546875" style="107" bestFit="1" customWidth="1"/>
    <col min="1570" max="1822" width="9.140625" style="107"/>
    <col min="1823" max="1823" width="12" style="107" bestFit="1" customWidth="1"/>
    <col min="1824" max="1824" width="11.7109375" style="107" bestFit="1" customWidth="1"/>
    <col min="1825" max="1825" width="12.85546875" style="107" bestFit="1" customWidth="1"/>
    <col min="1826" max="2078" width="9.140625" style="107"/>
    <col min="2079" max="2079" width="12" style="107" bestFit="1" customWidth="1"/>
    <col min="2080" max="2080" width="11.7109375" style="107" bestFit="1" customWidth="1"/>
    <col min="2081" max="2081" width="12.85546875" style="107" bestFit="1" customWidth="1"/>
    <col min="2082" max="2334" width="9.140625" style="107"/>
    <col min="2335" max="2335" width="12" style="107" bestFit="1" customWidth="1"/>
    <col min="2336" max="2336" width="11.7109375" style="107" bestFit="1" customWidth="1"/>
    <col min="2337" max="2337" width="12.85546875" style="107" bestFit="1" customWidth="1"/>
    <col min="2338" max="2590" width="9.140625" style="107"/>
    <col min="2591" max="2591" width="12" style="107" bestFit="1" customWidth="1"/>
    <col min="2592" max="2592" width="11.7109375" style="107" bestFit="1" customWidth="1"/>
    <col min="2593" max="2593" width="12.85546875" style="107" bestFit="1" customWidth="1"/>
    <col min="2594" max="2846" width="9.140625" style="107"/>
    <col min="2847" max="2847" width="12" style="107" bestFit="1" customWidth="1"/>
    <col min="2848" max="2848" width="11.7109375" style="107" bestFit="1" customWidth="1"/>
    <col min="2849" max="2849" width="12.85546875" style="107" bestFit="1" customWidth="1"/>
    <col min="2850" max="3102" width="9.140625" style="107"/>
    <col min="3103" max="3103" width="12" style="107" bestFit="1" customWidth="1"/>
    <col min="3104" max="3104" width="11.7109375" style="107" bestFit="1" customWidth="1"/>
    <col min="3105" max="3105" width="12.85546875" style="107" bestFit="1" customWidth="1"/>
    <col min="3106" max="3358" width="9.140625" style="107"/>
    <col min="3359" max="3359" width="12" style="107" bestFit="1" customWidth="1"/>
    <col min="3360" max="3360" width="11.7109375" style="107" bestFit="1" customWidth="1"/>
    <col min="3361" max="3361" width="12.85546875" style="107" bestFit="1" customWidth="1"/>
    <col min="3362" max="3614" width="9.140625" style="107"/>
    <col min="3615" max="3615" width="12" style="107" bestFit="1" customWidth="1"/>
    <col min="3616" max="3616" width="11.7109375" style="107" bestFit="1" customWidth="1"/>
    <col min="3617" max="3617" width="12.85546875" style="107" bestFit="1" customWidth="1"/>
    <col min="3618" max="3870" width="9.140625" style="107"/>
    <col min="3871" max="3871" width="12" style="107" bestFit="1" customWidth="1"/>
    <col min="3872" max="3872" width="11.7109375" style="107" bestFit="1" customWidth="1"/>
    <col min="3873" max="3873" width="12.85546875" style="107" bestFit="1" customWidth="1"/>
    <col min="3874" max="4126" width="9.140625" style="107"/>
    <col min="4127" max="4127" width="12" style="107" bestFit="1" customWidth="1"/>
    <col min="4128" max="4128" width="11.7109375" style="107" bestFit="1" customWidth="1"/>
    <col min="4129" max="4129" width="12.85546875" style="107" bestFit="1" customWidth="1"/>
    <col min="4130" max="4382" width="9.140625" style="107"/>
    <col min="4383" max="4383" width="12" style="107" bestFit="1" customWidth="1"/>
    <col min="4384" max="4384" width="11.7109375" style="107" bestFit="1" customWidth="1"/>
    <col min="4385" max="4385" width="12.85546875" style="107" bestFit="1" customWidth="1"/>
    <col min="4386" max="4638" width="9.140625" style="107"/>
    <col min="4639" max="4639" width="12" style="107" bestFit="1" customWidth="1"/>
    <col min="4640" max="4640" width="11.7109375" style="107" bestFit="1" customWidth="1"/>
    <col min="4641" max="4641" width="12.85546875" style="107" bestFit="1" customWidth="1"/>
    <col min="4642" max="4894" width="9.140625" style="107"/>
    <col min="4895" max="4895" width="12" style="107" bestFit="1" customWidth="1"/>
    <col min="4896" max="4896" width="11.7109375" style="107" bestFit="1" customWidth="1"/>
    <col min="4897" max="4897" width="12.85546875" style="107" bestFit="1" customWidth="1"/>
    <col min="4898" max="5150" width="9.140625" style="107"/>
    <col min="5151" max="5151" width="12" style="107" bestFit="1" customWidth="1"/>
    <col min="5152" max="5152" width="11.7109375" style="107" bestFit="1" customWidth="1"/>
    <col min="5153" max="5153" width="12.85546875" style="107" bestFit="1" customWidth="1"/>
    <col min="5154" max="5406" width="9.140625" style="107"/>
    <col min="5407" max="5407" width="12" style="107" bestFit="1" customWidth="1"/>
    <col min="5408" max="5408" width="11.7109375" style="107" bestFit="1" customWidth="1"/>
    <col min="5409" max="5409" width="12.85546875" style="107" bestFit="1" customWidth="1"/>
    <col min="5410" max="5662" width="9.140625" style="107"/>
    <col min="5663" max="5663" width="12" style="107" bestFit="1" customWidth="1"/>
    <col min="5664" max="5664" width="11.7109375" style="107" bestFit="1" customWidth="1"/>
    <col min="5665" max="5665" width="12.85546875" style="107" bestFit="1" customWidth="1"/>
    <col min="5666" max="5918" width="9.140625" style="107"/>
    <col min="5919" max="5919" width="12" style="107" bestFit="1" customWidth="1"/>
    <col min="5920" max="5920" width="11.7109375" style="107" bestFit="1" customWidth="1"/>
    <col min="5921" max="5921" width="12.85546875" style="107" bestFit="1" customWidth="1"/>
    <col min="5922" max="6174" width="9.140625" style="107"/>
    <col min="6175" max="6175" width="12" style="107" bestFit="1" customWidth="1"/>
    <col min="6176" max="6176" width="11.7109375" style="107" bestFit="1" customWidth="1"/>
    <col min="6177" max="6177" width="12.85546875" style="107" bestFit="1" customWidth="1"/>
    <col min="6178" max="6430" width="9.140625" style="107"/>
    <col min="6431" max="6431" width="12" style="107" bestFit="1" customWidth="1"/>
    <col min="6432" max="6432" width="11.7109375" style="107" bestFit="1" customWidth="1"/>
    <col min="6433" max="6433" width="12.85546875" style="107" bestFit="1" customWidth="1"/>
    <col min="6434" max="6686" width="9.140625" style="107"/>
    <col min="6687" max="6687" width="12" style="107" bestFit="1" customWidth="1"/>
    <col min="6688" max="6688" width="11.7109375" style="107" bestFit="1" customWidth="1"/>
    <col min="6689" max="6689" width="12.85546875" style="107" bestFit="1" customWidth="1"/>
    <col min="6690" max="6942" width="9.140625" style="107"/>
    <col min="6943" max="6943" width="12" style="107" bestFit="1" customWidth="1"/>
    <col min="6944" max="6944" width="11.7109375" style="107" bestFit="1" customWidth="1"/>
    <col min="6945" max="6945" width="12.85546875" style="107" bestFit="1" customWidth="1"/>
    <col min="6946" max="7198" width="9.140625" style="107"/>
    <col min="7199" max="7199" width="12" style="107" bestFit="1" customWidth="1"/>
    <col min="7200" max="7200" width="11.7109375" style="107" bestFit="1" customWidth="1"/>
    <col min="7201" max="7201" width="12.85546875" style="107" bestFit="1" customWidth="1"/>
    <col min="7202" max="7454" width="9.140625" style="107"/>
    <col min="7455" max="7455" width="12" style="107" bestFit="1" customWidth="1"/>
    <col min="7456" max="7456" width="11.7109375" style="107" bestFit="1" customWidth="1"/>
    <col min="7457" max="7457" width="12.85546875" style="107" bestFit="1" customWidth="1"/>
    <col min="7458" max="7710" width="9.140625" style="107"/>
    <col min="7711" max="7711" width="12" style="107" bestFit="1" customWidth="1"/>
    <col min="7712" max="7712" width="11.7109375" style="107" bestFit="1" customWidth="1"/>
    <col min="7713" max="7713" width="12.85546875" style="107" bestFit="1" customWidth="1"/>
    <col min="7714" max="7966" width="9.140625" style="107"/>
    <col min="7967" max="7967" width="12" style="107" bestFit="1" customWidth="1"/>
    <col min="7968" max="7968" width="11.7109375" style="107" bestFit="1" customWidth="1"/>
    <col min="7969" max="7969" width="12.85546875" style="107" bestFit="1" customWidth="1"/>
    <col min="7970" max="8222" width="9.140625" style="107"/>
    <col min="8223" max="8223" width="12" style="107" bestFit="1" customWidth="1"/>
    <col min="8224" max="8224" width="11.7109375" style="107" bestFit="1" customWidth="1"/>
    <col min="8225" max="8225" width="12.85546875" style="107" bestFit="1" customWidth="1"/>
    <col min="8226" max="8478" width="9.140625" style="107"/>
    <col min="8479" max="8479" width="12" style="107" bestFit="1" customWidth="1"/>
    <col min="8480" max="8480" width="11.7109375" style="107" bestFit="1" customWidth="1"/>
    <col min="8481" max="8481" width="12.85546875" style="107" bestFit="1" customWidth="1"/>
    <col min="8482" max="8734" width="9.140625" style="107"/>
    <col min="8735" max="8735" width="12" style="107" bestFit="1" customWidth="1"/>
    <col min="8736" max="8736" width="11.7109375" style="107" bestFit="1" customWidth="1"/>
    <col min="8737" max="8737" width="12.85546875" style="107" bestFit="1" customWidth="1"/>
    <col min="8738" max="8990" width="9.140625" style="107"/>
    <col min="8991" max="8991" width="12" style="107" bestFit="1" customWidth="1"/>
    <col min="8992" max="8992" width="11.7109375" style="107" bestFit="1" customWidth="1"/>
    <col min="8993" max="8993" width="12.85546875" style="107" bestFit="1" customWidth="1"/>
    <col min="8994" max="9246" width="9.140625" style="107"/>
    <col min="9247" max="9247" width="12" style="107" bestFit="1" customWidth="1"/>
    <col min="9248" max="9248" width="11.7109375" style="107" bestFit="1" customWidth="1"/>
    <col min="9249" max="9249" width="12.85546875" style="107" bestFit="1" customWidth="1"/>
    <col min="9250" max="9502" width="9.140625" style="107"/>
    <col min="9503" max="9503" width="12" style="107" bestFit="1" customWidth="1"/>
    <col min="9504" max="9504" width="11.7109375" style="107" bestFit="1" customWidth="1"/>
    <col min="9505" max="9505" width="12.85546875" style="107" bestFit="1" customWidth="1"/>
    <col min="9506" max="9758" width="9.140625" style="107"/>
    <col min="9759" max="9759" width="12" style="107" bestFit="1" customWidth="1"/>
    <col min="9760" max="9760" width="11.7109375" style="107" bestFit="1" customWidth="1"/>
    <col min="9761" max="9761" width="12.85546875" style="107" bestFit="1" customWidth="1"/>
    <col min="9762" max="10014" width="9.140625" style="107"/>
    <col min="10015" max="10015" width="12" style="107" bestFit="1" customWidth="1"/>
    <col min="10016" max="10016" width="11.7109375" style="107" bestFit="1" customWidth="1"/>
    <col min="10017" max="10017" width="12.85546875" style="107" bestFit="1" customWidth="1"/>
    <col min="10018" max="10270" width="9.140625" style="107"/>
    <col min="10271" max="10271" width="12" style="107" bestFit="1" customWidth="1"/>
    <col min="10272" max="10272" width="11.7109375" style="107" bestFit="1" customWidth="1"/>
    <col min="10273" max="10273" width="12.85546875" style="107" bestFit="1" customWidth="1"/>
    <col min="10274" max="10526" width="9.140625" style="107"/>
    <col min="10527" max="10527" width="12" style="107" bestFit="1" customWidth="1"/>
    <col min="10528" max="10528" width="11.7109375" style="107" bestFit="1" customWidth="1"/>
    <col min="10529" max="10529" width="12.85546875" style="107" bestFit="1" customWidth="1"/>
    <col min="10530" max="10782" width="9.140625" style="107"/>
    <col min="10783" max="10783" width="12" style="107" bestFit="1" customWidth="1"/>
    <col min="10784" max="10784" width="11.7109375" style="107" bestFit="1" customWidth="1"/>
    <col min="10785" max="10785" width="12.85546875" style="107" bestFit="1" customWidth="1"/>
    <col min="10786" max="11038" width="9.140625" style="107"/>
    <col min="11039" max="11039" width="12" style="107" bestFit="1" customWidth="1"/>
    <col min="11040" max="11040" width="11.7109375" style="107" bestFit="1" customWidth="1"/>
    <col min="11041" max="11041" width="12.85546875" style="107" bestFit="1" customWidth="1"/>
    <col min="11042" max="11294" width="9.140625" style="107"/>
    <col min="11295" max="11295" width="12" style="107" bestFit="1" customWidth="1"/>
    <col min="11296" max="11296" width="11.7109375" style="107" bestFit="1" customWidth="1"/>
    <col min="11297" max="11297" width="12.85546875" style="107" bestFit="1" customWidth="1"/>
    <col min="11298" max="11550" width="9.140625" style="107"/>
    <col min="11551" max="11551" width="12" style="107" bestFit="1" customWidth="1"/>
    <col min="11552" max="11552" width="11.7109375" style="107" bestFit="1" customWidth="1"/>
    <col min="11553" max="11553" width="12.85546875" style="107" bestFit="1" customWidth="1"/>
    <col min="11554" max="11806" width="9.140625" style="107"/>
    <col min="11807" max="11807" width="12" style="107" bestFit="1" customWidth="1"/>
    <col min="11808" max="11808" width="11.7109375" style="107" bestFit="1" customWidth="1"/>
    <col min="11809" max="11809" width="12.85546875" style="107" bestFit="1" customWidth="1"/>
    <col min="11810" max="12062" width="9.140625" style="107"/>
    <col min="12063" max="12063" width="12" style="107" bestFit="1" customWidth="1"/>
    <col min="12064" max="12064" width="11.7109375" style="107" bestFit="1" customWidth="1"/>
    <col min="12065" max="12065" width="12.85546875" style="107" bestFit="1" customWidth="1"/>
    <col min="12066" max="12318" width="9.140625" style="107"/>
    <col min="12319" max="12319" width="12" style="107" bestFit="1" customWidth="1"/>
    <col min="12320" max="12320" width="11.7109375" style="107" bestFit="1" customWidth="1"/>
    <col min="12321" max="12321" width="12.85546875" style="107" bestFit="1" customWidth="1"/>
    <col min="12322" max="12574" width="9.140625" style="107"/>
    <col min="12575" max="12575" width="12" style="107" bestFit="1" customWidth="1"/>
    <col min="12576" max="12576" width="11.7109375" style="107" bestFit="1" customWidth="1"/>
    <col min="12577" max="12577" width="12.85546875" style="107" bestFit="1" customWidth="1"/>
    <col min="12578" max="12830" width="9.140625" style="107"/>
    <col min="12831" max="12831" width="12" style="107" bestFit="1" customWidth="1"/>
    <col min="12832" max="12832" width="11.7109375" style="107" bestFit="1" customWidth="1"/>
    <col min="12833" max="12833" width="12.85546875" style="107" bestFit="1" customWidth="1"/>
    <col min="12834" max="13086" width="9.140625" style="107"/>
    <col min="13087" max="13087" width="12" style="107" bestFit="1" customWidth="1"/>
    <col min="13088" max="13088" width="11.7109375" style="107" bestFit="1" customWidth="1"/>
    <col min="13089" max="13089" width="12.85546875" style="107" bestFit="1" customWidth="1"/>
    <col min="13090" max="13342" width="9.140625" style="107"/>
    <col min="13343" max="13343" width="12" style="107" bestFit="1" customWidth="1"/>
    <col min="13344" max="13344" width="11.7109375" style="107" bestFit="1" customWidth="1"/>
    <col min="13345" max="13345" width="12.85546875" style="107" bestFit="1" customWidth="1"/>
    <col min="13346" max="13598" width="9.140625" style="107"/>
    <col min="13599" max="13599" width="12" style="107" bestFit="1" customWidth="1"/>
    <col min="13600" max="13600" width="11.7109375" style="107" bestFit="1" customWidth="1"/>
    <col min="13601" max="13601" width="12.85546875" style="107" bestFit="1" customWidth="1"/>
    <col min="13602" max="13854" width="9.140625" style="107"/>
    <col min="13855" max="13855" width="12" style="107" bestFit="1" customWidth="1"/>
    <col min="13856" max="13856" width="11.7109375" style="107" bestFit="1" customWidth="1"/>
    <col min="13857" max="13857" width="12.85546875" style="107" bestFit="1" customWidth="1"/>
    <col min="13858" max="14110" width="9.140625" style="107"/>
    <col min="14111" max="14111" width="12" style="107" bestFit="1" customWidth="1"/>
    <col min="14112" max="14112" width="11.7109375" style="107" bestFit="1" customWidth="1"/>
    <col min="14113" max="14113" width="12.85546875" style="107" bestFit="1" customWidth="1"/>
    <col min="14114" max="14366" width="9.140625" style="107"/>
    <col min="14367" max="14367" width="12" style="107" bestFit="1" customWidth="1"/>
    <col min="14368" max="14368" width="11.7109375" style="107" bestFit="1" customWidth="1"/>
    <col min="14369" max="14369" width="12.85546875" style="107" bestFit="1" customWidth="1"/>
    <col min="14370" max="14622" width="9.140625" style="107"/>
    <col min="14623" max="14623" width="12" style="107" bestFit="1" customWidth="1"/>
    <col min="14624" max="14624" width="11.7109375" style="107" bestFit="1" customWidth="1"/>
    <col min="14625" max="14625" width="12.85546875" style="107" bestFit="1" customWidth="1"/>
    <col min="14626" max="14878" width="9.140625" style="107"/>
    <col min="14879" max="14879" width="12" style="107" bestFit="1" customWidth="1"/>
    <col min="14880" max="14880" width="11.7109375" style="107" bestFit="1" customWidth="1"/>
    <col min="14881" max="14881" width="12.85546875" style="107" bestFit="1" customWidth="1"/>
    <col min="14882" max="15134" width="9.140625" style="107"/>
    <col min="15135" max="15135" width="12" style="107" bestFit="1" customWidth="1"/>
    <col min="15136" max="15136" width="11.7109375" style="107" bestFit="1" customWidth="1"/>
    <col min="15137" max="15137" width="12.85546875" style="107" bestFit="1" customWidth="1"/>
    <col min="15138" max="15390" width="9.140625" style="107"/>
    <col min="15391" max="15391" width="12" style="107" bestFit="1" customWidth="1"/>
    <col min="15392" max="15392" width="11.7109375" style="107" bestFit="1" customWidth="1"/>
    <col min="15393" max="15393" width="12.85546875" style="107" bestFit="1" customWidth="1"/>
    <col min="15394" max="15646" width="9.140625" style="107"/>
    <col min="15647" max="15647" width="12" style="107" bestFit="1" customWidth="1"/>
    <col min="15648" max="15648" width="11.7109375" style="107" bestFit="1" customWidth="1"/>
    <col min="15649" max="15649" width="12.85546875" style="107" bestFit="1" customWidth="1"/>
    <col min="15650" max="15902" width="9.140625" style="107"/>
    <col min="15903" max="15903" width="12" style="107" bestFit="1" customWidth="1"/>
    <col min="15904" max="15904" width="11.7109375" style="107" bestFit="1" customWidth="1"/>
    <col min="15905" max="15905" width="12.85546875" style="107" bestFit="1" customWidth="1"/>
    <col min="15906" max="16158" width="9.140625" style="107"/>
    <col min="16159" max="16159" width="12" style="107" bestFit="1" customWidth="1"/>
    <col min="16160" max="16160" width="11.7109375" style="107" bestFit="1" customWidth="1"/>
    <col min="16161" max="16161" width="12.85546875" style="107" bestFit="1" customWidth="1"/>
    <col min="16162" max="16384" width="9.140625" style="107"/>
  </cols>
  <sheetData>
    <row r="1" spans="1:39" x14ac:dyDescent="0.2">
      <c r="A1" s="107" t="s">
        <v>198</v>
      </c>
      <c r="B1" s="107" t="s">
        <v>199</v>
      </c>
      <c r="C1" s="107" t="s">
        <v>200</v>
      </c>
      <c r="D1" s="107" t="s">
        <v>201</v>
      </c>
      <c r="E1" s="107" t="s">
        <v>202</v>
      </c>
      <c r="F1" s="107" t="s">
        <v>1129</v>
      </c>
      <c r="G1" s="107" t="s">
        <v>1130</v>
      </c>
      <c r="H1" s="107" t="s">
        <v>1131</v>
      </c>
      <c r="I1" s="107" t="s">
        <v>1132</v>
      </c>
      <c r="J1" s="107" t="s">
        <v>1133</v>
      </c>
      <c r="K1" s="107" t="s">
        <v>1134</v>
      </c>
      <c r="M1" s="107" t="s">
        <v>198</v>
      </c>
      <c r="N1" s="107" t="s">
        <v>199</v>
      </c>
      <c r="O1" s="107" t="s">
        <v>200</v>
      </c>
      <c r="P1" s="107" t="s">
        <v>201</v>
      </c>
      <c r="Q1" s="107" t="s">
        <v>202</v>
      </c>
      <c r="S1" s="107" t="s">
        <v>198</v>
      </c>
      <c r="T1" s="107" t="s">
        <v>199</v>
      </c>
      <c r="U1" s="107" t="s">
        <v>200</v>
      </c>
      <c r="V1" s="107" t="s">
        <v>201</v>
      </c>
      <c r="W1" s="107" t="s">
        <v>202</v>
      </c>
    </row>
    <row r="2" spans="1:39" x14ac:dyDescent="0.2">
      <c r="A2" s="107" t="s">
        <v>250</v>
      </c>
      <c r="B2" s="107" t="s">
        <v>981</v>
      </c>
      <c r="C2" s="107" t="s">
        <v>206</v>
      </c>
      <c r="D2" s="107" t="s">
        <v>809</v>
      </c>
      <c r="E2" s="107" t="s">
        <v>220</v>
      </c>
      <c r="F2" s="107" t="s">
        <v>220</v>
      </c>
      <c r="G2" s="107" t="s">
        <v>220</v>
      </c>
      <c r="H2" s="107" t="s">
        <v>220</v>
      </c>
      <c r="I2" s="107" t="s">
        <v>220</v>
      </c>
      <c r="J2" s="107" t="s">
        <v>220</v>
      </c>
      <c r="K2" s="107" t="s">
        <v>220</v>
      </c>
      <c r="M2" s="107" t="s">
        <v>250</v>
      </c>
      <c r="N2" s="107" t="s">
        <v>981</v>
      </c>
      <c r="O2" s="107" t="s">
        <v>206</v>
      </c>
      <c r="P2" s="107" t="s">
        <v>809</v>
      </c>
      <c r="Q2" s="107" t="s">
        <v>220</v>
      </c>
      <c r="S2" s="107" t="s">
        <v>250</v>
      </c>
      <c r="T2" s="107" t="s">
        <v>1080</v>
      </c>
      <c r="U2" s="107" t="s">
        <v>206</v>
      </c>
      <c r="V2" s="107" t="s">
        <v>210</v>
      </c>
      <c r="W2" s="107" t="s">
        <v>220</v>
      </c>
      <c r="X2" s="107" t="s">
        <v>1140</v>
      </c>
    </row>
    <row r="3" spans="1:39" x14ac:dyDescent="0.2">
      <c r="A3" s="107" t="s">
        <v>250</v>
      </c>
      <c r="B3" s="107" t="s">
        <v>1080</v>
      </c>
      <c r="C3" s="107" t="s">
        <v>206</v>
      </c>
      <c r="D3" s="107" t="s">
        <v>210</v>
      </c>
      <c r="E3" s="107" t="s">
        <v>220</v>
      </c>
      <c r="F3" s="107" t="s">
        <v>220</v>
      </c>
      <c r="G3" s="107" t="s">
        <v>220</v>
      </c>
      <c r="H3" s="107" t="s">
        <v>220</v>
      </c>
      <c r="I3" s="107" t="s">
        <v>220</v>
      </c>
      <c r="J3" s="107" t="s">
        <v>220</v>
      </c>
      <c r="K3" s="107" t="s">
        <v>220</v>
      </c>
      <c r="M3" s="107" t="s">
        <v>251</v>
      </c>
      <c r="N3" s="107" t="s">
        <v>981</v>
      </c>
      <c r="O3" s="107" t="s">
        <v>206</v>
      </c>
      <c r="P3" s="107" t="s">
        <v>809</v>
      </c>
      <c r="Q3" s="107">
        <v>35.659999999999997</v>
      </c>
      <c r="S3" s="107" t="s">
        <v>251</v>
      </c>
      <c r="T3" s="107" t="s">
        <v>1080</v>
      </c>
      <c r="U3" s="107" t="s">
        <v>206</v>
      </c>
      <c r="V3" s="107" t="s">
        <v>210</v>
      </c>
      <c r="W3" s="107" t="s">
        <v>220</v>
      </c>
      <c r="X3" s="107" t="s">
        <v>1141</v>
      </c>
    </row>
    <row r="4" spans="1:39" ht="38.25" x14ac:dyDescent="0.2">
      <c r="A4" s="107" t="s">
        <v>251</v>
      </c>
      <c r="B4" s="107" t="s">
        <v>981</v>
      </c>
      <c r="C4" s="107" t="s">
        <v>206</v>
      </c>
      <c r="D4" s="107" t="s">
        <v>809</v>
      </c>
      <c r="E4" s="107">
        <v>35.659999999999997</v>
      </c>
      <c r="F4" s="107" t="s">
        <v>220</v>
      </c>
      <c r="G4" s="107" t="s">
        <v>220</v>
      </c>
      <c r="H4" s="107" t="s">
        <v>220</v>
      </c>
      <c r="I4" s="107" t="s">
        <v>220</v>
      </c>
      <c r="J4" s="107" t="s">
        <v>220</v>
      </c>
      <c r="K4" s="107" t="s">
        <v>220</v>
      </c>
      <c r="M4" s="107" t="s">
        <v>252</v>
      </c>
      <c r="N4" s="107" t="s">
        <v>981</v>
      </c>
      <c r="O4" s="107" t="s">
        <v>206</v>
      </c>
      <c r="P4" s="107" t="s">
        <v>809</v>
      </c>
      <c r="Q4" s="107">
        <v>36.450000000000003</v>
      </c>
      <c r="S4" s="107" t="s">
        <v>252</v>
      </c>
      <c r="T4" s="107" t="s">
        <v>1080</v>
      </c>
      <c r="U4" s="107" t="s">
        <v>206</v>
      </c>
      <c r="V4" s="107" t="s">
        <v>210</v>
      </c>
      <c r="W4" s="107" t="s">
        <v>220</v>
      </c>
      <c r="X4" s="107" t="s">
        <v>1142</v>
      </c>
      <c r="AA4" s="188" t="s">
        <v>20</v>
      </c>
      <c r="AB4" s="188" t="s">
        <v>21</v>
      </c>
      <c r="AC4" s="188" t="s">
        <v>1093</v>
      </c>
      <c r="AD4" s="188" t="s">
        <v>1094</v>
      </c>
      <c r="AE4" s="188" t="s">
        <v>1095</v>
      </c>
      <c r="AF4" s="188" t="s">
        <v>1096</v>
      </c>
      <c r="AG4" s="188" t="s">
        <v>1115</v>
      </c>
      <c r="AH4" s="107" t="s">
        <v>1145</v>
      </c>
      <c r="AI4" s="107" t="s">
        <v>1145</v>
      </c>
      <c r="AJ4" s="107" t="s">
        <v>1145</v>
      </c>
      <c r="AK4" s="107" t="s">
        <v>1146</v>
      </c>
      <c r="AL4" s="188" t="s">
        <v>1113</v>
      </c>
      <c r="AM4" s="188" t="s">
        <v>1114</v>
      </c>
    </row>
    <row r="5" spans="1:39" ht="15" x14ac:dyDescent="0.25">
      <c r="A5" s="107" t="s">
        <v>251</v>
      </c>
      <c r="B5" s="107" t="s">
        <v>1080</v>
      </c>
      <c r="C5" s="107" t="s">
        <v>206</v>
      </c>
      <c r="D5" s="107" t="s">
        <v>210</v>
      </c>
      <c r="E5" s="107" t="s">
        <v>220</v>
      </c>
      <c r="F5" s="107" t="s">
        <v>220</v>
      </c>
      <c r="G5" s="107" t="s">
        <v>220</v>
      </c>
      <c r="H5" s="107" t="s">
        <v>220</v>
      </c>
      <c r="I5" s="107" t="s">
        <v>220</v>
      </c>
      <c r="J5" s="107" t="s">
        <v>220</v>
      </c>
      <c r="K5" s="107" t="s">
        <v>220</v>
      </c>
      <c r="M5" s="107" t="s">
        <v>253</v>
      </c>
      <c r="N5" s="107" t="s">
        <v>981</v>
      </c>
      <c r="O5" s="107" t="s">
        <v>206</v>
      </c>
      <c r="P5" s="107" t="s">
        <v>809</v>
      </c>
      <c r="Q5" s="107">
        <v>35.97</v>
      </c>
      <c r="S5" s="107" t="s">
        <v>253</v>
      </c>
      <c r="T5" s="107" t="s">
        <v>1080</v>
      </c>
      <c r="U5" s="107" t="s">
        <v>206</v>
      </c>
      <c r="V5" s="107" t="s">
        <v>210</v>
      </c>
      <c r="W5" s="107" t="s">
        <v>220</v>
      </c>
      <c r="X5" s="107" t="s">
        <v>1143</v>
      </c>
      <c r="AA5" s="107" t="s">
        <v>1104</v>
      </c>
      <c r="AB5" s="107">
        <v>1.0000000000000002E-7</v>
      </c>
      <c r="AC5" s="107">
        <v>3.0499999999999999E-4</v>
      </c>
      <c r="AD5" s="107">
        <v>6274180.9312668871</v>
      </c>
      <c r="AE5" s="189">
        <v>6022000.0000000019</v>
      </c>
      <c r="AF5" s="189">
        <v>12044.000000000004</v>
      </c>
      <c r="AG5" s="107">
        <f t="shared" ref="AG5:AG6" si="0">LOG(AF5)</f>
        <v>4.0807707468407219</v>
      </c>
      <c r="AH5" s="107" t="s">
        <v>220</v>
      </c>
      <c r="AI5" s="107">
        <v>28.95</v>
      </c>
      <c r="AJ5" s="107">
        <v>29.92</v>
      </c>
      <c r="AK5" s="107">
        <v>28.04</v>
      </c>
      <c r="AL5" s="190">
        <v>0</v>
      </c>
      <c r="AM5" s="191">
        <f t="shared" ref="AM5:AM6" si="1">1-AL5</f>
        <v>1</v>
      </c>
    </row>
    <row r="6" spans="1:39" ht="15" x14ac:dyDescent="0.25">
      <c r="A6" s="107" t="s">
        <v>252</v>
      </c>
      <c r="B6" s="107" t="s">
        <v>981</v>
      </c>
      <c r="C6" s="107" t="s">
        <v>206</v>
      </c>
      <c r="D6" s="107" t="s">
        <v>809</v>
      </c>
      <c r="E6" s="107">
        <v>36.450000000000003</v>
      </c>
      <c r="F6" s="107" t="s">
        <v>220</v>
      </c>
      <c r="G6" s="107" t="s">
        <v>220</v>
      </c>
      <c r="H6" s="107" t="s">
        <v>220</v>
      </c>
      <c r="I6" s="107" t="s">
        <v>220</v>
      </c>
      <c r="J6" s="107" t="s">
        <v>220</v>
      </c>
      <c r="K6" s="107" t="s">
        <v>220</v>
      </c>
      <c r="M6" s="107" t="s">
        <v>254</v>
      </c>
      <c r="N6" s="107" t="s">
        <v>981</v>
      </c>
      <c r="O6" s="107" t="s">
        <v>206</v>
      </c>
      <c r="P6" s="107" t="s">
        <v>809</v>
      </c>
      <c r="Q6" s="107">
        <v>35.14</v>
      </c>
      <c r="S6" s="107" t="s">
        <v>254</v>
      </c>
      <c r="T6" s="107" t="s">
        <v>1080</v>
      </c>
      <c r="U6" s="107" t="s">
        <v>206</v>
      </c>
      <c r="V6" s="107" t="s">
        <v>210</v>
      </c>
      <c r="W6" s="107">
        <v>38.630000000000003</v>
      </c>
      <c r="X6" s="107" t="s">
        <v>1144</v>
      </c>
      <c r="AA6" s="107" t="s">
        <v>1105</v>
      </c>
      <c r="AB6" s="107">
        <v>1.0000000000000002E-8</v>
      </c>
      <c r="AC6" s="107">
        <v>3.0499999999999996E-5</v>
      </c>
      <c r="AD6" s="107">
        <v>627418.09312668873</v>
      </c>
      <c r="AE6" s="189">
        <v>602200.00000000023</v>
      </c>
      <c r="AF6" s="189">
        <v>1204.4000000000005</v>
      </c>
      <c r="AG6" s="107">
        <f t="shared" si="0"/>
        <v>3.0807707468407219</v>
      </c>
      <c r="AH6" s="107">
        <v>31.19</v>
      </c>
      <c r="AI6" s="107">
        <v>31.22</v>
      </c>
      <c r="AJ6" s="107">
        <v>30.78</v>
      </c>
      <c r="AK6" s="107">
        <v>32.090000000000003</v>
      </c>
      <c r="AL6" s="190">
        <v>0</v>
      </c>
      <c r="AM6" s="191">
        <f t="shared" si="1"/>
        <v>1</v>
      </c>
    </row>
    <row r="7" spans="1:39" ht="15" x14ac:dyDescent="0.25">
      <c r="A7" s="107" t="s">
        <v>252</v>
      </c>
      <c r="B7" s="107" t="s">
        <v>1080</v>
      </c>
      <c r="C7" s="107" t="s">
        <v>206</v>
      </c>
      <c r="D7" s="107" t="s">
        <v>210</v>
      </c>
      <c r="E7" s="107" t="s">
        <v>220</v>
      </c>
      <c r="F7" s="107" t="s">
        <v>220</v>
      </c>
      <c r="G7" s="107" t="s">
        <v>220</v>
      </c>
      <c r="H7" s="107" t="s">
        <v>220</v>
      </c>
      <c r="I7" s="107" t="s">
        <v>220</v>
      </c>
      <c r="J7" s="107" t="s">
        <v>220</v>
      </c>
      <c r="K7" s="107" t="s">
        <v>220</v>
      </c>
      <c r="M7" s="107" t="s">
        <v>255</v>
      </c>
      <c r="N7" s="107" t="s">
        <v>981</v>
      </c>
      <c r="O7" s="107" t="s">
        <v>206</v>
      </c>
      <c r="P7" s="107" t="s">
        <v>809</v>
      </c>
      <c r="Q7" s="107" t="s">
        <v>220</v>
      </c>
      <c r="S7" s="107" t="s">
        <v>255</v>
      </c>
      <c r="T7" s="107" t="s">
        <v>1080</v>
      </c>
      <c r="U7" s="107" t="s">
        <v>206</v>
      </c>
      <c r="V7" s="107" t="s">
        <v>210</v>
      </c>
      <c r="W7" s="107">
        <v>19.559999999999999</v>
      </c>
      <c r="X7" s="107" t="s">
        <v>1089</v>
      </c>
      <c r="AA7" s="107" t="s">
        <v>1106</v>
      </c>
      <c r="AB7" s="107">
        <v>1.0000000000000003E-9</v>
      </c>
      <c r="AC7" s="107">
        <v>3.05E-6</v>
      </c>
      <c r="AD7" s="107">
        <v>62741.809312668876</v>
      </c>
      <c r="AE7" s="189">
        <v>60220.000000000022</v>
      </c>
      <c r="AF7" s="189">
        <v>120.44000000000004</v>
      </c>
      <c r="AG7" s="107">
        <f>LOG(AF7)</f>
        <v>2.0807707468407219</v>
      </c>
      <c r="AH7" s="107">
        <v>34.369999999999997</v>
      </c>
      <c r="AI7" s="107">
        <v>34.479999999999997</v>
      </c>
      <c r="AJ7" s="107">
        <v>34.799999999999997</v>
      </c>
      <c r="AK7" s="107">
        <v>35.4</v>
      </c>
      <c r="AL7" s="190">
        <v>0</v>
      </c>
      <c r="AM7" s="191">
        <f>1-AL7</f>
        <v>1</v>
      </c>
    </row>
    <row r="8" spans="1:39" ht="15" x14ac:dyDescent="0.25">
      <c r="A8" s="107" t="s">
        <v>253</v>
      </c>
      <c r="B8" s="107" t="s">
        <v>981</v>
      </c>
      <c r="C8" s="107" t="s">
        <v>206</v>
      </c>
      <c r="D8" s="107" t="s">
        <v>809</v>
      </c>
      <c r="E8" s="107">
        <v>35.97</v>
      </c>
      <c r="F8" s="107" t="s">
        <v>220</v>
      </c>
      <c r="G8" s="107" t="s">
        <v>220</v>
      </c>
      <c r="H8" s="107" t="s">
        <v>220</v>
      </c>
      <c r="I8" s="107" t="s">
        <v>220</v>
      </c>
      <c r="J8" s="107" t="s">
        <v>220</v>
      </c>
      <c r="K8" s="107" t="s">
        <v>220</v>
      </c>
      <c r="M8" s="107" t="s">
        <v>256</v>
      </c>
      <c r="N8" s="107" t="s">
        <v>981</v>
      </c>
      <c r="O8" s="107" t="s">
        <v>206</v>
      </c>
      <c r="P8" s="107" t="s">
        <v>809</v>
      </c>
      <c r="Q8" s="107">
        <v>41.95</v>
      </c>
      <c r="S8" s="107" t="s">
        <v>256</v>
      </c>
      <c r="T8" s="107" t="s">
        <v>1080</v>
      </c>
      <c r="U8" s="107" t="s">
        <v>206</v>
      </c>
      <c r="V8" s="107" t="s">
        <v>210</v>
      </c>
      <c r="W8" s="107">
        <v>21.58</v>
      </c>
      <c r="X8" s="107" t="s">
        <v>34</v>
      </c>
      <c r="AA8" s="107" t="s">
        <v>1107</v>
      </c>
      <c r="AB8" s="107">
        <v>1.0000000000000003E-10</v>
      </c>
      <c r="AC8" s="107">
        <v>3.0499999999999994E-7</v>
      </c>
      <c r="AD8" s="107">
        <v>6274.1809312668875</v>
      </c>
      <c r="AE8" s="189">
        <v>6022.0000000000018</v>
      </c>
      <c r="AF8" s="189">
        <v>12.044000000000004</v>
      </c>
      <c r="AG8" s="107">
        <f t="shared" ref="AG8:AG12" si="2">LOG(AF8)</f>
        <v>1.0807707468407219</v>
      </c>
      <c r="AH8" s="107">
        <v>37.72</v>
      </c>
      <c r="AI8" s="107">
        <v>35.76</v>
      </c>
      <c r="AJ8" s="107" t="s">
        <v>220</v>
      </c>
      <c r="AK8" s="107">
        <v>38.14</v>
      </c>
      <c r="AL8" s="190">
        <f>1/4</f>
        <v>0.25</v>
      </c>
      <c r="AM8" s="191">
        <f t="shared" ref="AM8:AM12" si="3">1-AL8</f>
        <v>0.75</v>
      </c>
    </row>
    <row r="9" spans="1:39" ht="15" x14ac:dyDescent="0.25">
      <c r="A9" s="107" t="s">
        <v>253</v>
      </c>
      <c r="B9" s="107" t="s">
        <v>1080</v>
      </c>
      <c r="C9" s="107" t="s">
        <v>206</v>
      </c>
      <c r="D9" s="107" t="s">
        <v>210</v>
      </c>
      <c r="E9" s="107" t="s">
        <v>220</v>
      </c>
      <c r="F9" s="107" t="s">
        <v>220</v>
      </c>
      <c r="G9" s="107" t="s">
        <v>220</v>
      </c>
      <c r="H9" s="107" t="s">
        <v>220</v>
      </c>
      <c r="I9" s="107" t="s">
        <v>220</v>
      </c>
      <c r="J9" s="107" t="s">
        <v>220</v>
      </c>
      <c r="K9" s="107" t="s">
        <v>220</v>
      </c>
      <c r="M9" s="107" t="s">
        <v>257</v>
      </c>
      <c r="N9" s="107" t="s">
        <v>981</v>
      </c>
      <c r="O9" s="107" t="s">
        <v>206</v>
      </c>
      <c r="P9" s="107" t="s">
        <v>809</v>
      </c>
      <c r="Q9" s="107">
        <v>37.36</v>
      </c>
      <c r="S9" s="107" t="s">
        <v>257</v>
      </c>
      <c r="T9" s="107" t="s">
        <v>1080</v>
      </c>
      <c r="U9" s="107" t="s">
        <v>206</v>
      </c>
      <c r="V9" s="107" t="s">
        <v>210</v>
      </c>
      <c r="W9" s="107" t="s">
        <v>220</v>
      </c>
      <c r="X9" s="107" t="s">
        <v>915</v>
      </c>
      <c r="AA9" s="107" t="s">
        <v>1108</v>
      </c>
      <c r="AB9" s="107">
        <v>1.0000000000000003E-11</v>
      </c>
      <c r="AC9" s="107">
        <v>3.0500000000000002E-8</v>
      </c>
      <c r="AD9" s="107">
        <v>627.41809312668875</v>
      </c>
      <c r="AE9" s="189">
        <v>602.20000000000016</v>
      </c>
      <c r="AF9" s="189">
        <v>1.2044000000000004</v>
      </c>
      <c r="AG9" s="107">
        <f t="shared" si="2"/>
        <v>8.077074684072183E-2</v>
      </c>
      <c r="AL9" s="190">
        <v>1</v>
      </c>
      <c r="AM9" s="191">
        <f t="shared" si="3"/>
        <v>0</v>
      </c>
    </row>
    <row r="10" spans="1:39" ht="15" x14ac:dyDescent="0.25">
      <c r="A10" s="107" t="s">
        <v>254</v>
      </c>
      <c r="B10" s="107" t="s">
        <v>981</v>
      </c>
      <c r="C10" s="107" t="s">
        <v>206</v>
      </c>
      <c r="D10" s="107" t="s">
        <v>809</v>
      </c>
      <c r="E10" s="107">
        <v>35.14</v>
      </c>
      <c r="F10" s="107" t="s">
        <v>220</v>
      </c>
      <c r="G10" s="107" t="s">
        <v>220</v>
      </c>
      <c r="H10" s="107" t="s">
        <v>220</v>
      </c>
      <c r="I10" s="107" t="s">
        <v>220</v>
      </c>
      <c r="J10" s="107" t="s">
        <v>220</v>
      </c>
      <c r="K10" s="107" t="s">
        <v>220</v>
      </c>
      <c r="M10" s="107" t="s">
        <v>262</v>
      </c>
      <c r="N10" s="107" t="s">
        <v>981</v>
      </c>
      <c r="O10" s="107" t="s">
        <v>206</v>
      </c>
      <c r="P10" s="107" t="s">
        <v>809</v>
      </c>
      <c r="Q10" s="107" t="s">
        <v>220</v>
      </c>
      <c r="S10" s="107" t="s">
        <v>262</v>
      </c>
      <c r="T10" s="107" t="s">
        <v>1080</v>
      </c>
      <c r="U10" s="107" t="s">
        <v>206</v>
      </c>
      <c r="V10" s="107" t="s">
        <v>210</v>
      </c>
      <c r="W10" s="107" t="s">
        <v>220</v>
      </c>
      <c r="X10" s="107">
        <v>28.95</v>
      </c>
      <c r="Y10" s="107">
        <v>29.92</v>
      </c>
      <c r="AA10" s="107" t="s">
        <v>1109</v>
      </c>
      <c r="AB10" s="107">
        <v>1.0000000000000002E-12</v>
      </c>
      <c r="AC10" s="107">
        <v>3.0499999999999992E-9</v>
      </c>
      <c r="AD10" s="107">
        <v>62.741809312668877</v>
      </c>
      <c r="AE10" s="189">
        <v>60.220000000000013</v>
      </c>
      <c r="AF10" s="189">
        <v>0.12044000000000002</v>
      </c>
      <c r="AG10" s="107">
        <f t="shared" si="2"/>
        <v>-0.91922925315927817</v>
      </c>
      <c r="AL10" s="190">
        <v>1</v>
      </c>
      <c r="AM10" s="191">
        <f t="shared" si="3"/>
        <v>0</v>
      </c>
    </row>
    <row r="11" spans="1:39" ht="15" x14ac:dyDescent="0.25">
      <c r="A11" s="107" t="s">
        <v>254</v>
      </c>
      <c r="B11" s="107" t="s">
        <v>1080</v>
      </c>
      <c r="C11" s="107" t="s">
        <v>206</v>
      </c>
      <c r="D11" s="107" t="s">
        <v>210</v>
      </c>
      <c r="E11" s="107">
        <v>38.630000000000003</v>
      </c>
      <c r="F11" s="107" t="s">
        <v>220</v>
      </c>
      <c r="G11" s="107" t="s">
        <v>220</v>
      </c>
      <c r="H11" s="107" t="s">
        <v>220</v>
      </c>
      <c r="I11" s="107" t="s">
        <v>220</v>
      </c>
      <c r="J11" s="107" t="s">
        <v>220</v>
      </c>
      <c r="K11" s="107" t="s">
        <v>220</v>
      </c>
      <c r="M11" s="107" t="s">
        <v>263</v>
      </c>
      <c r="N11" s="107" t="s">
        <v>981</v>
      </c>
      <c r="O11" s="107" t="s">
        <v>206</v>
      </c>
      <c r="P11" s="107" t="s">
        <v>809</v>
      </c>
      <c r="Q11" s="107" t="s">
        <v>220</v>
      </c>
      <c r="S11" s="107" t="s">
        <v>263</v>
      </c>
      <c r="T11" s="107" t="s">
        <v>1080</v>
      </c>
      <c r="U11" s="107" t="s">
        <v>206</v>
      </c>
      <c r="V11" s="107" t="s">
        <v>210</v>
      </c>
      <c r="W11" s="107">
        <v>31.19</v>
      </c>
      <c r="X11" s="107">
        <v>31.22</v>
      </c>
      <c r="Y11" s="107">
        <v>30.78</v>
      </c>
      <c r="AA11" s="107" t="s">
        <v>1110</v>
      </c>
      <c r="AB11" s="107">
        <v>1.0000000000000002E-13</v>
      </c>
      <c r="AC11" s="107">
        <v>3.0500000000000003E-10</v>
      </c>
      <c r="AD11" s="107">
        <v>6.2741809312668879</v>
      </c>
      <c r="AE11" s="189">
        <v>6.0220000000000011</v>
      </c>
      <c r="AF11" s="189">
        <v>1.2044000000000003E-2</v>
      </c>
      <c r="AG11" s="107">
        <f t="shared" si="2"/>
        <v>-1.9192292531592783</v>
      </c>
      <c r="AL11" s="190">
        <v>1</v>
      </c>
      <c r="AM11" s="191">
        <f t="shared" si="3"/>
        <v>0</v>
      </c>
    </row>
    <row r="12" spans="1:39" ht="15" x14ac:dyDescent="0.25">
      <c r="A12" s="107" t="s">
        <v>255</v>
      </c>
      <c r="B12" s="107" t="s">
        <v>981</v>
      </c>
      <c r="C12" s="107" t="s">
        <v>206</v>
      </c>
      <c r="D12" s="107" t="s">
        <v>809</v>
      </c>
      <c r="E12" s="107" t="s">
        <v>220</v>
      </c>
      <c r="F12" s="107" t="s">
        <v>220</v>
      </c>
      <c r="G12" s="107" t="s">
        <v>220</v>
      </c>
      <c r="H12" s="107" t="s">
        <v>220</v>
      </c>
      <c r="I12" s="107" t="s">
        <v>220</v>
      </c>
      <c r="J12" s="107" t="s">
        <v>220</v>
      </c>
      <c r="K12" s="107" t="s">
        <v>220</v>
      </c>
      <c r="M12" s="107" t="s">
        <v>264</v>
      </c>
      <c r="N12" s="107" t="s">
        <v>981</v>
      </c>
      <c r="O12" s="107" t="s">
        <v>206</v>
      </c>
      <c r="P12" s="107" t="s">
        <v>809</v>
      </c>
      <c r="Q12" s="107">
        <v>37.270000000000003</v>
      </c>
      <c r="S12" s="107" t="s">
        <v>264</v>
      </c>
      <c r="T12" s="107" t="s">
        <v>1080</v>
      </c>
      <c r="U12" s="107" t="s">
        <v>206</v>
      </c>
      <c r="V12" s="107" t="s">
        <v>210</v>
      </c>
      <c r="W12" s="107">
        <v>34.369999999999997</v>
      </c>
      <c r="X12" s="107">
        <v>34.479999999999997</v>
      </c>
      <c r="Y12" s="107">
        <v>34.799999999999997</v>
      </c>
      <c r="AA12" s="107" t="s">
        <v>1111</v>
      </c>
      <c r="AB12" s="107">
        <v>1.0000000000000002E-14</v>
      </c>
      <c r="AC12" s="107">
        <v>3.0499999999999992E-11</v>
      </c>
      <c r="AD12" s="107">
        <v>0.62741809312668884</v>
      </c>
      <c r="AE12" s="189">
        <v>0.60220000000000007</v>
      </c>
      <c r="AF12" s="189">
        <v>1.2044000000000002E-3</v>
      </c>
      <c r="AG12" s="107">
        <f t="shared" si="2"/>
        <v>-2.9192292531592781</v>
      </c>
      <c r="AL12" s="190">
        <v>1</v>
      </c>
      <c r="AM12" s="191">
        <f t="shared" si="3"/>
        <v>0</v>
      </c>
    </row>
    <row r="13" spans="1:39" x14ac:dyDescent="0.2">
      <c r="A13" s="107" t="s">
        <v>255</v>
      </c>
      <c r="B13" s="107" t="s">
        <v>1080</v>
      </c>
      <c r="C13" s="107" t="s">
        <v>206</v>
      </c>
      <c r="D13" s="107" t="s">
        <v>210</v>
      </c>
      <c r="E13" s="107">
        <v>19.559999999999999</v>
      </c>
      <c r="F13" s="107" t="s">
        <v>220</v>
      </c>
      <c r="G13" s="107" t="s">
        <v>220</v>
      </c>
      <c r="H13" s="107" t="s">
        <v>220</v>
      </c>
      <c r="I13" s="107" t="s">
        <v>220</v>
      </c>
      <c r="J13" s="107" t="s">
        <v>220</v>
      </c>
      <c r="K13" s="107" t="s">
        <v>220</v>
      </c>
      <c r="M13" s="107" t="s">
        <v>265</v>
      </c>
      <c r="N13" s="107" t="s">
        <v>981</v>
      </c>
      <c r="O13" s="107" t="s">
        <v>206</v>
      </c>
      <c r="P13" s="107" t="s">
        <v>809</v>
      </c>
      <c r="Q13" s="107">
        <v>37.19</v>
      </c>
      <c r="S13" s="107" t="s">
        <v>265</v>
      </c>
      <c r="T13" s="107" t="s">
        <v>1080</v>
      </c>
      <c r="U13" s="107" t="s">
        <v>206</v>
      </c>
      <c r="V13" s="107" t="s">
        <v>210</v>
      </c>
      <c r="W13" s="107">
        <v>37.72</v>
      </c>
      <c r="X13" s="107">
        <v>35.76</v>
      </c>
      <c r="Y13" s="107" t="s">
        <v>220</v>
      </c>
      <c r="AF13" s="107" t="s">
        <v>1135</v>
      </c>
      <c r="AG13" s="107" t="s">
        <v>1136</v>
      </c>
    </row>
    <row r="14" spans="1:39" x14ac:dyDescent="0.2">
      <c r="A14" s="107" t="s">
        <v>256</v>
      </c>
      <c r="B14" s="107" t="s">
        <v>981</v>
      </c>
      <c r="C14" s="107" t="s">
        <v>206</v>
      </c>
      <c r="D14" s="107" t="s">
        <v>809</v>
      </c>
      <c r="E14" s="107">
        <v>41.95</v>
      </c>
      <c r="F14" s="107" t="s">
        <v>220</v>
      </c>
      <c r="G14" s="107" t="s">
        <v>220</v>
      </c>
      <c r="H14" s="107" t="s">
        <v>220</v>
      </c>
      <c r="I14" s="107" t="s">
        <v>220</v>
      </c>
      <c r="J14" s="107" t="s">
        <v>220</v>
      </c>
      <c r="K14" s="107" t="s">
        <v>220</v>
      </c>
      <c r="M14" s="107" t="s">
        <v>266</v>
      </c>
      <c r="N14" s="107" t="s">
        <v>981</v>
      </c>
      <c r="O14" s="107" t="s">
        <v>206</v>
      </c>
      <c r="P14" s="107" t="s">
        <v>809</v>
      </c>
      <c r="Q14" s="107">
        <v>36.82</v>
      </c>
      <c r="S14" s="107" t="s">
        <v>266</v>
      </c>
      <c r="T14" s="107" t="s">
        <v>1080</v>
      </c>
      <c r="U14" s="107" t="s">
        <v>206</v>
      </c>
      <c r="V14" s="107" t="s">
        <v>210</v>
      </c>
      <c r="W14" s="107" t="s">
        <v>220</v>
      </c>
      <c r="X14" s="107" t="s">
        <v>220</v>
      </c>
      <c r="Y14" s="107" t="s">
        <v>220</v>
      </c>
      <c r="AF14" s="107">
        <f t="array" ref="AF14:AG14">LINEST(AF5:AF12,AB5:AB12)</f>
        <v>120440000000</v>
      </c>
      <c r="AG14" s="107">
        <v>4.5474735088646412E-13</v>
      </c>
    </row>
    <row r="15" spans="1:39" ht="25.5" x14ac:dyDescent="0.2">
      <c r="A15" s="107" t="s">
        <v>256</v>
      </c>
      <c r="B15" s="107" t="s">
        <v>1080</v>
      </c>
      <c r="C15" s="107" t="s">
        <v>206</v>
      </c>
      <c r="D15" s="107" t="s">
        <v>210</v>
      </c>
      <c r="E15" s="107">
        <v>21.58</v>
      </c>
      <c r="F15" s="107" t="s">
        <v>220</v>
      </c>
      <c r="G15" s="107" t="s">
        <v>220</v>
      </c>
      <c r="H15" s="107" t="s">
        <v>220</v>
      </c>
      <c r="I15" s="107" t="s">
        <v>220</v>
      </c>
      <c r="J15" s="107" t="s">
        <v>220</v>
      </c>
      <c r="K15" s="107" t="s">
        <v>220</v>
      </c>
      <c r="M15" s="107" t="s">
        <v>267</v>
      </c>
      <c r="N15" s="107" t="s">
        <v>981</v>
      </c>
      <c r="O15" s="107" t="s">
        <v>206</v>
      </c>
      <c r="P15" s="107" t="s">
        <v>809</v>
      </c>
      <c r="Q15" s="107">
        <v>36.479999999999997</v>
      </c>
      <c r="S15" s="107" t="s">
        <v>267</v>
      </c>
      <c r="T15" s="107" t="s">
        <v>1080</v>
      </c>
      <c r="U15" s="107" t="s">
        <v>206</v>
      </c>
      <c r="V15" s="107" t="s">
        <v>210</v>
      </c>
      <c r="W15" s="107" t="s">
        <v>220</v>
      </c>
      <c r="X15" s="107" t="s">
        <v>220</v>
      </c>
      <c r="Y15" s="107" t="s">
        <v>220</v>
      </c>
      <c r="AB15" s="188" t="s">
        <v>21</v>
      </c>
      <c r="AC15" s="107" t="s">
        <v>1137</v>
      </c>
      <c r="AD15" s="188" t="s">
        <v>1114</v>
      </c>
    </row>
    <row r="16" spans="1:39" x14ac:dyDescent="0.2">
      <c r="A16" s="107" t="s">
        <v>257</v>
      </c>
      <c r="B16" s="107" t="s">
        <v>981</v>
      </c>
      <c r="C16" s="107" t="s">
        <v>206</v>
      </c>
      <c r="D16" s="107" t="s">
        <v>809</v>
      </c>
      <c r="E16" s="107">
        <v>37.36</v>
      </c>
      <c r="F16" s="107" t="s">
        <v>220</v>
      </c>
      <c r="G16" s="107" t="s">
        <v>220</v>
      </c>
      <c r="H16" s="107" t="s">
        <v>220</v>
      </c>
      <c r="I16" s="107" t="s">
        <v>220</v>
      </c>
      <c r="J16" s="107" t="s">
        <v>220</v>
      </c>
      <c r="K16" s="107" t="s">
        <v>220</v>
      </c>
      <c r="M16" s="107" t="s">
        <v>268</v>
      </c>
      <c r="N16" s="107" t="s">
        <v>981</v>
      </c>
      <c r="O16" s="107" t="s">
        <v>206</v>
      </c>
      <c r="P16" s="107" t="s">
        <v>809</v>
      </c>
      <c r="Q16" s="107">
        <v>36.54</v>
      </c>
      <c r="S16" s="107" t="s">
        <v>268</v>
      </c>
      <c r="T16" s="107" t="s">
        <v>1080</v>
      </c>
      <c r="U16" s="107" t="s">
        <v>206</v>
      </c>
      <c r="V16" s="107" t="s">
        <v>210</v>
      </c>
      <c r="W16" s="107" t="s">
        <v>220</v>
      </c>
      <c r="X16" s="107" t="s">
        <v>220</v>
      </c>
      <c r="Y16" s="107" t="s">
        <v>220</v>
      </c>
      <c r="AB16" s="107">
        <v>1.0000000000000002E-7</v>
      </c>
      <c r="AC16" s="107">
        <v>-7</v>
      </c>
      <c r="AD16" s="107">
        <v>100</v>
      </c>
      <c r="AE16" s="107" t="e">
        <f t="shared" ref="AE16:AE22" si="4" xml:space="preserve"> 100 + (-0.0000001331975 - 100)/(1 + (AC16/-9.88257)^-203.7598)^16.07043</f>
        <v>#NUM!</v>
      </c>
    </row>
    <row r="17" spans="1:34" x14ac:dyDescent="0.2">
      <c r="A17" s="107" t="s">
        <v>257</v>
      </c>
      <c r="B17" s="107" t="s">
        <v>1080</v>
      </c>
      <c r="C17" s="107" t="s">
        <v>206</v>
      </c>
      <c r="D17" s="107" t="s">
        <v>210</v>
      </c>
      <c r="E17" s="107" t="s">
        <v>220</v>
      </c>
      <c r="F17" s="107" t="s">
        <v>220</v>
      </c>
      <c r="G17" s="107" t="s">
        <v>220</v>
      </c>
      <c r="H17" s="107" t="s">
        <v>220</v>
      </c>
      <c r="I17" s="107" t="s">
        <v>220</v>
      </c>
      <c r="J17" s="107" t="s">
        <v>220</v>
      </c>
      <c r="K17" s="107" t="s">
        <v>220</v>
      </c>
      <c r="M17" s="107" t="s">
        <v>270</v>
      </c>
      <c r="N17" s="107" t="s">
        <v>981</v>
      </c>
      <c r="O17" s="107" t="s">
        <v>206</v>
      </c>
      <c r="P17" s="107" t="s">
        <v>809</v>
      </c>
      <c r="Q17" s="107">
        <v>36.54</v>
      </c>
      <c r="S17" s="107" t="s">
        <v>270</v>
      </c>
      <c r="T17" s="107" t="s">
        <v>1080</v>
      </c>
      <c r="U17" s="107" t="s">
        <v>206</v>
      </c>
      <c r="V17" s="107" t="s">
        <v>210</v>
      </c>
      <c r="W17" s="107" t="s">
        <v>220</v>
      </c>
      <c r="X17" s="107" t="s">
        <v>220</v>
      </c>
      <c r="Y17" s="107" t="s">
        <v>220</v>
      </c>
      <c r="AB17" s="107">
        <v>1.0000000000000002E-8</v>
      </c>
      <c r="AC17" s="107">
        <v>-8</v>
      </c>
      <c r="AD17" s="107">
        <v>100</v>
      </c>
      <c r="AE17" s="107">
        <f t="shared" si="4"/>
        <v>100</v>
      </c>
    </row>
    <row r="18" spans="1:34" x14ac:dyDescent="0.2">
      <c r="A18" s="107" t="s">
        <v>262</v>
      </c>
      <c r="B18" s="107" t="s">
        <v>981</v>
      </c>
      <c r="C18" s="107" t="s">
        <v>206</v>
      </c>
      <c r="D18" s="107" t="s">
        <v>809</v>
      </c>
      <c r="E18" s="107" t="s">
        <v>220</v>
      </c>
      <c r="F18" s="107" t="s">
        <v>220</v>
      </c>
      <c r="G18" s="107" t="s">
        <v>220</v>
      </c>
      <c r="H18" s="107" t="s">
        <v>220</v>
      </c>
      <c r="I18" s="107" t="s">
        <v>220</v>
      </c>
      <c r="J18" s="107" t="s">
        <v>220</v>
      </c>
      <c r="K18" s="107" t="s">
        <v>220</v>
      </c>
      <c r="M18" s="107" t="s">
        <v>276</v>
      </c>
      <c r="N18" s="107" t="s">
        <v>981</v>
      </c>
      <c r="O18" s="107" t="s">
        <v>206</v>
      </c>
      <c r="P18" s="107" t="s">
        <v>809</v>
      </c>
      <c r="Q18" s="107" t="s">
        <v>220</v>
      </c>
      <c r="S18" s="107" t="s">
        <v>276</v>
      </c>
      <c r="T18" s="107" t="s">
        <v>1080</v>
      </c>
      <c r="U18" s="107" t="s">
        <v>206</v>
      </c>
      <c r="V18" s="107" t="s">
        <v>210</v>
      </c>
      <c r="W18" s="107">
        <v>28.95</v>
      </c>
      <c r="AB18" s="107">
        <v>1.0000000000000003E-9</v>
      </c>
      <c r="AC18" s="107">
        <v>-9</v>
      </c>
      <c r="AD18" s="107">
        <v>100</v>
      </c>
      <c r="AE18" s="107">
        <f t="shared" si="4"/>
        <v>100</v>
      </c>
      <c r="AG18" s="118" t="s">
        <v>1124</v>
      </c>
      <c r="AH18" s="118" t="s">
        <v>1126</v>
      </c>
    </row>
    <row r="19" spans="1:34" x14ac:dyDescent="0.2">
      <c r="A19" s="107" t="s">
        <v>262</v>
      </c>
      <c r="B19" s="107" t="s">
        <v>1080</v>
      </c>
      <c r="C19" s="107" t="s">
        <v>206</v>
      </c>
      <c r="D19" s="107" t="s">
        <v>210</v>
      </c>
      <c r="E19" s="107" t="s">
        <v>220</v>
      </c>
      <c r="F19" s="107" t="s">
        <v>220</v>
      </c>
      <c r="G19" s="107" t="s">
        <v>220</v>
      </c>
      <c r="H19" s="107" t="s">
        <v>220</v>
      </c>
      <c r="I19" s="107" t="s">
        <v>220</v>
      </c>
      <c r="J19" s="107" t="s">
        <v>220</v>
      </c>
      <c r="K19" s="107" t="s">
        <v>220</v>
      </c>
      <c r="M19" s="107" t="s">
        <v>277</v>
      </c>
      <c r="N19" s="107" t="s">
        <v>981</v>
      </c>
      <c r="O19" s="107" t="s">
        <v>206</v>
      </c>
      <c r="P19" s="107" t="s">
        <v>809</v>
      </c>
      <c r="Q19" s="107">
        <v>42.62</v>
      </c>
      <c r="S19" s="107" t="s">
        <v>277</v>
      </c>
      <c r="T19" s="107" t="s">
        <v>1080</v>
      </c>
      <c r="U19" s="107" t="s">
        <v>206</v>
      </c>
      <c r="V19" s="107" t="s">
        <v>210</v>
      </c>
      <c r="W19" s="107">
        <v>31.22</v>
      </c>
      <c r="AB19" s="107">
        <v>1.0000000000000003E-10</v>
      </c>
      <c r="AC19" s="107">
        <v>-10</v>
      </c>
      <c r="AD19" s="107">
        <v>75</v>
      </c>
      <c r="AE19" s="107">
        <f xml:space="preserve"> 100 + (-0.0000001331975 - 100)/(1 + (AC19/-9.88257)^-203.7598)^16.07043</f>
        <v>74.999782992976748</v>
      </c>
      <c r="AG19" s="118">
        <v>-9.9597506646235878</v>
      </c>
      <c r="AH19" s="118">
        <f xml:space="preserve"> 100 + (-0.0000001331975 - 100)/(1 + (AG19/-9.88257)^-203.7598)^16.07043</f>
        <v>95.000022206773295</v>
      </c>
    </row>
    <row r="20" spans="1:34" x14ac:dyDescent="0.2">
      <c r="A20" s="107" t="s">
        <v>263</v>
      </c>
      <c r="B20" s="107" t="s">
        <v>981</v>
      </c>
      <c r="C20" s="107" t="s">
        <v>206</v>
      </c>
      <c r="D20" s="107" t="s">
        <v>809</v>
      </c>
      <c r="E20" s="107" t="s">
        <v>220</v>
      </c>
      <c r="F20" s="107" t="s">
        <v>220</v>
      </c>
      <c r="G20" s="107" t="s">
        <v>220</v>
      </c>
      <c r="H20" s="107" t="s">
        <v>220</v>
      </c>
      <c r="I20" s="107" t="s">
        <v>220</v>
      </c>
      <c r="J20" s="107" t="s">
        <v>220</v>
      </c>
      <c r="K20" s="107" t="s">
        <v>220</v>
      </c>
      <c r="M20" s="107" t="s">
        <v>278</v>
      </c>
      <c r="N20" s="107" t="s">
        <v>981</v>
      </c>
      <c r="O20" s="107" t="s">
        <v>206</v>
      </c>
      <c r="P20" s="107" t="s">
        <v>809</v>
      </c>
      <c r="Q20" s="107" t="s">
        <v>220</v>
      </c>
      <c r="S20" s="107" t="s">
        <v>278</v>
      </c>
      <c r="T20" s="107" t="s">
        <v>1080</v>
      </c>
      <c r="U20" s="107" t="s">
        <v>206</v>
      </c>
      <c r="V20" s="107" t="s">
        <v>210</v>
      </c>
      <c r="W20" s="107">
        <v>34.479999999999997</v>
      </c>
      <c r="AB20" s="107">
        <v>1.0000000000000003E-11</v>
      </c>
      <c r="AC20" s="107">
        <v>-11</v>
      </c>
      <c r="AD20" s="107">
        <v>0</v>
      </c>
      <c r="AE20" s="107">
        <f t="shared" si="4"/>
        <v>3.9958995046163182E-7</v>
      </c>
      <c r="AG20" s="107">
        <f>10^AG19</f>
        <v>1.0971078824716653E-10</v>
      </c>
    </row>
    <row r="21" spans="1:34" x14ac:dyDescent="0.2">
      <c r="A21" s="107" t="s">
        <v>263</v>
      </c>
      <c r="B21" s="107" t="s">
        <v>1080</v>
      </c>
      <c r="C21" s="107" t="s">
        <v>206</v>
      </c>
      <c r="D21" s="107" t="s">
        <v>210</v>
      </c>
      <c r="E21" s="107">
        <v>31.19</v>
      </c>
      <c r="F21" s="107" t="s">
        <v>220</v>
      </c>
      <c r="G21" s="107" t="s">
        <v>220</v>
      </c>
      <c r="H21" s="107" t="s">
        <v>220</v>
      </c>
      <c r="I21" s="107" t="s">
        <v>220</v>
      </c>
      <c r="J21" s="107" t="s">
        <v>220</v>
      </c>
      <c r="K21" s="107" t="s">
        <v>220</v>
      </c>
      <c r="M21" s="107" t="s">
        <v>279</v>
      </c>
      <c r="N21" s="107" t="s">
        <v>981</v>
      </c>
      <c r="O21" s="107" t="s">
        <v>206</v>
      </c>
      <c r="P21" s="107" t="s">
        <v>809</v>
      </c>
      <c r="Q21" s="107">
        <v>38.19</v>
      </c>
      <c r="S21" s="107" t="s">
        <v>279</v>
      </c>
      <c r="T21" s="107" t="s">
        <v>1080</v>
      </c>
      <c r="U21" s="107" t="s">
        <v>206</v>
      </c>
      <c r="V21" s="107" t="s">
        <v>210</v>
      </c>
      <c r="W21" s="107">
        <v>35.76</v>
      </c>
      <c r="AB21" s="107">
        <v>1.0000000000000002E-12</v>
      </c>
      <c r="AC21" s="107">
        <v>-12</v>
      </c>
      <c r="AD21" s="107">
        <v>0</v>
      </c>
      <c r="AE21" s="107">
        <f t="shared" si="4"/>
        <v>-1.3319750280516018E-7</v>
      </c>
      <c r="AG21" s="193">
        <f>AG20*AF14+AG14</f>
        <v>13.213567336489191</v>
      </c>
      <c r="AH21" s="192" t="s">
        <v>1138</v>
      </c>
    </row>
    <row r="22" spans="1:34" x14ac:dyDescent="0.2">
      <c r="A22" s="107" t="s">
        <v>264</v>
      </c>
      <c r="B22" s="107" t="s">
        <v>981</v>
      </c>
      <c r="C22" s="107" t="s">
        <v>206</v>
      </c>
      <c r="D22" s="107" t="s">
        <v>809</v>
      </c>
      <c r="E22" s="107">
        <v>37.270000000000003</v>
      </c>
      <c r="F22" s="107" t="s">
        <v>220</v>
      </c>
      <c r="G22" s="107" t="s">
        <v>220</v>
      </c>
      <c r="H22" s="107" t="s">
        <v>220</v>
      </c>
      <c r="I22" s="107" t="s">
        <v>220</v>
      </c>
      <c r="J22" s="107" t="s">
        <v>220</v>
      </c>
      <c r="K22" s="107" t="s">
        <v>220</v>
      </c>
      <c r="M22" s="107" t="s">
        <v>280</v>
      </c>
      <c r="N22" s="107" t="s">
        <v>981</v>
      </c>
      <c r="O22" s="107" t="s">
        <v>206</v>
      </c>
      <c r="P22" s="107" t="s">
        <v>809</v>
      </c>
      <c r="Q22" s="107">
        <v>36.659999999999997</v>
      </c>
      <c r="S22" s="107" t="s">
        <v>280</v>
      </c>
      <c r="T22" s="107" t="s">
        <v>1080</v>
      </c>
      <c r="U22" s="107" t="s">
        <v>206</v>
      </c>
      <c r="V22" s="107" t="s">
        <v>210</v>
      </c>
      <c r="W22" s="107" t="s">
        <v>220</v>
      </c>
      <c r="AB22" s="107">
        <v>1.0000000000000002E-13</v>
      </c>
      <c r="AC22" s="107">
        <v>-13</v>
      </c>
      <c r="AD22" s="107">
        <v>0</v>
      </c>
      <c r="AE22" s="107">
        <f t="shared" si="4"/>
        <v>-1.3319750280516018E-7</v>
      </c>
    </row>
    <row r="23" spans="1:34" x14ac:dyDescent="0.2">
      <c r="A23" s="107" t="s">
        <v>264</v>
      </c>
      <c r="B23" s="107" t="s">
        <v>1080</v>
      </c>
      <c r="C23" s="107" t="s">
        <v>206</v>
      </c>
      <c r="D23" s="107" t="s">
        <v>210</v>
      </c>
      <c r="E23" s="107">
        <v>34.369999999999997</v>
      </c>
      <c r="F23" s="107" t="s">
        <v>220</v>
      </c>
      <c r="G23" s="107" t="s">
        <v>220</v>
      </c>
      <c r="H23" s="107" t="s">
        <v>220</v>
      </c>
      <c r="I23" s="107" t="s">
        <v>220</v>
      </c>
      <c r="J23" s="107" t="s">
        <v>220</v>
      </c>
      <c r="K23" s="107" t="s">
        <v>220</v>
      </c>
      <c r="M23" s="107" t="s">
        <v>281</v>
      </c>
      <c r="N23" s="107" t="s">
        <v>981</v>
      </c>
      <c r="O23" s="107" t="s">
        <v>206</v>
      </c>
      <c r="P23" s="107" t="s">
        <v>809</v>
      </c>
      <c r="Q23" s="107" t="s">
        <v>220</v>
      </c>
      <c r="S23" s="107" t="s">
        <v>281</v>
      </c>
      <c r="T23" s="107" t="s">
        <v>1080</v>
      </c>
      <c r="U23" s="107" t="s">
        <v>206</v>
      </c>
      <c r="V23" s="107" t="s">
        <v>210</v>
      </c>
      <c r="W23" s="107" t="s">
        <v>220</v>
      </c>
      <c r="AB23" s="107">
        <v>1.0000000000000002E-14</v>
      </c>
      <c r="AC23" s="107">
        <v>-14</v>
      </c>
      <c r="AD23" s="107">
        <v>0</v>
      </c>
      <c r="AE23" s="107">
        <f xml:space="preserve"> 100 + (-0.0000001331975 - 100)/(1 + (AC23/-9.88257)^-203.7598)^16.07043</f>
        <v>-1.3319750280516018E-7</v>
      </c>
    </row>
    <row r="24" spans="1:34" x14ac:dyDescent="0.2">
      <c r="A24" s="107" t="s">
        <v>265</v>
      </c>
      <c r="B24" s="107" t="s">
        <v>981</v>
      </c>
      <c r="C24" s="107" t="s">
        <v>206</v>
      </c>
      <c r="D24" s="107" t="s">
        <v>809</v>
      </c>
      <c r="E24" s="107">
        <v>37.19</v>
      </c>
      <c r="F24" s="107" t="s">
        <v>220</v>
      </c>
      <c r="G24" s="107" t="s">
        <v>220</v>
      </c>
      <c r="H24" s="107" t="s">
        <v>220</v>
      </c>
      <c r="I24" s="107" t="s">
        <v>220</v>
      </c>
      <c r="J24" s="107" t="s">
        <v>220</v>
      </c>
      <c r="K24" s="107" t="s">
        <v>220</v>
      </c>
      <c r="M24" s="107" t="s">
        <v>282</v>
      </c>
      <c r="N24" s="107" t="s">
        <v>981</v>
      </c>
      <c r="O24" s="107" t="s">
        <v>206</v>
      </c>
      <c r="P24" s="107" t="s">
        <v>809</v>
      </c>
      <c r="Q24" s="107">
        <v>38.67</v>
      </c>
      <c r="S24" s="107" t="s">
        <v>282</v>
      </c>
      <c r="T24" s="107" t="s">
        <v>1080</v>
      </c>
      <c r="U24" s="107" t="s">
        <v>206</v>
      </c>
      <c r="V24" s="107" t="s">
        <v>210</v>
      </c>
      <c r="W24" s="107" t="s">
        <v>220</v>
      </c>
    </row>
    <row r="25" spans="1:34" x14ac:dyDescent="0.2">
      <c r="A25" s="107" t="s">
        <v>265</v>
      </c>
      <c r="B25" s="107" t="s">
        <v>1080</v>
      </c>
      <c r="C25" s="107" t="s">
        <v>206</v>
      </c>
      <c r="D25" s="107" t="s">
        <v>210</v>
      </c>
      <c r="E25" s="107">
        <v>37.72</v>
      </c>
      <c r="F25" s="107" t="s">
        <v>220</v>
      </c>
      <c r="G25" s="107" t="s">
        <v>220</v>
      </c>
      <c r="H25" s="107" t="s">
        <v>220</v>
      </c>
      <c r="I25" s="107" t="s">
        <v>220</v>
      </c>
      <c r="J25" s="107" t="s">
        <v>220</v>
      </c>
      <c r="K25" s="107" t="s">
        <v>220</v>
      </c>
      <c r="M25" s="107" t="s">
        <v>283</v>
      </c>
      <c r="N25" s="107" t="s">
        <v>981</v>
      </c>
      <c r="O25" s="107" t="s">
        <v>206</v>
      </c>
      <c r="P25" s="107" t="s">
        <v>809</v>
      </c>
      <c r="Q25" s="107">
        <v>36.68</v>
      </c>
      <c r="S25" s="107" t="s">
        <v>283</v>
      </c>
      <c r="T25" s="107" t="s">
        <v>1080</v>
      </c>
      <c r="U25" s="107" t="s">
        <v>206</v>
      </c>
      <c r="V25" s="107" t="s">
        <v>210</v>
      </c>
      <c r="W25" s="107" t="s">
        <v>220</v>
      </c>
    </row>
    <row r="26" spans="1:34" x14ac:dyDescent="0.2">
      <c r="A26" s="107" t="s">
        <v>266</v>
      </c>
      <c r="B26" s="107" t="s">
        <v>981</v>
      </c>
      <c r="C26" s="107" t="s">
        <v>206</v>
      </c>
      <c r="D26" s="107" t="s">
        <v>809</v>
      </c>
      <c r="E26" s="107">
        <v>36.82</v>
      </c>
      <c r="F26" s="107" t="s">
        <v>220</v>
      </c>
      <c r="G26" s="107" t="s">
        <v>220</v>
      </c>
      <c r="H26" s="107" t="s">
        <v>220</v>
      </c>
      <c r="I26" s="107" t="s">
        <v>220</v>
      </c>
      <c r="J26" s="107" t="s">
        <v>220</v>
      </c>
      <c r="K26" s="107" t="s">
        <v>220</v>
      </c>
      <c r="M26" s="107" t="s">
        <v>288</v>
      </c>
      <c r="N26" s="107" t="s">
        <v>981</v>
      </c>
      <c r="O26" s="107" t="s">
        <v>206</v>
      </c>
      <c r="P26" s="107" t="s">
        <v>809</v>
      </c>
      <c r="Q26" s="107" t="s">
        <v>220</v>
      </c>
      <c r="S26" s="107" t="s">
        <v>288</v>
      </c>
      <c r="T26" s="107" t="s">
        <v>1080</v>
      </c>
      <c r="U26" s="107" t="s">
        <v>206</v>
      </c>
      <c r="V26" s="107" t="s">
        <v>210</v>
      </c>
      <c r="W26" s="107">
        <v>29.92</v>
      </c>
      <c r="AB26" s="107" t="s">
        <v>1139</v>
      </c>
    </row>
    <row r="27" spans="1:34" x14ac:dyDescent="0.2">
      <c r="A27" s="107" t="s">
        <v>266</v>
      </c>
      <c r="B27" s="107" t="s">
        <v>1080</v>
      </c>
      <c r="C27" s="107" t="s">
        <v>206</v>
      </c>
      <c r="D27" s="107" t="s">
        <v>210</v>
      </c>
      <c r="E27" s="107" t="s">
        <v>220</v>
      </c>
      <c r="F27" s="107" t="s">
        <v>220</v>
      </c>
      <c r="G27" s="107" t="s">
        <v>220</v>
      </c>
      <c r="H27" s="107" t="s">
        <v>220</v>
      </c>
      <c r="I27" s="107" t="s">
        <v>220</v>
      </c>
      <c r="J27" s="107" t="s">
        <v>220</v>
      </c>
      <c r="K27" s="107" t="s">
        <v>220</v>
      </c>
      <c r="M27" s="107" t="s">
        <v>289</v>
      </c>
      <c r="N27" s="107" t="s">
        <v>981</v>
      </c>
      <c r="O27" s="107" t="s">
        <v>206</v>
      </c>
      <c r="P27" s="107" t="s">
        <v>809</v>
      </c>
      <c r="Q27" s="107">
        <v>42.65</v>
      </c>
      <c r="S27" s="107" t="s">
        <v>289</v>
      </c>
      <c r="T27" s="107" t="s">
        <v>1080</v>
      </c>
      <c r="U27" s="107" t="s">
        <v>206</v>
      </c>
      <c r="V27" s="107" t="s">
        <v>210</v>
      </c>
      <c r="W27" s="107">
        <v>30.78</v>
      </c>
    </row>
    <row r="28" spans="1:34" x14ac:dyDescent="0.2">
      <c r="A28" s="107" t="s">
        <v>267</v>
      </c>
      <c r="B28" s="107" t="s">
        <v>981</v>
      </c>
      <c r="C28" s="107" t="s">
        <v>206</v>
      </c>
      <c r="D28" s="107" t="s">
        <v>809</v>
      </c>
      <c r="E28" s="107">
        <v>36.479999999999997</v>
      </c>
      <c r="F28" s="107" t="s">
        <v>220</v>
      </c>
      <c r="G28" s="107" t="s">
        <v>220</v>
      </c>
      <c r="H28" s="107" t="s">
        <v>220</v>
      </c>
      <c r="I28" s="107" t="s">
        <v>220</v>
      </c>
      <c r="J28" s="107" t="s">
        <v>220</v>
      </c>
      <c r="K28" s="107" t="s">
        <v>220</v>
      </c>
      <c r="M28" s="107" t="s">
        <v>290</v>
      </c>
      <c r="N28" s="107" t="s">
        <v>981</v>
      </c>
      <c r="O28" s="107" t="s">
        <v>206</v>
      </c>
      <c r="P28" s="107" t="s">
        <v>809</v>
      </c>
      <c r="Q28" s="107">
        <v>36.869999999999997</v>
      </c>
      <c r="S28" s="107" t="s">
        <v>290</v>
      </c>
      <c r="T28" s="107" t="s">
        <v>1080</v>
      </c>
      <c r="U28" s="107" t="s">
        <v>206</v>
      </c>
      <c r="V28" s="107" t="s">
        <v>210</v>
      </c>
      <c r="W28" s="107">
        <v>34.799999999999997</v>
      </c>
    </row>
    <row r="29" spans="1:34" x14ac:dyDescent="0.2">
      <c r="A29" s="107" t="s">
        <v>267</v>
      </c>
      <c r="B29" s="107" t="s">
        <v>1080</v>
      </c>
      <c r="C29" s="107" t="s">
        <v>206</v>
      </c>
      <c r="D29" s="107" t="s">
        <v>210</v>
      </c>
      <c r="E29" s="107" t="s">
        <v>220</v>
      </c>
      <c r="F29" s="107" t="s">
        <v>220</v>
      </c>
      <c r="G29" s="107" t="s">
        <v>220</v>
      </c>
      <c r="H29" s="107" t="s">
        <v>220</v>
      </c>
      <c r="I29" s="107" t="s">
        <v>220</v>
      </c>
      <c r="J29" s="107" t="s">
        <v>220</v>
      </c>
      <c r="K29" s="107" t="s">
        <v>220</v>
      </c>
      <c r="M29" s="107" t="s">
        <v>291</v>
      </c>
      <c r="N29" s="107" t="s">
        <v>981</v>
      </c>
      <c r="O29" s="107" t="s">
        <v>206</v>
      </c>
      <c r="P29" s="107" t="s">
        <v>809</v>
      </c>
      <c r="Q29" s="107">
        <v>37.06</v>
      </c>
      <c r="S29" s="107" t="s">
        <v>291</v>
      </c>
      <c r="T29" s="107" t="s">
        <v>1080</v>
      </c>
      <c r="U29" s="107" t="s">
        <v>206</v>
      </c>
      <c r="V29" s="107" t="s">
        <v>210</v>
      </c>
      <c r="W29" s="107" t="s">
        <v>220</v>
      </c>
    </row>
    <row r="30" spans="1:34" x14ac:dyDescent="0.2">
      <c r="A30" s="107" t="s">
        <v>268</v>
      </c>
      <c r="B30" s="107" t="s">
        <v>981</v>
      </c>
      <c r="C30" s="107" t="s">
        <v>206</v>
      </c>
      <c r="D30" s="107" t="s">
        <v>809</v>
      </c>
      <c r="E30" s="107">
        <v>36.54</v>
      </c>
      <c r="F30" s="107" t="s">
        <v>220</v>
      </c>
      <c r="G30" s="107" t="s">
        <v>220</v>
      </c>
      <c r="H30" s="107" t="s">
        <v>220</v>
      </c>
      <c r="I30" s="107" t="s">
        <v>220</v>
      </c>
      <c r="J30" s="107" t="s">
        <v>220</v>
      </c>
      <c r="K30" s="107" t="s">
        <v>220</v>
      </c>
      <c r="M30" s="107" t="s">
        <v>292</v>
      </c>
      <c r="N30" s="107" t="s">
        <v>981</v>
      </c>
      <c r="O30" s="107" t="s">
        <v>206</v>
      </c>
      <c r="P30" s="107" t="s">
        <v>809</v>
      </c>
      <c r="Q30" s="107" t="s">
        <v>220</v>
      </c>
      <c r="S30" s="107" t="s">
        <v>292</v>
      </c>
      <c r="T30" s="107" t="s">
        <v>1080</v>
      </c>
      <c r="U30" s="107" t="s">
        <v>206</v>
      </c>
      <c r="V30" s="107" t="s">
        <v>210</v>
      </c>
      <c r="W30" s="107" t="s">
        <v>220</v>
      </c>
    </row>
    <row r="31" spans="1:34" x14ac:dyDescent="0.2">
      <c r="A31" s="107" t="s">
        <v>268</v>
      </c>
      <c r="B31" s="107" t="s">
        <v>1080</v>
      </c>
      <c r="C31" s="107" t="s">
        <v>206</v>
      </c>
      <c r="D31" s="107" t="s">
        <v>210</v>
      </c>
      <c r="E31" s="107" t="s">
        <v>220</v>
      </c>
      <c r="F31" s="107" t="s">
        <v>220</v>
      </c>
      <c r="G31" s="107" t="s">
        <v>220</v>
      </c>
      <c r="H31" s="107" t="s">
        <v>220</v>
      </c>
      <c r="I31" s="107" t="s">
        <v>220</v>
      </c>
      <c r="J31" s="107" t="s">
        <v>220</v>
      </c>
      <c r="K31" s="107" t="s">
        <v>220</v>
      </c>
      <c r="M31" s="107" t="s">
        <v>293</v>
      </c>
      <c r="N31" s="107" t="s">
        <v>981</v>
      </c>
      <c r="O31" s="107" t="s">
        <v>206</v>
      </c>
      <c r="P31" s="107" t="s">
        <v>809</v>
      </c>
      <c r="Q31" s="107">
        <v>37.229999999999997</v>
      </c>
      <c r="S31" s="107" t="s">
        <v>293</v>
      </c>
      <c r="T31" s="107" t="s">
        <v>1080</v>
      </c>
      <c r="U31" s="107" t="s">
        <v>206</v>
      </c>
      <c r="V31" s="107" t="s">
        <v>210</v>
      </c>
      <c r="W31" s="107" t="s">
        <v>220</v>
      </c>
    </row>
    <row r="32" spans="1:34" x14ac:dyDescent="0.2">
      <c r="A32" s="107" t="s">
        <v>270</v>
      </c>
      <c r="B32" s="107" t="s">
        <v>981</v>
      </c>
      <c r="C32" s="107" t="s">
        <v>206</v>
      </c>
      <c r="D32" s="107" t="s">
        <v>809</v>
      </c>
      <c r="E32" s="107">
        <v>36.54</v>
      </c>
      <c r="F32" s="107" t="s">
        <v>220</v>
      </c>
      <c r="G32" s="107" t="s">
        <v>220</v>
      </c>
      <c r="H32" s="107" t="s">
        <v>220</v>
      </c>
      <c r="I32" s="107" t="s">
        <v>220</v>
      </c>
      <c r="J32" s="107" t="s">
        <v>220</v>
      </c>
      <c r="K32" s="107" t="s">
        <v>220</v>
      </c>
      <c r="M32" s="107" t="s">
        <v>294</v>
      </c>
      <c r="N32" s="107" t="s">
        <v>981</v>
      </c>
      <c r="O32" s="107" t="s">
        <v>206</v>
      </c>
      <c r="P32" s="107" t="s">
        <v>809</v>
      </c>
      <c r="Q32" s="107" t="s">
        <v>220</v>
      </c>
      <c r="S32" s="107" t="s">
        <v>294</v>
      </c>
      <c r="T32" s="107" t="s">
        <v>1080</v>
      </c>
      <c r="U32" s="107" t="s">
        <v>206</v>
      </c>
      <c r="V32" s="107" t="s">
        <v>210</v>
      </c>
      <c r="W32" s="107" t="s">
        <v>220</v>
      </c>
    </row>
    <row r="33" spans="1:23" x14ac:dyDescent="0.2">
      <c r="A33" s="107" t="s">
        <v>270</v>
      </c>
      <c r="B33" s="107" t="s">
        <v>1080</v>
      </c>
      <c r="C33" s="107" t="s">
        <v>206</v>
      </c>
      <c r="D33" s="107" t="s">
        <v>210</v>
      </c>
      <c r="E33" s="107" t="s">
        <v>220</v>
      </c>
      <c r="F33" s="107" t="s">
        <v>220</v>
      </c>
      <c r="G33" s="107" t="s">
        <v>220</v>
      </c>
      <c r="H33" s="107" t="s">
        <v>220</v>
      </c>
      <c r="I33" s="107" t="s">
        <v>220</v>
      </c>
      <c r="J33" s="107" t="s">
        <v>220</v>
      </c>
      <c r="K33" s="107" t="s">
        <v>220</v>
      </c>
      <c r="M33" s="107" t="s">
        <v>295</v>
      </c>
      <c r="N33" s="107" t="s">
        <v>981</v>
      </c>
      <c r="O33" s="107" t="s">
        <v>206</v>
      </c>
      <c r="P33" s="107" t="s">
        <v>809</v>
      </c>
      <c r="Q33" s="107">
        <v>36.700000000000003</v>
      </c>
      <c r="S33" s="107" t="s">
        <v>295</v>
      </c>
      <c r="T33" s="107" t="s">
        <v>1080</v>
      </c>
      <c r="U33" s="107" t="s">
        <v>206</v>
      </c>
      <c r="V33" s="107" t="s">
        <v>210</v>
      </c>
      <c r="W33" s="107" t="s">
        <v>220</v>
      </c>
    </row>
    <row r="34" spans="1:23" x14ac:dyDescent="0.2">
      <c r="A34" s="107" t="s">
        <v>276</v>
      </c>
      <c r="B34" s="107" t="s">
        <v>981</v>
      </c>
      <c r="C34" s="107" t="s">
        <v>206</v>
      </c>
      <c r="D34" s="107" t="s">
        <v>809</v>
      </c>
      <c r="E34" s="107" t="s">
        <v>220</v>
      </c>
      <c r="F34" s="107" t="s">
        <v>220</v>
      </c>
      <c r="G34" s="107" t="s">
        <v>220</v>
      </c>
      <c r="H34" s="107" t="s">
        <v>220</v>
      </c>
      <c r="I34" s="107" t="s">
        <v>220</v>
      </c>
      <c r="J34" s="107" t="s">
        <v>220</v>
      </c>
      <c r="K34" s="107" t="s">
        <v>220</v>
      </c>
      <c r="M34" s="107" t="s">
        <v>250</v>
      </c>
      <c r="N34" s="107" t="s">
        <v>1080</v>
      </c>
      <c r="O34" s="107" t="s">
        <v>206</v>
      </c>
      <c r="P34" s="107" t="s">
        <v>210</v>
      </c>
      <c r="Q34" s="107" t="s">
        <v>220</v>
      </c>
    </row>
    <row r="35" spans="1:23" x14ac:dyDescent="0.2">
      <c r="A35" s="107" t="s">
        <v>276</v>
      </c>
      <c r="B35" s="107" t="s">
        <v>1080</v>
      </c>
      <c r="C35" s="107" t="s">
        <v>206</v>
      </c>
      <c r="D35" s="107" t="s">
        <v>210</v>
      </c>
      <c r="E35" s="107">
        <v>28.95</v>
      </c>
      <c r="F35" s="107" t="s">
        <v>220</v>
      </c>
      <c r="G35" s="107" t="s">
        <v>220</v>
      </c>
      <c r="H35" s="107" t="s">
        <v>220</v>
      </c>
      <c r="I35" s="107" t="s">
        <v>220</v>
      </c>
      <c r="J35" s="107" t="s">
        <v>220</v>
      </c>
      <c r="K35" s="107" t="s">
        <v>220</v>
      </c>
      <c r="M35" s="107" t="s">
        <v>251</v>
      </c>
      <c r="N35" s="107" t="s">
        <v>1080</v>
      </c>
      <c r="O35" s="107" t="s">
        <v>206</v>
      </c>
      <c r="P35" s="107" t="s">
        <v>210</v>
      </c>
      <c r="Q35" s="107" t="s">
        <v>220</v>
      </c>
    </row>
    <row r="36" spans="1:23" x14ac:dyDescent="0.2">
      <c r="A36" s="107" t="s">
        <v>277</v>
      </c>
      <c r="B36" s="107" t="s">
        <v>981</v>
      </c>
      <c r="C36" s="107" t="s">
        <v>206</v>
      </c>
      <c r="D36" s="107" t="s">
        <v>809</v>
      </c>
      <c r="E36" s="107">
        <v>42.62</v>
      </c>
      <c r="F36" s="107" t="s">
        <v>220</v>
      </c>
      <c r="G36" s="107" t="s">
        <v>220</v>
      </c>
      <c r="H36" s="107" t="s">
        <v>220</v>
      </c>
      <c r="I36" s="107" t="s">
        <v>220</v>
      </c>
      <c r="J36" s="107" t="s">
        <v>220</v>
      </c>
      <c r="K36" s="107" t="s">
        <v>220</v>
      </c>
      <c r="M36" s="107" t="s">
        <v>252</v>
      </c>
      <c r="N36" s="107" t="s">
        <v>1080</v>
      </c>
      <c r="O36" s="107" t="s">
        <v>206</v>
      </c>
      <c r="P36" s="107" t="s">
        <v>210</v>
      </c>
      <c r="Q36" s="107" t="s">
        <v>220</v>
      </c>
    </row>
    <row r="37" spans="1:23" x14ac:dyDescent="0.2">
      <c r="A37" s="107" t="s">
        <v>277</v>
      </c>
      <c r="B37" s="107" t="s">
        <v>1080</v>
      </c>
      <c r="C37" s="107" t="s">
        <v>206</v>
      </c>
      <c r="D37" s="107" t="s">
        <v>210</v>
      </c>
      <c r="E37" s="107">
        <v>31.22</v>
      </c>
      <c r="F37" s="107" t="s">
        <v>220</v>
      </c>
      <c r="G37" s="107" t="s">
        <v>220</v>
      </c>
      <c r="H37" s="107" t="s">
        <v>220</v>
      </c>
      <c r="I37" s="107" t="s">
        <v>220</v>
      </c>
      <c r="J37" s="107" t="s">
        <v>220</v>
      </c>
      <c r="K37" s="107" t="s">
        <v>220</v>
      </c>
      <c r="M37" s="107" t="s">
        <v>253</v>
      </c>
      <c r="N37" s="107" t="s">
        <v>1080</v>
      </c>
      <c r="O37" s="107" t="s">
        <v>206</v>
      </c>
      <c r="P37" s="107" t="s">
        <v>210</v>
      </c>
      <c r="Q37" s="107" t="s">
        <v>220</v>
      </c>
    </row>
    <row r="38" spans="1:23" x14ac:dyDescent="0.2">
      <c r="A38" s="107" t="s">
        <v>278</v>
      </c>
      <c r="B38" s="107" t="s">
        <v>981</v>
      </c>
      <c r="C38" s="107" t="s">
        <v>206</v>
      </c>
      <c r="D38" s="107" t="s">
        <v>809</v>
      </c>
      <c r="E38" s="107" t="s">
        <v>220</v>
      </c>
      <c r="F38" s="107" t="s">
        <v>220</v>
      </c>
      <c r="G38" s="107" t="s">
        <v>220</v>
      </c>
      <c r="H38" s="107" t="s">
        <v>220</v>
      </c>
      <c r="I38" s="107" t="s">
        <v>220</v>
      </c>
      <c r="J38" s="107" t="s">
        <v>220</v>
      </c>
      <c r="K38" s="107" t="s">
        <v>220</v>
      </c>
      <c r="M38" s="107" t="s">
        <v>254</v>
      </c>
      <c r="N38" s="107" t="s">
        <v>1080</v>
      </c>
      <c r="O38" s="107" t="s">
        <v>206</v>
      </c>
      <c r="P38" s="107" t="s">
        <v>210</v>
      </c>
      <c r="Q38" s="107">
        <v>38.630000000000003</v>
      </c>
    </row>
    <row r="39" spans="1:23" x14ac:dyDescent="0.2">
      <c r="A39" s="107" t="s">
        <v>278</v>
      </c>
      <c r="B39" s="107" t="s">
        <v>1080</v>
      </c>
      <c r="C39" s="107" t="s">
        <v>206</v>
      </c>
      <c r="D39" s="107" t="s">
        <v>210</v>
      </c>
      <c r="E39" s="107">
        <v>34.479999999999997</v>
      </c>
      <c r="F39" s="107" t="s">
        <v>220</v>
      </c>
      <c r="G39" s="107" t="s">
        <v>220</v>
      </c>
      <c r="H39" s="107" t="s">
        <v>220</v>
      </c>
      <c r="I39" s="107" t="s">
        <v>220</v>
      </c>
      <c r="J39" s="107" t="s">
        <v>220</v>
      </c>
      <c r="K39" s="107" t="s">
        <v>220</v>
      </c>
      <c r="M39" s="107" t="s">
        <v>255</v>
      </c>
      <c r="N39" s="107" t="s">
        <v>1080</v>
      </c>
      <c r="O39" s="107" t="s">
        <v>206</v>
      </c>
      <c r="P39" s="107" t="s">
        <v>210</v>
      </c>
      <c r="Q39" s="107">
        <v>19.559999999999999</v>
      </c>
    </row>
    <row r="40" spans="1:23" x14ac:dyDescent="0.2">
      <c r="A40" s="107" t="s">
        <v>279</v>
      </c>
      <c r="B40" s="107" t="s">
        <v>981</v>
      </c>
      <c r="C40" s="107" t="s">
        <v>206</v>
      </c>
      <c r="D40" s="107" t="s">
        <v>809</v>
      </c>
      <c r="E40" s="107">
        <v>38.19</v>
      </c>
      <c r="F40" s="107" t="s">
        <v>220</v>
      </c>
      <c r="G40" s="107" t="s">
        <v>220</v>
      </c>
      <c r="H40" s="107" t="s">
        <v>220</v>
      </c>
      <c r="I40" s="107" t="s">
        <v>220</v>
      </c>
      <c r="J40" s="107" t="s">
        <v>220</v>
      </c>
      <c r="K40" s="107" t="s">
        <v>220</v>
      </c>
      <c r="M40" s="107" t="s">
        <v>256</v>
      </c>
      <c r="N40" s="107" t="s">
        <v>1080</v>
      </c>
      <c r="O40" s="107" t="s">
        <v>206</v>
      </c>
      <c r="P40" s="107" t="s">
        <v>210</v>
      </c>
      <c r="Q40" s="107">
        <v>21.58</v>
      </c>
    </row>
    <row r="41" spans="1:23" x14ac:dyDescent="0.2">
      <c r="A41" s="107" t="s">
        <v>279</v>
      </c>
      <c r="B41" s="107" t="s">
        <v>1080</v>
      </c>
      <c r="C41" s="107" t="s">
        <v>206</v>
      </c>
      <c r="D41" s="107" t="s">
        <v>210</v>
      </c>
      <c r="E41" s="107">
        <v>35.76</v>
      </c>
      <c r="F41" s="107" t="s">
        <v>220</v>
      </c>
      <c r="G41" s="107" t="s">
        <v>220</v>
      </c>
      <c r="H41" s="107" t="s">
        <v>220</v>
      </c>
      <c r="I41" s="107" t="s">
        <v>220</v>
      </c>
      <c r="J41" s="107" t="s">
        <v>220</v>
      </c>
      <c r="K41" s="107" t="s">
        <v>220</v>
      </c>
      <c r="M41" s="107" t="s">
        <v>257</v>
      </c>
      <c r="N41" s="107" t="s">
        <v>1080</v>
      </c>
      <c r="O41" s="107" t="s">
        <v>206</v>
      </c>
      <c r="P41" s="107" t="s">
        <v>210</v>
      </c>
      <c r="Q41" s="107" t="s">
        <v>220</v>
      </c>
    </row>
    <row r="42" spans="1:23" x14ac:dyDescent="0.2">
      <c r="A42" s="107" t="s">
        <v>280</v>
      </c>
      <c r="B42" s="107" t="s">
        <v>981</v>
      </c>
      <c r="C42" s="107" t="s">
        <v>206</v>
      </c>
      <c r="D42" s="107" t="s">
        <v>809</v>
      </c>
      <c r="E42" s="107">
        <v>36.659999999999997</v>
      </c>
      <c r="F42" s="107" t="s">
        <v>220</v>
      </c>
      <c r="G42" s="107" t="s">
        <v>220</v>
      </c>
      <c r="H42" s="107" t="s">
        <v>220</v>
      </c>
      <c r="I42" s="107" t="s">
        <v>220</v>
      </c>
      <c r="J42" s="107" t="s">
        <v>220</v>
      </c>
      <c r="K42" s="107" t="s">
        <v>220</v>
      </c>
      <c r="M42" s="107" t="s">
        <v>262</v>
      </c>
      <c r="N42" s="107" t="s">
        <v>1080</v>
      </c>
      <c r="O42" s="107" t="s">
        <v>206</v>
      </c>
      <c r="P42" s="107" t="s">
        <v>210</v>
      </c>
      <c r="Q42" s="107" t="s">
        <v>220</v>
      </c>
    </row>
    <row r="43" spans="1:23" x14ac:dyDescent="0.2">
      <c r="A43" s="107" t="s">
        <v>280</v>
      </c>
      <c r="B43" s="107" t="s">
        <v>1080</v>
      </c>
      <c r="C43" s="107" t="s">
        <v>206</v>
      </c>
      <c r="D43" s="107" t="s">
        <v>210</v>
      </c>
      <c r="E43" s="107" t="s">
        <v>220</v>
      </c>
      <c r="F43" s="107" t="s">
        <v>220</v>
      </c>
      <c r="G43" s="107" t="s">
        <v>220</v>
      </c>
      <c r="H43" s="107" t="s">
        <v>220</v>
      </c>
      <c r="I43" s="107" t="s">
        <v>220</v>
      </c>
      <c r="J43" s="107" t="s">
        <v>220</v>
      </c>
      <c r="K43" s="107" t="s">
        <v>220</v>
      </c>
      <c r="M43" s="107" t="s">
        <v>263</v>
      </c>
      <c r="N43" s="107" t="s">
        <v>1080</v>
      </c>
      <c r="O43" s="107" t="s">
        <v>206</v>
      </c>
      <c r="P43" s="107" t="s">
        <v>210</v>
      </c>
      <c r="Q43" s="107">
        <v>31.19</v>
      </c>
    </row>
    <row r="44" spans="1:23" x14ac:dyDescent="0.2">
      <c r="A44" s="107" t="s">
        <v>281</v>
      </c>
      <c r="B44" s="107" t="s">
        <v>981</v>
      </c>
      <c r="C44" s="107" t="s">
        <v>206</v>
      </c>
      <c r="D44" s="107" t="s">
        <v>809</v>
      </c>
      <c r="E44" s="107" t="s">
        <v>220</v>
      </c>
      <c r="F44" s="107" t="s">
        <v>220</v>
      </c>
      <c r="G44" s="107" t="s">
        <v>220</v>
      </c>
      <c r="H44" s="107" t="s">
        <v>220</v>
      </c>
      <c r="I44" s="107" t="s">
        <v>220</v>
      </c>
      <c r="J44" s="107" t="s">
        <v>220</v>
      </c>
      <c r="K44" s="107" t="s">
        <v>220</v>
      </c>
      <c r="M44" s="107" t="s">
        <v>264</v>
      </c>
      <c r="N44" s="107" t="s">
        <v>1080</v>
      </c>
      <c r="O44" s="107" t="s">
        <v>206</v>
      </c>
      <c r="P44" s="107" t="s">
        <v>210</v>
      </c>
      <c r="Q44" s="107">
        <v>34.369999999999997</v>
      </c>
    </row>
    <row r="45" spans="1:23" x14ac:dyDescent="0.2">
      <c r="A45" s="107" t="s">
        <v>281</v>
      </c>
      <c r="B45" s="107" t="s">
        <v>1080</v>
      </c>
      <c r="C45" s="107" t="s">
        <v>206</v>
      </c>
      <c r="D45" s="107" t="s">
        <v>210</v>
      </c>
      <c r="E45" s="107" t="s">
        <v>220</v>
      </c>
      <c r="F45" s="107" t="s">
        <v>220</v>
      </c>
      <c r="G45" s="107" t="s">
        <v>220</v>
      </c>
      <c r="H45" s="107" t="s">
        <v>220</v>
      </c>
      <c r="I45" s="107" t="s">
        <v>220</v>
      </c>
      <c r="J45" s="107" t="s">
        <v>220</v>
      </c>
      <c r="K45" s="107" t="s">
        <v>220</v>
      </c>
      <c r="M45" s="107" t="s">
        <v>265</v>
      </c>
      <c r="N45" s="107" t="s">
        <v>1080</v>
      </c>
      <c r="O45" s="107" t="s">
        <v>206</v>
      </c>
      <c r="P45" s="107" t="s">
        <v>210</v>
      </c>
      <c r="Q45" s="107">
        <v>37.72</v>
      </c>
    </row>
    <row r="46" spans="1:23" x14ac:dyDescent="0.2">
      <c r="A46" s="107" t="s">
        <v>282</v>
      </c>
      <c r="B46" s="107" t="s">
        <v>981</v>
      </c>
      <c r="C46" s="107" t="s">
        <v>206</v>
      </c>
      <c r="D46" s="107" t="s">
        <v>809</v>
      </c>
      <c r="E46" s="107">
        <v>38.67</v>
      </c>
      <c r="F46" s="107" t="s">
        <v>220</v>
      </c>
      <c r="G46" s="107" t="s">
        <v>220</v>
      </c>
      <c r="H46" s="107" t="s">
        <v>220</v>
      </c>
      <c r="I46" s="107" t="s">
        <v>220</v>
      </c>
      <c r="J46" s="107" t="s">
        <v>220</v>
      </c>
      <c r="K46" s="107" t="s">
        <v>220</v>
      </c>
      <c r="M46" s="107" t="s">
        <v>266</v>
      </c>
      <c r="N46" s="107" t="s">
        <v>1080</v>
      </c>
      <c r="O46" s="107" t="s">
        <v>206</v>
      </c>
      <c r="P46" s="107" t="s">
        <v>210</v>
      </c>
      <c r="Q46" s="107" t="s">
        <v>220</v>
      </c>
    </row>
    <row r="47" spans="1:23" x14ac:dyDescent="0.2">
      <c r="A47" s="107" t="s">
        <v>282</v>
      </c>
      <c r="B47" s="107" t="s">
        <v>1080</v>
      </c>
      <c r="C47" s="107" t="s">
        <v>206</v>
      </c>
      <c r="D47" s="107" t="s">
        <v>210</v>
      </c>
      <c r="E47" s="107" t="s">
        <v>220</v>
      </c>
      <c r="F47" s="107" t="s">
        <v>220</v>
      </c>
      <c r="G47" s="107" t="s">
        <v>220</v>
      </c>
      <c r="H47" s="107" t="s">
        <v>220</v>
      </c>
      <c r="I47" s="107" t="s">
        <v>220</v>
      </c>
      <c r="J47" s="107" t="s">
        <v>220</v>
      </c>
      <c r="K47" s="107" t="s">
        <v>220</v>
      </c>
      <c r="M47" s="107" t="s">
        <v>267</v>
      </c>
      <c r="N47" s="107" t="s">
        <v>1080</v>
      </c>
      <c r="O47" s="107" t="s">
        <v>206</v>
      </c>
      <c r="P47" s="107" t="s">
        <v>210</v>
      </c>
      <c r="Q47" s="107" t="s">
        <v>220</v>
      </c>
    </row>
    <row r="48" spans="1:23" x14ac:dyDescent="0.2">
      <c r="A48" s="107" t="s">
        <v>283</v>
      </c>
      <c r="B48" s="107" t="s">
        <v>981</v>
      </c>
      <c r="C48" s="107" t="s">
        <v>206</v>
      </c>
      <c r="D48" s="107" t="s">
        <v>809</v>
      </c>
      <c r="E48" s="107">
        <v>36.68</v>
      </c>
      <c r="F48" s="107" t="s">
        <v>220</v>
      </c>
      <c r="G48" s="107" t="s">
        <v>220</v>
      </c>
      <c r="H48" s="107" t="s">
        <v>220</v>
      </c>
      <c r="I48" s="107" t="s">
        <v>220</v>
      </c>
      <c r="J48" s="107" t="s">
        <v>220</v>
      </c>
      <c r="K48" s="107" t="s">
        <v>220</v>
      </c>
      <c r="M48" s="107" t="s">
        <v>268</v>
      </c>
      <c r="N48" s="107" t="s">
        <v>1080</v>
      </c>
      <c r="O48" s="107" t="s">
        <v>206</v>
      </c>
      <c r="P48" s="107" t="s">
        <v>210</v>
      </c>
      <c r="Q48" s="107" t="s">
        <v>220</v>
      </c>
    </row>
    <row r="49" spans="1:17" x14ac:dyDescent="0.2">
      <c r="A49" s="107" t="s">
        <v>283</v>
      </c>
      <c r="B49" s="107" t="s">
        <v>1080</v>
      </c>
      <c r="C49" s="107" t="s">
        <v>206</v>
      </c>
      <c r="D49" s="107" t="s">
        <v>210</v>
      </c>
      <c r="E49" s="107" t="s">
        <v>220</v>
      </c>
      <c r="F49" s="107" t="s">
        <v>220</v>
      </c>
      <c r="G49" s="107" t="s">
        <v>220</v>
      </c>
      <c r="H49" s="107" t="s">
        <v>220</v>
      </c>
      <c r="I49" s="107" t="s">
        <v>220</v>
      </c>
      <c r="J49" s="107" t="s">
        <v>220</v>
      </c>
      <c r="K49" s="107" t="s">
        <v>220</v>
      </c>
      <c r="M49" s="107" t="s">
        <v>270</v>
      </c>
      <c r="N49" s="107" t="s">
        <v>1080</v>
      </c>
      <c r="O49" s="107" t="s">
        <v>206</v>
      </c>
      <c r="P49" s="107" t="s">
        <v>210</v>
      </c>
      <c r="Q49" s="107" t="s">
        <v>220</v>
      </c>
    </row>
    <row r="50" spans="1:17" x14ac:dyDescent="0.2">
      <c r="A50" s="107" t="s">
        <v>288</v>
      </c>
      <c r="B50" s="107" t="s">
        <v>981</v>
      </c>
      <c r="C50" s="107" t="s">
        <v>206</v>
      </c>
      <c r="D50" s="107" t="s">
        <v>809</v>
      </c>
      <c r="E50" s="107" t="s">
        <v>220</v>
      </c>
      <c r="F50" s="107" t="s">
        <v>220</v>
      </c>
      <c r="G50" s="107" t="s">
        <v>220</v>
      </c>
      <c r="H50" s="107" t="s">
        <v>220</v>
      </c>
      <c r="I50" s="107" t="s">
        <v>220</v>
      </c>
      <c r="J50" s="107" t="s">
        <v>220</v>
      </c>
      <c r="K50" s="107" t="s">
        <v>220</v>
      </c>
      <c r="M50" s="107" t="s">
        <v>276</v>
      </c>
      <c r="N50" s="107" t="s">
        <v>1080</v>
      </c>
      <c r="O50" s="107" t="s">
        <v>206</v>
      </c>
      <c r="P50" s="107" t="s">
        <v>210</v>
      </c>
      <c r="Q50" s="107">
        <v>28.95</v>
      </c>
    </row>
    <row r="51" spans="1:17" x14ac:dyDescent="0.2">
      <c r="A51" s="107" t="s">
        <v>288</v>
      </c>
      <c r="B51" s="107" t="s">
        <v>1080</v>
      </c>
      <c r="C51" s="107" t="s">
        <v>206</v>
      </c>
      <c r="D51" s="107" t="s">
        <v>210</v>
      </c>
      <c r="E51" s="107">
        <v>29.92</v>
      </c>
      <c r="F51" s="107" t="s">
        <v>220</v>
      </c>
      <c r="G51" s="107" t="s">
        <v>220</v>
      </c>
      <c r="H51" s="107" t="s">
        <v>220</v>
      </c>
      <c r="I51" s="107" t="s">
        <v>220</v>
      </c>
      <c r="J51" s="107" t="s">
        <v>220</v>
      </c>
      <c r="K51" s="107" t="s">
        <v>220</v>
      </c>
      <c r="M51" s="107" t="s">
        <v>277</v>
      </c>
      <c r="N51" s="107" t="s">
        <v>1080</v>
      </c>
      <c r="O51" s="107" t="s">
        <v>206</v>
      </c>
      <c r="P51" s="107" t="s">
        <v>210</v>
      </c>
      <c r="Q51" s="107">
        <v>31.22</v>
      </c>
    </row>
    <row r="52" spans="1:17" x14ac:dyDescent="0.2">
      <c r="A52" s="107" t="s">
        <v>289</v>
      </c>
      <c r="B52" s="107" t="s">
        <v>981</v>
      </c>
      <c r="C52" s="107" t="s">
        <v>206</v>
      </c>
      <c r="D52" s="107" t="s">
        <v>809</v>
      </c>
      <c r="E52" s="107">
        <v>42.65</v>
      </c>
      <c r="F52" s="107" t="s">
        <v>220</v>
      </c>
      <c r="G52" s="107" t="s">
        <v>220</v>
      </c>
      <c r="H52" s="107" t="s">
        <v>220</v>
      </c>
      <c r="I52" s="107" t="s">
        <v>220</v>
      </c>
      <c r="J52" s="107" t="s">
        <v>220</v>
      </c>
      <c r="K52" s="107" t="s">
        <v>220</v>
      </c>
      <c r="M52" s="107" t="s">
        <v>278</v>
      </c>
      <c r="N52" s="107" t="s">
        <v>1080</v>
      </c>
      <c r="O52" s="107" t="s">
        <v>206</v>
      </c>
      <c r="P52" s="107" t="s">
        <v>210</v>
      </c>
      <c r="Q52" s="107">
        <v>34.479999999999997</v>
      </c>
    </row>
    <row r="53" spans="1:17" x14ac:dyDescent="0.2">
      <c r="A53" s="107" t="s">
        <v>289</v>
      </c>
      <c r="B53" s="107" t="s">
        <v>1080</v>
      </c>
      <c r="C53" s="107" t="s">
        <v>206</v>
      </c>
      <c r="D53" s="107" t="s">
        <v>210</v>
      </c>
      <c r="E53" s="107">
        <v>30.78</v>
      </c>
      <c r="F53" s="107" t="s">
        <v>220</v>
      </c>
      <c r="G53" s="107" t="s">
        <v>220</v>
      </c>
      <c r="H53" s="107" t="s">
        <v>220</v>
      </c>
      <c r="I53" s="107" t="s">
        <v>220</v>
      </c>
      <c r="J53" s="107" t="s">
        <v>220</v>
      </c>
      <c r="K53" s="107" t="s">
        <v>220</v>
      </c>
      <c r="M53" s="107" t="s">
        <v>279</v>
      </c>
      <c r="N53" s="107" t="s">
        <v>1080</v>
      </c>
      <c r="O53" s="107" t="s">
        <v>206</v>
      </c>
      <c r="P53" s="107" t="s">
        <v>210</v>
      </c>
      <c r="Q53" s="107">
        <v>35.76</v>
      </c>
    </row>
    <row r="54" spans="1:17" x14ac:dyDescent="0.2">
      <c r="A54" s="107" t="s">
        <v>290</v>
      </c>
      <c r="B54" s="107" t="s">
        <v>981</v>
      </c>
      <c r="C54" s="107" t="s">
        <v>206</v>
      </c>
      <c r="D54" s="107" t="s">
        <v>809</v>
      </c>
      <c r="E54" s="107">
        <v>36.869999999999997</v>
      </c>
      <c r="F54" s="107" t="s">
        <v>220</v>
      </c>
      <c r="G54" s="107" t="s">
        <v>220</v>
      </c>
      <c r="H54" s="107" t="s">
        <v>220</v>
      </c>
      <c r="I54" s="107" t="s">
        <v>220</v>
      </c>
      <c r="J54" s="107" t="s">
        <v>220</v>
      </c>
      <c r="K54" s="107" t="s">
        <v>220</v>
      </c>
      <c r="M54" s="107" t="s">
        <v>280</v>
      </c>
      <c r="N54" s="107" t="s">
        <v>1080</v>
      </c>
      <c r="O54" s="107" t="s">
        <v>206</v>
      </c>
      <c r="P54" s="107" t="s">
        <v>210</v>
      </c>
      <c r="Q54" s="107" t="s">
        <v>220</v>
      </c>
    </row>
    <row r="55" spans="1:17" x14ac:dyDescent="0.2">
      <c r="A55" s="107" t="s">
        <v>290</v>
      </c>
      <c r="B55" s="107" t="s">
        <v>1080</v>
      </c>
      <c r="C55" s="107" t="s">
        <v>206</v>
      </c>
      <c r="D55" s="107" t="s">
        <v>210</v>
      </c>
      <c r="E55" s="107">
        <v>34.799999999999997</v>
      </c>
      <c r="F55" s="107" t="s">
        <v>220</v>
      </c>
      <c r="G55" s="107" t="s">
        <v>220</v>
      </c>
      <c r="H55" s="107" t="s">
        <v>220</v>
      </c>
      <c r="I55" s="107" t="s">
        <v>220</v>
      </c>
      <c r="J55" s="107" t="s">
        <v>220</v>
      </c>
      <c r="K55" s="107" t="s">
        <v>220</v>
      </c>
      <c r="M55" s="107" t="s">
        <v>281</v>
      </c>
      <c r="N55" s="107" t="s">
        <v>1080</v>
      </c>
      <c r="O55" s="107" t="s">
        <v>206</v>
      </c>
      <c r="P55" s="107" t="s">
        <v>210</v>
      </c>
      <c r="Q55" s="107" t="s">
        <v>220</v>
      </c>
    </row>
    <row r="56" spans="1:17" x14ac:dyDescent="0.2">
      <c r="A56" s="107" t="s">
        <v>291</v>
      </c>
      <c r="B56" s="107" t="s">
        <v>981</v>
      </c>
      <c r="C56" s="107" t="s">
        <v>206</v>
      </c>
      <c r="D56" s="107" t="s">
        <v>809</v>
      </c>
      <c r="E56" s="107">
        <v>37.06</v>
      </c>
      <c r="F56" s="107" t="s">
        <v>220</v>
      </c>
      <c r="G56" s="107" t="s">
        <v>220</v>
      </c>
      <c r="H56" s="107" t="s">
        <v>220</v>
      </c>
      <c r="I56" s="107" t="s">
        <v>220</v>
      </c>
      <c r="J56" s="107" t="s">
        <v>220</v>
      </c>
      <c r="K56" s="107" t="s">
        <v>220</v>
      </c>
      <c r="M56" s="107" t="s">
        <v>282</v>
      </c>
      <c r="N56" s="107" t="s">
        <v>1080</v>
      </c>
      <c r="O56" s="107" t="s">
        <v>206</v>
      </c>
      <c r="P56" s="107" t="s">
        <v>210</v>
      </c>
      <c r="Q56" s="107" t="s">
        <v>220</v>
      </c>
    </row>
    <row r="57" spans="1:17" x14ac:dyDescent="0.2">
      <c r="A57" s="107" t="s">
        <v>291</v>
      </c>
      <c r="B57" s="107" t="s">
        <v>1080</v>
      </c>
      <c r="C57" s="107" t="s">
        <v>206</v>
      </c>
      <c r="D57" s="107" t="s">
        <v>210</v>
      </c>
      <c r="E57" s="107" t="s">
        <v>220</v>
      </c>
      <c r="F57" s="107" t="s">
        <v>220</v>
      </c>
      <c r="G57" s="107" t="s">
        <v>220</v>
      </c>
      <c r="H57" s="107" t="s">
        <v>220</v>
      </c>
      <c r="I57" s="107" t="s">
        <v>220</v>
      </c>
      <c r="J57" s="107" t="s">
        <v>220</v>
      </c>
      <c r="K57" s="107" t="s">
        <v>220</v>
      </c>
      <c r="M57" s="107" t="s">
        <v>283</v>
      </c>
      <c r="N57" s="107" t="s">
        <v>1080</v>
      </c>
      <c r="O57" s="107" t="s">
        <v>206</v>
      </c>
      <c r="P57" s="107" t="s">
        <v>210</v>
      </c>
      <c r="Q57" s="107" t="s">
        <v>220</v>
      </c>
    </row>
    <row r="58" spans="1:17" x14ac:dyDescent="0.2">
      <c r="A58" s="107" t="s">
        <v>292</v>
      </c>
      <c r="B58" s="107" t="s">
        <v>981</v>
      </c>
      <c r="C58" s="107" t="s">
        <v>206</v>
      </c>
      <c r="D58" s="107" t="s">
        <v>809</v>
      </c>
      <c r="E58" s="107" t="s">
        <v>220</v>
      </c>
      <c r="F58" s="107" t="s">
        <v>220</v>
      </c>
      <c r="G58" s="107" t="s">
        <v>220</v>
      </c>
      <c r="H58" s="107" t="s">
        <v>220</v>
      </c>
      <c r="I58" s="107" t="s">
        <v>220</v>
      </c>
      <c r="J58" s="107" t="s">
        <v>220</v>
      </c>
      <c r="K58" s="107" t="s">
        <v>220</v>
      </c>
      <c r="M58" s="107" t="s">
        <v>288</v>
      </c>
      <c r="N58" s="107" t="s">
        <v>1080</v>
      </c>
      <c r="O58" s="107" t="s">
        <v>206</v>
      </c>
      <c r="P58" s="107" t="s">
        <v>210</v>
      </c>
      <c r="Q58" s="107">
        <v>29.92</v>
      </c>
    </row>
    <row r="59" spans="1:17" x14ac:dyDescent="0.2">
      <c r="A59" s="107" t="s">
        <v>292</v>
      </c>
      <c r="B59" s="107" t="s">
        <v>1080</v>
      </c>
      <c r="C59" s="107" t="s">
        <v>206</v>
      </c>
      <c r="D59" s="107" t="s">
        <v>210</v>
      </c>
      <c r="E59" s="107" t="s">
        <v>220</v>
      </c>
      <c r="F59" s="107" t="s">
        <v>220</v>
      </c>
      <c r="G59" s="107" t="s">
        <v>220</v>
      </c>
      <c r="H59" s="107" t="s">
        <v>220</v>
      </c>
      <c r="I59" s="107" t="s">
        <v>220</v>
      </c>
      <c r="J59" s="107" t="s">
        <v>220</v>
      </c>
      <c r="K59" s="107" t="s">
        <v>220</v>
      </c>
      <c r="M59" s="107" t="s">
        <v>289</v>
      </c>
      <c r="N59" s="107" t="s">
        <v>1080</v>
      </c>
      <c r="O59" s="107" t="s">
        <v>206</v>
      </c>
      <c r="P59" s="107" t="s">
        <v>210</v>
      </c>
      <c r="Q59" s="107">
        <v>30.78</v>
      </c>
    </row>
    <row r="60" spans="1:17" x14ac:dyDescent="0.2">
      <c r="A60" s="107" t="s">
        <v>293</v>
      </c>
      <c r="B60" s="107" t="s">
        <v>981</v>
      </c>
      <c r="C60" s="107" t="s">
        <v>206</v>
      </c>
      <c r="D60" s="107" t="s">
        <v>809</v>
      </c>
      <c r="E60" s="107">
        <v>37.229999999999997</v>
      </c>
      <c r="F60" s="107" t="s">
        <v>220</v>
      </c>
      <c r="G60" s="107" t="s">
        <v>220</v>
      </c>
      <c r="H60" s="107" t="s">
        <v>220</v>
      </c>
      <c r="I60" s="107" t="s">
        <v>220</v>
      </c>
      <c r="J60" s="107" t="s">
        <v>220</v>
      </c>
      <c r="K60" s="107" t="s">
        <v>220</v>
      </c>
      <c r="M60" s="107" t="s">
        <v>290</v>
      </c>
      <c r="N60" s="107" t="s">
        <v>1080</v>
      </c>
      <c r="O60" s="107" t="s">
        <v>206</v>
      </c>
      <c r="P60" s="107" t="s">
        <v>210</v>
      </c>
      <c r="Q60" s="107">
        <v>34.799999999999997</v>
      </c>
    </row>
    <row r="61" spans="1:17" x14ac:dyDescent="0.2">
      <c r="A61" s="107" t="s">
        <v>293</v>
      </c>
      <c r="B61" s="107" t="s">
        <v>1080</v>
      </c>
      <c r="C61" s="107" t="s">
        <v>206</v>
      </c>
      <c r="D61" s="107" t="s">
        <v>210</v>
      </c>
      <c r="E61" s="107" t="s">
        <v>220</v>
      </c>
      <c r="F61" s="107" t="s">
        <v>220</v>
      </c>
      <c r="G61" s="107" t="s">
        <v>220</v>
      </c>
      <c r="H61" s="107" t="s">
        <v>220</v>
      </c>
      <c r="I61" s="107" t="s">
        <v>220</v>
      </c>
      <c r="J61" s="107" t="s">
        <v>220</v>
      </c>
      <c r="K61" s="107" t="s">
        <v>220</v>
      </c>
      <c r="M61" s="107" t="s">
        <v>291</v>
      </c>
      <c r="N61" s="107" t="s">
        <v>1080</v>
      </c>
      <c r="O61" s="107" t="s">
        <v>206</v>
      </c>
      <c r="P61" s="107" t="s">
        <v>210</v>
      </c>
      <c r="Q61" s="107" t="s">
        <v>220</v>
      </c>
    </row>
    <row r="62" spans="1:17" x14ac:dyDescent="0.2">
      <c r="A62" s="107" t="s">
        <v>294</v>
      </c>
      <c r="B62" s="107" t="s">
        <v>981</v>
      </c>
      <c r="C62" s="107" t="s">
        <v>206</v>
      </c>
      <c r="D62" s="107" t="s">
        <v>809</v>
      </c>
      <c r="E62" s="107" t="s">
        <v>220</v>
      </c>
      <c r="F62" s="107" t="s">
        <v>220</v>
      </c>
      <c r="G62" s="107" t="s">
        <v>220</v>
      </c>
      <c r="H62" s="107" t="s">
        <v>220</v>
      </c>
      <c r="I62" s="107" t="s">
        <v>220</v>
      </c>
      <c r="J62" s="107" t="s">
        <v>220</v>
      </c>
      <c r="K62" s="107" t="s">
        <v>220</v>
      </c>
      <c r="M62" s="107" t="s">
        <v>292</v>
      </c>
      <c r="N62" s="107" t="s">
        <v>1080</v>
      </c>
      <c r="O62" s="107" t="s">
        <v>206</v>
      </c>
      <c r="P62" s="107" t="s">
        <v>210</v>
      </c>
      <c r="Q62" s="107" t="s">
        <v>220</v>
      </c>
    </row>
    <row r="63" spans="1:17" x14ac:dyDescent="0.2">
      <c r="A63" s="107" t="s">
        <v>294</v>
      </c>
      <c r="B63" s="107" t="s">
        <v>1080</v>
      </c>
      <c r="C63" s="107" t="s">
        <v>206</v>
      </c>
      <c r="D63" s="107" t="s">
        <v>210</v>
      </c>
      <c r="E63" s="107" t="s">
        <v>220</v>
      </c>
      <c r="F63" s="107" t="s">
        <v>220</v>
      </c>
      <c r="G63" s="107" t="s">
        <v>220</v>
      </c>
      <c r="H63" s="107" t="s">
        <v>220</v>
      </c>
      <c r="I63" s="107" t="s">
        <v>220</v>
      </c>
      <c r="J63" s="107" t="s">
        <v>220</v>
      </c>
      <c r="K63" s="107" t="s">
        <v>220</v>
      </c>
      <c r="M63" s="107" t="s">
        <v>293</v>
      </c>
      <c r="N63" s="107" t="s">
        <v>1080</v>
      </c>
      <c r="O63" s="107" t="s">
        <v>206</v>
      </c>
      <c r="P63" s="107" t="s">
        <v>210</v>
      </c>
      <c r="Q63" s="107" t="s">
        <v>220</v>
      </c>
    </row>
    <row r="64" spans="1:17" x14ac:dyDescent="0.2">
      <c r="A64" s="107" t="s">
        <v>295</v>
      </c>
      <c r="B64" s="107" t="s">
        <v>981</v>
      </c>
      <c r="C64" s="107" t="s">
        <v>206</v>
      </c>
      <c r="D64" s="107" t="s">
        <v>809</v>
      </c>
      <c r="E64" s="107">
        <v>36.700000000000003</v>
      </c>
      <c r="F64" s="107" t="s">
        <v>220</v>
      </c>
      <c r="G64" s="107" t="s">
        <v>220</v>
      </c>
      <c r="H64" s="107" t="s">
        <v>220</v>
      </c>
      <c r="I64" s="107" t="s">
        <v>220</v>
      </c>
      <c r="J64" s="107" t="s">
        <v>220</v>
      </c>
      <c r="K64" s="107" t="s">
        <v>220</v>
      </c>
      <c r="M64" s="107" t="s">
        <v>294</v>
      </c>
      <c r="N64" s="107" t="s">
        <v>1080</v>
      </c>
      <c r="O64" s="107" t="s">
        <v>206</v>
      </c>
      <c r="P64" s="107" t="s">
        <v>210</v>
      </c>
      <c r="Q64" s="107" t="s">
        <v>220</v>
      </c>
    </row>
    <row r="65" spans="1:17" x14ac:dyDescent="0.2">
      <c r="A65" s="107" t="s">
        <v>295</v>
      </c>
      <c r="B65" s="107" t="s">
        <v>1080</v>
      </c>
      <c r="C65" s="107" t="s">
        <v>206</v>
      </c>
      <c r="D65" s="107" t="s">
        <v>210</v>
      </c>
      <c r="E65" s="107" t="s">
        <v>220</v>
      </c>
      <c r="F65" s="107" t="s">
        <v>220</v>
      </c>
      <c r="G65" s="107" t="s">
        <v>220</v>
      </c>
      <c r="H65" s="107" t="s">
        <v>220</v>
      </c>
      <c r="I65" s="107" t="s">
        <v>220</v>
      </c>
      <c r="J65" s="107" t="s">
        <v>220</v>
      </c>
      <c r="K65" s="107" t="s">
        <v>220</v>
      </c>
      <c r="M65" s="107" t="s">
        <v>295</v>
      </c>
      <c r="N65" s="107" t="s">
        <v>1080</v>
      </c>
      <c r="O65" s="107" t="s">
        <v>206</v>
      </c>
      <c r="P65" s="107" t="s">
        <v>210</v>
      </c>
      <c r="Q65" s="107" t="s">
        <v>220</v>
      </c>
    </row>
  </sheetData>
  <pageMargins left="0.75" right="0.75" top="1" bottom="1" header="0.5" footer="0.5"/>
  <pageSetup orientation="portrait" horizontalDpi="300" verticalDpi="300"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6295C-E1F9-4104-9A05-4C7C3C998323}">
  <sheetPr codeName="Sheet31"/>
  <dimension ref="A1:J208"/>
  <sheetViews>
    <sheetView topLeftCell="A125" zoomScale="85" zoomScaleNormal="85" workbookViewId="0">
      <selection activeCell="C145" sqref="C145:G146"/>
    </sheetView>
  </sheetViews>
  <sheetFormatPr defaultRowHeight="15" x14ac:dyDescent="0.25"/>
  <cols>
    <col min="3" max="3" width="21.85546875" customWidth="1"/>
  </cols>
  <sheetData>
    <row r="1" spans="1:7" x14ac:dyDescent="0.25">
      <c r="A1" t="s">
        <v>1155</v>
      </c>
    </row>
    <row r="2" spans="1:7" x14ac:dyDescent="0.25">
      <c r="A2" t="s">
        <v>1156</v>
      </c>
    </row>
    <row r="3" spans="1:7" x14ac:dyDescent="0.25">
      <c r="A3" t="s">
        <v>1157</v>
      </c>
    </row>
    <row r="4" spans="1:7" x14ac:dyDescent="0.25">
      <c r="A4" t="s">
        <v>1159</v>
      </c>
      <c r="B4" s="89">
        <v>100000</v>
      </c>
      <c r="C4" t="s">
        <v>1158</v>
      </c>
      <c r="D4" t="s">
        <v>1173</v>
      </c>
    </row>
    <row r="5" spans="1:7" x14ac:dyDescent="0.25">
      <c r="A5" t="s">
        <v>1160</v>
      </c>
      <c r="B5" s="89">
        <v>10000</v>
      </c>
      <c r="C5" t="s">
        <v>1169</v>
      </c>
      <c r="D5" t="s">
        <v>1175</v>
      </c>
    </row>
    <row r="6" spans="1:7" x14ac:dyDescent="0.25">
      <c r="A6" t="s">
        <v>1161</v>
      </c>
      <c r="B6" s="89">
        <v>1000</v>
      </c>
      <c r="C6" s="165" t="s">
        <v>1169</v>
      </c>
      <c r="D6" t="s">
        <v>1174</v>
      </c>
    </row>
    <row r="7" spans="1:7" x14ac:dyDescent="0.25">
      <c r="A7" s="165" t="s">
        <v>1162</v>
      </c>
      <c r="B7" s="89">
        <v>100</v>
      </c>
      <c r="C7" s="165" t="s">
        <v>1169</v>
      </c>
      <c r="D7" t="s">
        <v>1176</v>
      </c>
    </row>
    <row r="8" spans="1:7" x14ac:dyDescent="0.25">
      <c r="A8" s="165" t="s">
        <v>1163</v>
      </c>
      <c r="B8" s="89">
        <v>10</v>
      </c>
      <c r="C8" s="165" t="s">
        <v>1169</v>
      </c>
      <c r="D8" t="s">
        <v>1177</v>
      </c>
    </row>
    <row r="9" spans="1:7" x14ac:dyDescent="0.25">
      <c r="A9" s="165" t="s">
        <v>1164</v>
      </c>
      <c r="B9" s="89">
        <v>1</v>
      </c>
      <c r="C9" s="165" t="s">
        <v>1169</v>
      </c>
      <c r="D9" t="s">
        <v>1178</v>
      </c>
    </row>
    <row r="10" spans="1:7" x14ac:dyDescent="0.25">
      <c r="A10" s="165" t="s">
        <v>1165</v>
      </c>
      <c r="B10" t="s">
        <v>35</v>
      </c>
      <c r="C10" t="s">
        <v>1167</v>
      </c>
      <c r="D10" t="s">
        <v>1179</v>
      </c>
    </row>
    <row r="11" spans="1:7" x14ac:dyDescent="0.25">
      <c r="A11" s="165" t="s">
        <v>1166</v>
      </c>
      <c r="B11" t="s">
        <v>915</v>
      </c>
      <c r="D11" t="s">
        <v>915</v>
      </c>
    </row>
    <row r="13" spans="1:7" x14ac:dyDescent="0.25">
      <c r="A13" t="s">
        <v>1168</v>
      </c>
    </row>
    <row r="14" spans="1:7" x14ac:dyDescent="0.25">
      <c r="A14" t="s">
        <v>1170</v>
      </c>
    </row>
    <row r="15" spans="1:7" s="165" customFormat="1" x14ac:dyDescent="0.25"/>
    <row r="16" spans="1:7" x14ac:dyDescent="0.25">
      <c r="A16" t="s">
        <v>1047</v>
      </c>
      <c r="B16" s="165" t="s">
        <v>198</v>
      </c>
      <c r="C16" t="s">
        <v>1180</v>
      </c>
      <c r="D16" s="165" t="s">
        <v>199</v>
      </c>
      <c r="E16" s="165" t="s">
        <v>1172</v>
      </c>
      <c r="F16" s="165" t="s">
        <v>201</v>
      </c>
      <c r="G16" s="165" t="s">
        <v>202</v>
      </c>
    </row>
    <row r="17" spans="1:7" x14ac:dyDescent="0.25">
      <c r="A17" t="s">
        <v>982</v>
      </c>
      <c r="B17" s="165" t="s">
        <v>212</v>
      </c>
      <c r="C17" s="165" t="s">
        <v>1173</v>
      </c>
      <c r="D17" s="165" t="s">
        <v>981</v>
      </c>
      <c r="E17" s="165" t="s">
        <v>810</v>
      </c>
      <c r="F17" s="165" t="s">
        <v>809</v>
      </c>
      <c r="G17" s="165">
        <v>38.79</v>
      </c>
    </row>
    <row r="18" spans="1:7" x14ac:dyDescent="0.25">
      <c r="A18" s="165" t="s">
        <v>982</v>
      </c>
      <c r="B18" s="165" t="s">
        <v>212</v>
      </c>
      <c r="C18" s="165" t="s">
        <v>1173</v>
      </c>
      <c r="D18" s="165" t="s">
        <v>1080</v>
      </c>
      <c r="E18" s="165" t="s">
        <v>810</v>
      </c>
      <c r="F18" s="165" t="s">
        <v>210</v>
      </c>
      <c r="G18" s="165">
        <v>23.45</v>
      </c>
    </row>
    <row r="19" spans="1:7" x14ac:dyDescent="0.25">
      <c r="A19" s="165" t="s">
        <v>982</v>
      </c>
      <c r="B19" s="165" t="s">
        <v>213</v>
      </c>
      <c r="C19" s="165" t="s">
        <v>1175</v>
      </c>
      <c r="D19" s="165" t="s">
        <v>981</v>
      </c>
      <c r="E19" s="165" t="s">
        <v>810</v>
      </c>
      <c r="F19" s="165" t="s">
        <v>809</v>
      </c>
      <c r="G19" s="165">
        <v>36.53</v>
      </c>
    </row>
    <row r="20" spans="1:7" x14ac:dyDescent="0.25">
      <c r="A20" s="165" t="s">
        <v>982</v>
      </c>
      <c r="B20" s="165" t="s">
        <v>213</v>
      </c>
      <c r="C20" s="165" t="s">
        <v>1175</v>
      </c>
      <c r="D20" s="165" t="s">
        <v>1080</v>
      </c>
      <c r="E20" s="165" t="s">
        <v>810</v>
      </c>
      <c r="F20" s="165" t="s">
        <v>210</v>
      </c>
      <c r="G20" s="165">
        <v>25.84</v>
      </c>
    </row>
    <row r="21" spans="1:7" x14ac:dyDescent="0.25">
      <c r="A21" s="165" t="s">
        <v>982</v>
      </c>
      <c r="B21" s="165" t="s">
        <v>214</v>
      </c>
      <c r="C21" s="165" t="s">
        <v>1174</v>
      </c>
      <c r="D21" s="165" t="s">
        <v>981</v>
      </c>
      <c r="E21" s="165" t="s">
        <v>810</v>
      </c>
      <c r="F21" s="165" t="s">
        <v>809</v>
      </c>
      <c r="G21" s="165">
        <v>36.700000000000003</v>
      </c>
    </row>
    <row r="22" spans="1:7" x14ac:dyDescent="0.25">
      <c r="A22" s="165" t="s">
        <v>982</v>
      </c>
      <c r="B22" s="165" t="s">
        <v>214</v>
      </c>
      <c r="C22" s="165" t="s">
        <v>1174</v>
      </c>
      <c r="D22" s="165" t="s">
        <v>1080</v>
      </c>
      <c r="E22" s="165" t="s">
        <v>810</v>
      </c>
      <c r="F22" s="165" t="s">
        <v>210</v>
      </c>
      <c r="G22" s="165">
        <v>29.29</v>
      </c>
    </row>
    <row r="23" spans="1:7" x14ac:dyDescent="0.25">
      <c r="A23" s="165" t="s">
        <v>982</v>
      </c>
      <c r="B23" s="165" t="s">
        <v>215</v>
      </c>
      <c r="C23" s="165" t="s">
        <v>1176</v>
      </c>
      <c r="D23" s="165" t="s">
        <v>981</v>
      </c>
      <c r="E23" s="165" t="s">
        <v>810</v>
      </c>
      <c r="F23" s="165" t="s">
        <v>809</v>
      </c>
      <c r="G23" s="165">
        <v>36.67</v>
      </c>
    </row>
    <row r="24" spans="1:7" x14ac:dyDescent="0.25">
      <c r="A24" s="165" t="s">
        <v>982</v>
      </c>
      <c r="B24" s="165" t="s">
        <v>215</v>
      </c>
      <c r="C24" s="165" t="s">
        <v>1176</v>
      </c>
      <c r="D24" s="165" t="s">
        <v>1080</v>
      </c>
      <c r="E24" s="165" t="s">
        <v>810</v>
      </c>
      <c r="F24" s="165" t="s">
        <v>210</v>
      </c>
      <c r="G24" s="165">
        <v>34.9</v>
      </c>
    </row>
    <row r="25" spans="1:7" x14ac:dyDescent="0.25">
      <c r="A25" s="165" t="s">
        <v>982</v>
      </c>
      <c r="B25" s="165" t="s">
        <v>216</v>
      </c>
      <c r="C25" s="165" t="s">
        <v>1177</v>
      </c>
      <c r="D25" s="165" t="s">
        <v>981</v>
      </c>
      <c r="E25" s="165" t="s">
        <v>810</v>
      </c>
      <c r="F25" s="165" t="s">
        <v>809</v>
      </c>
      <c r="G25" s="165" t="s">
        <v>220</v>
      </c>
    </row>
    <row r="26" spans="1:7" x14ac:dyDescent="0.25">
      <c r="A26" s="165" t="s">
        <v>982</v>
      </c>
      <c r="B26" s="165" t="s">
        <v>216</v>
      </c>
      <c r="C26" s="165" t="s">
        <v>1177</v>
      </c>
      <c r="D26" s="165" t="s">
        <v>1080</v>
      </c>
      <c r="E26" s="165" t="s">
        <v>810</v>
      </c>
      <c r="F26" s="165" t="s">
        <v>210</v>
      </c>
      <c r="G26" s="165" t="s">
        <v>220</v>
      </c>
    </row>
    <row r="27" spans="1:7" x14ac:dyDescent="0.25">
      <c r="A27" s="165" t="s">
        <v>982</v>
      </c>
      <c r="B27" s="165" t="s">
        <v>217</v>
      </c>
      <c r="C27" s="165" t="s">
        <v>1178</v>
      </c>
      <c r="D27" s="165" t="s">
        <v>981</v>
      </c>
      <c r="E27" s="165" t="s">
        <v>810</v>
      </c>
      <c r="F27" s="165" t="s">
        <v>809</v>
      </c>
      <c r="G27" s="165" t="s">
        <v>220</v>
      </c>
    </row>
    <row r="28" spans="1:7" x14ac:dyDescent="0.25">
      <c r="A28" s="165" t="s">
        <v>982</v>
      </c>
      <c r="B28" s="165" t="s">
        <v>217</v>
      </c>
      <c r="C28" s="165" t="s">
        <v>1178</v>
      </c>
      <c r="D28" s="165" t="s">
        <v>1080</v>
      </c>
      <c r="E28" s="165" t="s">
        <v>810</v>
      </c>
      <c r="F28" s="165" t="s">
        <v>210</v>
      </c>
      <c r="G28" s="165" t="s">
        <v>220</v>
      </c>
    </row>
    <row r="29" spans="1:7" x14ac:dyDescent="0.25">
      <c r="A29" s="165" t="s">
        <v>982</v>
      </c>
      <c r="B29" s="165" t="s">
        <v>218</v>
      </c>
      <c r="C29" s="165" t="s">
        <v>1179</v>
      </c>
      <c r="D29" s="165" t="s">
        <v>981</v>
      </c>
      <c r="E29" s="165" t="s">
        <v>810</v>
      </c>
      <c r="F29" s="165" t="s">
        <v>809</v>
      </c>
      <c r="G29" s="165" t="s">
        <v>220</v>
      </c>
    </row>
    <row r="30" spans="1:7" x14ac:dyDescent="0.25">
      <c r="A30" s="165" t="s">
        <v>982</v>
      </c>
      <c r="B30" s="165" t="s">
        <v>218</v>
      </c>
      <c r="C30" s="165" t="s">
        <v>1179</v>
      </c>
      <c r="D30" s="165" t="s">
        <v>1080</v>
      </c>
      <c r="E30" s="165" t="s">
        <v>810</v>
      </c>
      <c r="F30" s="165" t="s">
        <v>210</v>
      </c>
      <c r="G30" s="165">
        <v>27.49</v>
      </c>
    </row>
    <row r="31" spans="1:7" x14ac:dyDescent="0.25">
      <c r="A31" s="165" t="s">
        <v>982</v>
      </c>
      <c r="B31" s="165" t="s">
        <v>219</v>
      </c>
      <c r="C31" s="165" t="s">
        <v>915</v>
      </c>
      <c r="D31" s="165" t="s">
        <v>981</v>
      </c>
      <c r="E31" s="165" t="s">
        <v>810</v>
      </c>
      <c r="F31" s="165" t="s">
        <v>809</v>
      </c>
      <c r="G31" s="165">
        <v>36.26</v>
      </c>
    </row>
    <row r="32" spans="1:7" x14ac:dyDescent="0.25">
      <c r="A32" s="165" t="s">
        <v>982</v>
      </c>
      <c r="B32" s="165" t="s">
        <v>219</v>
      </c>
      <c r="C32" s="165" t="s">
        <v>915</v>
      </c>
      <c r="D32" s="165" t="s">
        <v>1080</v>
      </c>
      <c r="E32" s="165" t="s">
        <v>810</v>
      </c>
      <c r="F32" s="165" t="s">
        <v>210</v>
      </c>
      <c r="G32" s="165" t="s">
        <v>220</v>
      </c>
    </row>
    <row r="33" spans="1:7" x14ac:dyDescent="0.25">
      <c r="A33" s="165" t="s">
        <v>982</v>
      </c>
      <c r="B33" s="165" t="s">
        <v>235</v>
      </c>
      <c r="C33" s="165" t="s">
        <v>1173</v>
      </c>
      <c r="D33" s="165" t="s">
        <v>981</v>
      </c>
      <c r="E33" s="165" t="s">
        <v>209</v>
      </c>
      <c r="F33" s="165" t="s">
        <v>809</v>
      </c>
      <c r="G33" s="165">
        <v>34.71</v>
      </c>
    </row>
    <row r="34" spans="1:7" x14ac:dyDescent="0.25">
      <c r="A34" s="165" t="s">
        <v>982</v>
      </c>
      <c r="B34" s="165" t="s">
        <v>235</v>
      </c>
      <c r="C34" s="165" t="s">
        <v>1173</v>
      </c>
      <c r="D34" s="165" t="s">
        <v>1080</v>
      </c>
      <c r="E34" s="165" t="s">
        <v>209</v>
      </c>
      <c r="F34" s="165" t="s">
        <v>210</v>
      </c>
      <c r="G34" s="165">
        <v>20.440000000000001</v>
      </c>
    </row>
    <row r="35" spans="1:7" x14ac:dyDescent="0.25">
      <c r="A35" s="165" t="s">
        <v>982</v>
      </c>
      <c r="B35" s="165" t="s">
        <v>236</v>
      </c>
      <c r="C35" s="165" t="s">
        <v>1175</v>
      </c>
      <c r="D35" s="165" t="s">
        <v>981</v>
      </c>
      <c r="E35" s="165" t="s">
        <v>209</v>
      </c>
      <c r="F35" s="165" t="s">
        <v>809</v>
      </c>
      <c r="G35" s="165">
        <v>35.79</v>
      </c>
    </row>
    <row r="36" spans="1:7" x14ac:dyDescent="0.25">
      <c r="A36" s="165" t="s">
        <v>982</v>
      </c>
      <c r="B36" s="165" t="s">
        <v>236</v>
      </c>
      <c r="C36" s="165" t="s">
        <v>1175</v>
      </c>
      <c r="D36" s="165" t="s">
        <v>1080</v>
      </c>
      <c r="E36" s="165" t="s">
        <v>209</v>
      </c>
      <c r="F36" s="165" t="s">
        <v>210</v>
      </c>
      <c r="G36" s="165">
        <v>23.74</v>
      </c>
    </row>
    <row r="37" spans="1:7" x14ac:dyDescent="0.25">
      <c r="A37" s="165" t="s">
        <v>982</v>
      </c>
      <c r="B37" s="165" t="s">
        <v>237</v>
      </c>
      <c r="C37" s="165" t="s">
        <v>1174</v>
      </c>
      <c r="D37" s="165" t="s">
        <v>981</v>
      </c>
      <c r="E37" s="165" t="s">
        <v>209</v>
      </c>
      <c r="F37" s="165" t="s">
        <v>809</v>
      </c>
      <c r="G37" s="165">
        <v>33.880000000000003</v>
      </c>
    </row>
    <row r="38" spans="1:7" x14ac:dyDescent="0.25">
      <c r="A38" s="165" t="s">
        <v>982</v>
      </c>
      <c r="B38" s="165" t="s">
        <v>237</v>
      </c>
      <c r="C38" s="165" t="s">
        <v>1174</v>
      </c>
      <c r="D38" s="165" t="s">
        <v>1080</v>
      </c>
      <c r="E38" s="165" t="s">
        <v>209</v>
      </c>
      <c r="F38" s="165" t="s">
        <v>210</v>
      </c>
      <c r="G38" s="165">
        <v>27.54</v>
      </c>
    </row>
    <row r="39" spans="1:7" x14ac:dyDescent="0.25">
      <c r="A39" s="165" t="s">
        <v>982</v>
      </c>
      <c r="B39" s="165" t="s">
        <v>238</v>
      </c>
      <c r="C39" s="165" t="s">
        <v>1176</v>
      </c>
      <c r="D39" s="165" t="s">
        <v>981</v>
      </c>
      <c r="E39" s="165" t="s">
        <v>209</v>
      </c>
      <c r="F39" s="165" t="s">
        <v>809</v>
      </c>
      <c r="G39" s="165">
        <v>31.58</v>
      </c>
    </row>
    <row r="40" spans="1:7" x14ac:dyDescent="0.25">
      <c r="A40" s="165" t="s">
        <v>982</v>
      </c>
      <c r="B40" s="165" t="s">
        <v>238</v>
      </c>
      <c r="C40" s="165" t="s">
        <v>1176</v>
      </c>
      <c r="D40" s="165" t="s">
        <v>1080</v>
      </c>
      <c r="E40" s="165" t="s">
        <v>209</v>
      </c>
      <c r="F40" s="165" t="s">
        <v>210</v>
      </c>
      <c r="G40" s="165">
        <v>34.6</v>
      </c>
    </row>
    <row r="41" spans="1:7" x14ac:dyDescent="0.25">
      <c r="A41" s="165" t="s">
        <v>982</v>
      </c>
      <c r="B41" s="165" t="s">
        <v>239</v>
      </c>
      <c r="C41" s="165" t="s">
        <v>1177</v>
      </c>
      <c r="D41" s="165" t="s">
        <v>981</v>
      </c>
      <c r="E41" s="165" t="s">
        <v>209</v>
      </c>
      <c r="F41" s="165" t="s">
        <v>809</v>
      </c>
      <c r="G41" s="165">
        <v>31.6</v>
      </c>
    </row>
    <row r="42" spans="1:7" x14ac:dyDescent="0.25">
      <c r="A42" s="165" t="s">
        <v>982</v>
      </c>
      <c r="B42" s="165" t="s">
        <v>239</v>
      </c>
      <c r="C42" s="165" t="s">
        <v>1177</v>
      </c>
      <c r="D42" s="165" t="s">
        <v>1080</v>
      </c>
      <c r="E42" s="165" t="s">
        <v>209</v>
      </c>
      <c r="F42" s="165" t="s">
        <v>210</v>
      </c>
      <c r="G42" s="165" t="s">
        <v>220</v>
      </c>
    </row>
    <row r="43" spans="1:7" x14ac:dyDescent="0.25">
      <c r="A43" s="165" t="s">
        <v>982</v>
      </c>
      <c r="B43" s="165" t="s">
        <v>242</v>
      </c>
      <c r="C43" s="165" t="s">
        <v>1178</v>
      </c>
      <c r="D43" s="165" t="s">
        <v>981</v>
      </c>
      <c r="E43" s="165" t="s">
        <v>209</v>
      </c>
      <c r="F43" s="165" t="s">
        <v>809</v>
      </c>
      <c r="G43" s="165">
        <v>31</v>
      </c>
    </row>
    <row r="44" spans="1:7" x14ac:dyDescent="0.25">
      <c r="A44" s="165" t="s">
        <v>982</v>
      </c>
      <c r="B44" s="165" t="s">
        <v>242</v>
      </c>
      <c r="C44" s="165" t="s">
        <v>1178</v>
      </c>
      <c r="D44" s="165" t="s">
        <v>1080</v>
      </c>
      <c r="E44" s="165" t="s">
        <v>209</v>
      </c>
      <c r="F44" s="165" t="s">
        <v>210</v>
      </c>
      <c r="G44" s="165" t="s">
        <v>220</v>
      </c>
    </row>
    <row r="45" spans="1:7" x14ac:dyDescent="0.25">
      <c r="A45" s="165" t="s">
        <v>982</v>
      </c>
      <c r="B45" s="165" t="s">
        <v>243</v>
      </c>
      <c r="C45" s="165" t="s">
        <v>1179</v>
      </c>
      <c r="D45" s="165" t="s">
        <v>981</v>
      </c>
      <c r="E45" s="165" t="s">
        <v>209</v>
      </c>
      <c r="F45" s="165" t="s">
        <v>809</v>
      </c>
      <c r="G45" s="165">
        <v>33.659999999999997</v>
      </c>
    </row>
    <row r="46" spans="1:7" x14ac:dyDescent="0.25">
      <c r="A46" s="165" t="s">
        <v>982</v>
      </c>
      <c r="B46" s="165" t="s">
        <v>243</v>
      </c>
      <c r="C46" s="165" t="s">
        <v>1179</v>
      </c>
      <c r="D46" s="165" t="s">
        <v>1080</v>
      </c>
      <c r="E46" s="165" t="s">
        <v>209</v>
      </c>
      <c r="F46" s="165" t="s">
        <v>210</v>
      </c>
      <c r="G46" s="165">
        <v>25.6</v>
      </c>
    </row>
    <row r="47" spans="1:7" x14ac:dyDescent="0.25">
      <c r="A47" s="165" t="s">
        <v>982</v>
      </c>
      <c r="B47" s="165" t="s">
        <v>244</v>
      </c>
      <c r="C47" s="165" t="s">
        <v>915</v>
      </c>
      <c r="D47" s="165" t="s">
        <v>981</v>
      </c>
      <c r="E47" s="165" t="s">
        <v>209</v>
      </c>
      <c r="F47" s="165" t="s">
        <v>809</v>
      </c>
      <c r="G47" s="165">
        <v>31.07</v>
      </c>
    </row>
    <row r="48" spans="1:7" x14ac:dyDescent="0.25">
      <c r="A48" s="165" t="s">
        <v>982</v>
      </c>
      <c r="B48" s="165" t="s">
        <v>244</v>
      </c>
      <c r="C48" s="165" t="s">
        <v>915</v>
      </c>
      <c r="D48" s="165" t="s">
        <v>1080</v>
      </c>
      <c r="E48" s="165" t="s">
        <v>209</v>
      </c>
      <c r="F48" s="165" t="s">
        <v>210</v>
      </c>
      <c r="G48" s="165" t="s">
        <v>220</v>
      </c>
    </row>
    <row r="49" spans="1:7" x14ac:dyDescent="0.25">
      <c r="A49" s="165" t="s">
        <v>982</v>
      </c>
      <c r="B49" s="165" t="s">
        <v>250</v>
      </c>
      <c r="C49" s="165" t="s">
        <v>1173</v>
      </c>
      <c r="D49" s="165" t="s">
        <v>981</v>
      </c>
      <c r="E49" s="165" t="s">
        <v>810</v>
      </c>
      <c r="F49" s="165" t="s">
        <v>809</v>
      </c>
      <c r="G49" s="165" t="s">
        <v>220</v>
      </c>
    </row>
    <row r="50" spans="1:7" x14ac:dyDescent="0.25">
      <c r="A50" s="165" t="s">
        <v>982</v>
      </c>
      <c r="B50" s="165" t="s">
        <v>250</v>
      </c>
      <c r="C50" s="165" t="s">
        <v>1173</v>
      </c>
      <c r="D50" s="165" t="s">
        <v>1080</v>
      </c>
      <c r="E50" s="165" t="s">
        <v>810</v>
      </c>
      <c r="F50" s="165" t="s">
        <v>210</v>
      </c>
      <c r="G50" s="165">
        <v>24.16</v>
      </c>
    </row>
    <row r="51" spans="1:7" x14ac:dyDescent="0.25">
      <c r="A51" s="165" t="s">
        <v>982</v>
      </c>
      <c r="B51" s="165" t="s">
        <v>251</v>
      </c>
      <c r="C51" s="165" t="s">
        <v>1175</v>
      </c>
      <c r="D51" s="165" t="s">
        <v>981</v>
      </c>
      <c r="E51" s="165" t="s">
        <v>810</v>
      </c>
      <c r="F51" s="165" t="s">
        <v>809</v>
      </c>
      <c r="G51" s="165">
        <v>35.590000000000003</v>
      </c>
    </row>
    <row r="52" spans="1:7" x14ac:dyDescent="0.25">
      <c r="A52" s="165" t="s">
        <v>982</v>
      </c>
      <c r="B52" s="165" t="s">
        <v>251</v>
      </c>
      <c r="C52" s="165" t="s">
        <v>1175</v>
      </c>
      <c r="D52" s="165" t="s">
        <v>1080</v>
      </c>
      <c r="E52" s="165" t="s">
        <v>810</v>
      </c>
      <c r="F52" s="165" t="s">
        <v>210</v>
      </c>
      <c r="G52" s="165">
        <v>24.83</v>
      </c>
    </row>
    <row r="53" spans="1:7" x14ac:dyDescent="0.25">
      <c r="A53" s="165" t="s">
        <v>982</v>
      </c>
      <c r="B53" s="165" t="s">
        <v>252</v>
      </c>
      <c r="C53" s="165" t="s">
        <v>1174</v>
      </c>
      <c r="D53" s="165" t="s">
        <v>981</v>
      </c>
      <c r="E53" s="165" t="s">
        <v>810</v>
      </c>
      <c r="F53" s="165" t="s">
        <v>809</v>
      </c>
      <c r="G53" s="165">
        <v>36.159999999999997</v>
      </c>
    </row>
    <row r="54" spans="1:7" x14ac:dyDescent="0.25">
      <c r="A54" s="165" t="s">
        <v>982</v>
      </c>
      <c r="B54" s="165" t="s">
        <v>252</v>
      </c>
      <c r="C54" s="165" t="s">
        <v>1174</v>
      </c>
      <c r="D54" s="165" t="s">
        <v>1080</v>
      </c>
      <c r="E54" s="165" t="s">
        <v>810</v>
      </c>
      <c r="F54" s="165" t="s">
        <v>210</v>
      </c>
      <c r="G54" s="165">
        <v>29.33</v>
      </c>
    </row>
    <row r="55" spans="1:7" x14ac:dyDescent="0.25">
      <c r="A55" s="165" t="s">
        <v>982</v>
      </c>
      <c r="B55" s="165" t="s">
        <v>253</v>
      </c>
      <c r="C55" s="165" t="s">
        <v>1176</v>
      </c>
      <c r="D55" s="165" t="s">
        <v>981</v>
      </c>
      <c r="E55" s="165" t="s">
        <v>810</v>
      </c>
      <c r="F55" s="165" t="s">
        <v>809</v>
      </c>
      <c r="G55" s="165">
        <v>38.42</v>
      </c>
    </row>
    <row r="56" spans="1:7" x14ac:dyDescent="0.25">
      <c r="A56" s="165" t="s">
        <v>982</v>
      </c>
      <c r="B56" s="165" t="s">
        <v>253</v>
      </c>
      <c r="C56" s="165" t="s">
        <v>1176</v>
      </c>
      <c r="D56" s="165" t="s">
        <v>1080</v>
      </c>
      <c r="E56" s="165" t="s">
        <v>810</v>
      </c>
      <c r="F56" s="165" t="s">
        <v>210</v>
      </c>
      <c r="G56" s="165">
        <v>34.39</v>
      </c>
    </row>
    <row r="57" spans="1:7" x14ac:dyDescent="0.25">
      <c r="A57" s="165" t="s">
        <v>982</v>
      </c>
      <c r="B57" s="165" t="s">
        <v>254</v>
      </c>
      <c r="C57" s="165" t="s">
        <v>1177</v>
      </c>
      <c r="D57" s="165" t="s">
        <v>981</v>
      </c>
      <c r="E57" s="165" t="s">
        <v>810</v>
      </c>
      <c r="F57" s="165" t="s">
        <v>809</v>
      </c>
      <c r="G57" s="165" t="s">
        <v>220</v>
      </c>
    </row>
    <row r="58" spans="1:7" x14ac:dyDescent="0.25">
      <c r="A58" s="165" t="s">
        <v>982</v>
      </c>
      <c r="B58" s="165" t="s">
        <v>254</v>
      </c>
      <c r="C58" s="165" t="s">
        <v>1177</v>
      </c>
      <c r="D58" s="165" t="s">
        <v>1080</v>
      </c>
      <c r="E58" s="165" t="s">
        <v>810</v>
      </c>
      <c r="F58" s="165" t="s">
        <v>210</v>
      </c>
      <c r="G58" s="165" t="s">
        <v>220</v>
      </c>
    </row>
    <row r="59" spans="1:7" x14ac:dyDescent="0.25">
      <c r="A59" s="165" t="s">
        <v>982</v>
      </c>
      <c r="B59" s="165" t="s">
        <v>255</v>
      </c>
      <c r="C59" s="165" t="s">
        <v>1178</v>
      </c>
      <c r="D59" s="165" t="s">
        <v>981</v>
      </c>
      <c r="E59" s="165" t="s">
        <v>810</v>
      </c>
      <c r="F59" s="165" t="s">
        <v>809</v>
      </c>
      <c r="G59" s="165" t="s">
        <v>220</v>
      </c>
    </row>
    <row r="60" spans="1:7" x14ac:dyDescent="0.25">
      <c r="A60" s="165" t="s">
        <v>982</v>
      </c>
      <c r="B60" s="165" t="s">
        <v>255</v>
      </c>
      <c r="C60" s="165" t="s">
        <v>1178</v>
      </c>
      <c r="D60" s="165" t="s">
        <v>1080</v>
      </c>
      <c r="E60" s="165" t="s">
        <v>810</v>
      </c>
      <c r="F60" s="165" t="s">
        <v>210</v>
      </c>
      <c r="G60" s="165" t="s">
        <v>220</v>
      </c>
    </row>
    <row r="61" spans="1:7" x14ac:dyDescent="0.25">
      <c r="A61" s="165" t="s">
        <v>982</v>
      </c>
      <c r="B61" s="165" t="s">
        <v>256</v>
      </c>
      <c r="C61" s="165" t="s">
        <v>1179</v>
      </c>
      <c r="D61" s="165" t="s">
        <v>981</v>
      </c>
      <c r="E61" s="165" t="s">
        <v>810</v>
      </c>
      <c r="F61" s="165" t="s">
        <v>809</v>
      </c>
      <c r="G61" s="165">
        <v>35.58</v>
      </c>
    </row>
    <row r="62" spans="1:7" x14ac:dyDescent="0.25">
      <c r="A62" s="165" t="s">
        <v>982</v>
      </c>
      <c r="B62" s="165" t="s">
        <v>256</v>
      </c>
      <c r="C62" s="165" t="s">
        <v>1179</v>
      </c>
      <c r="D62" s="165" t="s">
        <v>1080</v>
      </c>
      <c r="E62" s="165" t="s">
        <v>810</v>
      </c>
      <c r="F62" s="165" t="s">
        <v>210</v>
      </c>
      <c r="G62" s="165">
        <v>25.93</v>
      </c>
    </row>
    <row r="63" spans="1:7" x14ac:dyDescent="0.25">
      <c r="A63" s="165" t="s">
        <v>982</v>
      </c>
      <c r="B63" s="165" t="s">
        <v>257</v>
      </c>
      <c r="C63" s="165" t="s">
        <v>915</v>
      </c>
      <c r="D63" s="165" t="s">
        <v>981</v>
      </c>
      <c r="E63" s="165" t="s">
        <v>810</v>
      </c>
      <c r="F63" s="165" t="s">
        <v>809</v>
      </c>
      <c r="G63" s="165" t="s">
        <v>220</v>
      </c>
    </row>
    <row r="64" spans="1:7" x14ac:dyDescent="0.25">
      <c r="A64" s="165" t="s">
        <v>982</v>
      </c>
      <c r="B64" s="165" t="s">
        <v>257</v>
      </c>
      <c r="C64" s="165" t="s">
        <v>915</v>
      </c>
      <c r="D64" s="165" t="s">
        <v>1080</v>
      </c>
      <c r="E64" s="165" t="s">
        <v>810</v>
      </c>
      <c r="F64" s="165" t="s">
        <v>210</v>
      </c>
      <c r="G64" s="165" t="s">
        <v>220</v>
      </c>
    </row>
    <row r="65" spans="1:7" x14ac:dyDescent="0.25">
      <c r="A65" s="165" t="s">
        <v>982</v>
      </c>
      <c r="B65" s="165" t="s">
        <v>262</v>
      </c>
      <c r="C65" s="165" t="s">
        <v>1173</v>
      </c>
      <c r="D65" s="165" t="s">
        <v>981</v>
      </c>
      <c r="E65" s="165" t="s">
        <v>209</v>
      </c>
      <c r="F65" s="165" t="s">
        <v>809</v>
      </c>
      <c r="G65" s="165">
        <v>41.15</v>
      </c>
    </row>
    <row r="66" spans="1:7" x14ac:dyDescent="0.25">
      <c r="A66" s="165" t="s">
        <v>982</v>
      </c>
      <c r="B66" s="165" t="s">
        <v>262</v>
      </c>
      <c r="C66" s="165" t="s">
        <v>1173</v>
      </c>
      <c r="D66" s="165" t="s">
        <v>1080</v>
      </c>
      <c r="E66" s="165" t="s">
        <v>209</v>
      </c>
      <c r="F66" s="165" t="s">
        <v>210</v>
      </c>
      <c r="G66" s="165">
        <v>22.16</v>
      </c>
    </row>
    <row r="67" spans="1:7" x14ac:dyDescent="0.25">
      <c r="A67" s="165" t="s">
        <v>982</v>
      </c>
      <c r="B67" s="165" t="s">
        <v>263</v>
      </c>
      <c r="C67" s="165" t="s">
        <v>1175</v>
      </c>
      <c r="D67" s="165" t="s">
        <v>981</v>
      </c>
      <c r="E67" s="165" t="s">
        <v>209</v>
      </c>
      <c r="F67" s="165" t="s">
        <v>809</v>
      </c>
      <c r="G67" s="165">
        <v>36.119999999999997</v>
      </c>
    </row>
    <row r="68" spans="1:7" x14ac:dyDescent="0.25">
      <c r="A68" s="165" t="s">
        <v>982</v>
      </c>
      <c r="B68" s="165" t="s">
        <v>263</v>
      </c>
      <c r="C68" s="165" t="s">
        <v>1175</v>
      </c>
      <c r="D68" s="165" t="s">
        <v>1080</v>
      </c>
      <c r="E68" s="165" t="s">
        <v>209</v>
      </c>
      <c r="F68" s="165" t="s">
        <v>210</v>
      </c>
      <c r="G68" s="165">
        <v>24.15</v>
      </c>
    </row>
    <row r="69" spans="1:7" x14ac:dyDescent="0.25">
      <c r="A69" s="165" t="s">
        <v>982</v>
      </c>
      <c r="B69" s="165" t="s">
        <v>264</v>
      </c>
      <c r="C69" s="165" t="s">
        <v>1174</v>
      </c>
      <c r="D69" s="165" t="s">
        <v>981</v>
      </c>
      <c r="E69" s="165" t="s">
        <v>209</v>
      </c>
      <c r="F69" s="165" t="s">
        <v>809</v>
      </c>
      <c r="G69" s="165">
        <v>32.200000000000003</v>
      </c>
    </row>
    <row r="70" spans="1:7" x14ac:dyDescent="0.25">
      <c r="A70" s="165" t="s">
        <v>982</v>
      </c>
      <c r="B70" s="165" t="s">
        <v>264</v>
      </c>
      <c r="C70" s="165" t="s">
        <v>1174</v>
      </c>
      <c r="D70" s="165" t="s">
        <v>1080</v>
      </c>
      <c r="E70" s="165" t="s">
        <v>209</v>
      </c>
      <c r="F70" s="165" t="s">
        <v>210</v>
      </c>
      <c r="G70" s="165">
        <v>27.21</v>
      </c>
    </row>
    <row r="71" spans="1:7" x14ac:dyDescent="0.25">
      <c r="A71" s="165" t="s">
        <v>982</v>
      </c>
      <c r="B71" s="165" t="s">
        <v>265</v>
      </c>
      <c r="C71" s="165" t="s">
        <v>1176</v>
      </c>
      <c r="D71" s="165" t="s">
        <v>981</v>
      </c>
      <c r="E71" s="165" t="s">
        <v>209</v>
      </c>
      <c r="F71" s="165" t="s">
        <v>809</v>
      </c>
      <c r="G71" s="165">
        <v>31.19</v>
      </c>
    </row>
    <row r="72" spans="1:7" x14ac:dyDescent="0.25">
      <c r="A72" s="165" t="s">
        <v>982</v>
      </c>
      <c r="B72" s="165" t="s">
        <v>265</v>
      </c>
      <c r="C72" s="165" t="s">
        <v>1176</v>
      </c>
      <c r="D72" s="165" t="s">
        <v>1080</v>
      </c>
      <c r="E72" s="165" t="s">
        <v>209</v>
      </c>
      <c r="F72" s="165" t="s">
        <v>210</v>
      </c>
      <c r="G72" s="165">
        <v>34.04</v>
      </c>
    </row>
    <row r="73" spans="1:7" x14ac:dyDescent="0.25">
      <c r="A73" s="165" t="s">
        <v>982</v>
      </c>
      <c r="B73" s="165" t="s">
        <v>266</v>
      </c>
      <c r="C73" s="165" t="s">
        <v>1177</v>
      </c>
      <c r="D73" s="165" t="s">
        <v>981</v>
      </c>
      <c r="E73" s="165" t="s">
        <v>209</v>
      </c>
      <c r="F73" s="165" t="s">
        <v>809</v>
      </c>
      <c r="G73" s="165">
        <v>31.33</v>
      </c>
    </row>
    <row r="74" spans="1:7" x14ac:dyDescent="0.25">
      <c r="A74" s="165" t="s">
        <v>982</v>
      </c>
      <c r="B74" s="165" t="s">
        <v>266</v>
      </c>
      <c r="C74" s="165" t="s">
        <v>1177</v>
      </c>
      <c r="D74" s="165" t="s">
        <v>1080</v>
      </c>
      <c r="E74" s="165" t="s">
        <v>209</v>
      </c>
      <c r="F74" s="165" t="s">
        <v>210</v>
      </c>
      <c r="G74" s="165">
        <v>38.99</v>
      </c>
    </row>
    <row r="75" spans="1:7" x14ac:dyDescent="0.25">
      <c r="A75" s="165" t="s">
        <v>982</v>
      </c>
      <c r="B75" s="165" t="s">
        <v>267</v>
      </c>
      <c r="C75" s="165" t="s">
        <v>1178</v>
      </c>
      <c r="D75" s="165" t="s">
        <v>981</v>
      </c>
      <c r="E75" s="165" t="s">
        <v>209</v>
      </c>
      <c r="F75" s="165" t="s">
        <v>809</v>
      </c>
      <c r="G75" s="165">
        <v>31.09</v>
      </c>
    </row>
    <row r="76" spans="1:7" x14ac:dyDescent="0.25">
      <c r="A76" s="165" t="s">
        <v>982</v>
      </c>
      <c r="B76" s="165" t="s">
        <v>267</v>
      </c>
      <c r="C76" s="165" t="s">
        <v>1178</v>
      </c>
      <c r="D76" s="165" t="s">
        <v>1080</v>
      </c>
      <c r="E76" s="165" t="s">
        <v>209</v>
      </c>
      <c r="F76" s="165" t="s">
        <v>210</v>
      </c>
      <c r="G76" s="165" t="s">
        <v>220</v>
      </c>
    </row>
    <row r="77" spans="1:7" x14ac:dyDescent="0.25">
      <c r="A77" s="165" t="s">
        <v>982</v>
      </c>
      <c r="B77" s="165" t="s">
        <v>268</v>
      </c>
      <c r="C77" s="165" t="s">
        <v>1179</v>
      </c>
      <c r="D77" s="165" t="s">
        <v>981</v>
      </c>
      <c r="E77" s="165" t="s">
        <v>209</v>
      </c>
      <c r="F77" s="165" t="s">
        <v>809</v>
      </c>
      <c r="G77" s="165">
        <v>33.979999999999997</v>
      </c>
    </row>
    <row r="78" spans="1:7" x14ac:dyDescent="0.25">
      <c r="A78" s="165" t="s">
        <v>982</v>
      </c>
      <c r="B78" s="165" t="s">
        <v>268</v>
      </c>
      <c r="C78" s="165" t="s">
        <v>1179</v>
      </c>
      <c r="D78" s="165" t="s">
        <v>1080</v>
      </c>
      <c r="E78" s="165" t="s">
        <v>209</v>
      </c>
      <c r="F78" s="165" t="s">
        <v>210</v>
      </c>
      <c r="G78" s="165">
        <v>25.27</v>
      </c>
    </row>
    <row r="79" spans="1:7" x14ac:dyDescent="0.25">
      <c r="A79" s="165" t="s">
        <v>982</v>
      </c>
      <c r="B79" s="165" t="s">
        <v>270</v>
      </c>
      <c r="C79" s="165" t="s">
        <v>915</v>
      </c>
      <c r="D79" s="165" t="s">
        <v>981</v>
      </c>
      <c r="E79" s="165" t="s">
        <v>209</v>
      </c>
      <c r="F79" s="165" t="s">
        <v>809</v>
      </c>
      <c r="G79" s="165">
        <v>30.99</v>
      </c>
    </row>
    <row r="80" spans="1:7" x14ac:dyDescent="0.25">
      <c r="A80" s="165" t="s">
        <v>982</v>
      </c>
      <c r="B80" s="165" t="s">
        <v>270</v>
      </c>
      <c r="C80" s="165" t="s">
        <v>915</v>
      </c>
      <c r="D80" s="165" t="s">
        <v>1080</v>
      </c>
      <c r="E80" s="165" t="s">
        <v>209</v>
      </c>
      <c r="F80" s="165" t="s">
        <v>210</v>
      </c>
      <c r="G80" s="165" t="s">
        <v>220</v>
      </c>
    </row>
    <row r="81" spans="1:7" x14ac:dyDescent="0.25">
      <c r="A81" s="165" t="s">
        <v>982</v>
      </c>
      <c r="B81" s="165" t="s">
        <v>276</v>
      </c>
      <c r="C81" s="165" t="s">
        <v>1173</v>
      </c>
      <c r="D81" s="165" t="s">
        <v>981</v>
      </c>
      <c r="E81" s="165" t="s">
        <v>810</v>
      </c>
      <c r="F81" s="165" t="s">
        <v>809</v>
      </c>
      <c r="G81" s="165">
        <v>39.39</v>
      </c>
    </row>
    <row r="82" spans="1:7" x14ac:dyDescent="0.25">
      <c r="A82" s="165" t="s">
        <v>982</v>
      </c>
      <c r="B82" s="165" t="s">
        <v>276</v>
      </c>
      <c r="C82" s="165" t="s">
        <v>1173</v>
      </c>
      <c r="D82" s="165" t="s">
        <v>1080</v>
      </c>
      <c r="E82" s="165" t="s">
        <v>810</v>
      </c>
      <c r="F82" s="165" t="s">
        <v>210</v>
      </c>
      <c r="G82" s="165">
        <v>22.98</v>
      </c>
    </row>
    <row r="83" spans="1:7" x14ac:dyDescent="0.25">
      <c r="A83" s="165" t="s">
        <v>982</v>
      </c>
      <c r="B83" s="165" t="s">
        <v>277</v>
      </c>
      <c r="C83" s="165" t="s">
        <v>1175</v>
      </c>
      <c r="D83" s="165" t="s">
        <v>981</v>
      </c>
      <c r="E83" s="165" t="s">
        <v>810</v>
      </c>
      <c r="F83" s="165" t="s">
        <v>809</v>
      </c>
      <c r="G83" s="165">
        <v>37.5</v>
      </c>
    </row>
    <row r="84" spans="1:7" x14ac:dyDescent="0.25">
      <c r="A84" s="165" t="s">
        <v>982</v>
      </c>
      <c r="B84" s="165" t="s">
        <v>277</v>
      </c>
      <c r="C84" s="165" t="s">
        <v>1175</v>
      </c>
      <c r="D84" s="165" t="s">
        <v>1080</v>
      </c>
      <c r="E84" s="165" t="s">
        <v>810</v>
      </c>
      <c r="F84" s="165" t="s">
        <v>210</v>
      </c>
      <c r="G84" s="165">
        <v>25.59</v>
      </c>
    </row>
    <row r="85" spans="1:7" x14ac:dyDescent="0.25">
      <c r="A85" s="165" t="s">
        <v>982</v>
      </c>
      <c r="B85" s="165" t="s">
        <v>278</v>
      </c>
      <c r="C85" s="165" t="s">
        <v>1174</v>
      </c>
      <c r="D85" s="165" t="s">
        <v>981</v>
      </c>
      <c r="E85" s="165" t="s">
        <v>810</v>
      </c>
      <c r="F85" s="165" t="s">
        <v>809</v>
      </c>
      <c r="G85" s="165">
        <v>36.369999999999997</v>
      </c>
    </row>
    <row r="86" spans="1:7" x14ac:dyDescent="0.25">
      <c r="A86" s="165" t="s">
        <v>982</v>
      </c>
      <c r="B86" s="165" t="s">
        <v>278</v>
      </c>
      <c r="C86" s="165" t="s">
        <v>1174</v>
      </c>
      <c r="D86" s="165" t="s">
        <v>1080</v>
      </c>
      <c r="E86" s="165" t="s">
        <v>810</v>
      </c>
      <c r="F86" s="165" t="s">
        <v>210</v>
      </c>
      <c r="G86" s="165">
        <v>28.92</v>
      </c>
    </row>
    <row r="87" spans="1:7" x14ac:dyDescent="0.25">
      <c r="A87" s="165" t="s">
        <v>982</v>
      </c>
      <c r="B87" s="165" t="s">
        <v>279</v>
      </c>
      <c r="C87" s="165" t="s">
        <v>1176</v>
      </c>
      <c r="D87" s="165" t="s">
        <v>981</v>
      </c>
      <c r="E87" s="165" t="s">
        <v>810</v>
      </c>
      <c r="F87" s="165" t="s">
        <v>809</v>
      </c>
      <c r="G87" s="165">
        <v>35.21</v>
      </c>
    </row>
    <row r="88" spans="1:7" x14ac:dyDescent="0.25">
      <c r="A88" s="165" t="s">
        <v>982</v>
      </c>
      <c r="B88" s="165" t="s">
        <v>279</v>
      </c>
      <c r="C88" s="165" t="s">
        <v>1176</v>
      </c>
      <c r="D88" s="165" t="s">
        <v>1080</v>
      </c>
      <c r="E88" s="165" t="s">
        <v>810</v>
      </c>
      <c r="F88" s="165" t="s">
        <v>210</v>
      </c>
      <c r="G88" s="165">
        <v>34.520000000000003</v>
      </c>
    </row>
    <row r="89" spans="1:7" x14ac:dyDescent="0.25">
      <c r="A89" s="165" t="s">
        <v>982</v>
      </c>
      <c r="B89" s="165" t="s">
        <v>280</v>
      </c>
      <c r="C89" s="165" t="s">
        <v>1177</v>
      </c>
      <c r="D89" s="165" t="s">
        <v>981</v>
      </c>
      <c r="E89" s="165" t="s">
        <v>810</v>
      </c>
      <c r="F89" s="165" t="s">
        <v>809</v>
      </c>
      <c r="G89" s="165">
        <v>37.56</v>
      </c>
    </row>
    <row r="90" spans="1:7" x14ac:dyDescent="0.25">
      <c r="A90" s="165" t="s">
        <v>982</v>
      </c>
      <c r="B90" s="165" t="s">
        <v>280</v>
      </c>
      <c r="C90" s="165" t="s">
        <v>1177</v>
      </c>
      <c r="D90" s="165" t="s">
        <v>1080</v>
      </c>
      <c r="E90" s="165" t="s">
        <v>810</v>
      </c>
      <c r="F90" s="165" t="s">
        <v>210</v>
      </c>
      <c r="G90" s="165" t="s">
        <v>220</v>
      </c>
    </row>
    <row r="91" spans="1:7" x14ac:dyDescent="0.25">
      <c r="A91" s="165" t="s">
        <v>982</v>
      </c>
      <c r="B91" s="165" t="s">
        <v>281</v>
      </c>
      <c r="C91" s="165" t="s">
        <v>1178</v>
      </c>
      <c r="D91" s="165" t="s">
        <v>981</v>
      </c>
      <c r="E91" s="165" t="s">
        <v>810</v>
      </c>
      <c r="F91" s="165" t="s">
        <v>809</v>
      </c>
      <c r="G91" s="165">
        <v>37.04</v>
      </c>
    </row>
    <row r="92" spans="1:7" x14ac:dyDescent="0.25">
      <c r="A92" s="165" t="s">
        <v>982</v>
      </c>
      <c r="B92" s="165" t="s">
        <v>281</v>
      </c>
      <c r="C92" s="165" t="s">
        <v>1178</v>
      </c>
      <c r="D92" s="165" t="s">
        <v>1080</v>
      </c>
      <c r="E92" s="165" t="s">
        <v>810</v>
      </c>
      <c r="F92" s="165" t="s">
        <v>210</v>
      </c>
      <c r="G92" s="165" t="s">
        <v>220</v>
      </c>
    </row>
    <row r="93" spans="1:7" x14ac:dyDescent="0.25">
      <c r="A93" s="165" t="s">
        <v>982</v>
      </c>
      <c r="B93" s="165" t="s">
        <v>282</v>
      </c>
      <c r="C93" s="165" t="s">
        <v>1179</v>
      </c>
      <c r="D93" s="165" t="s">
        <v>981</v>
      </c>
      <c r="E93" s="165" t="s">
        <v>810</v>
      </c>
      <c r="F93" s="165" t="s">
        <v>809</v>
      </c>
      <c r="G93" s="165">
        <v>35.909999999999997</v>
      </c>
    </row>
    <row r="94" spans="1:7" x14ac:dyDescent="0.25">
      <c r="A94" s="165" t="s">
        <v>982</v>
      </c>
      <c r="B94" s="165" t="s">
        <v>282</v>
      </c>
      <c r="C94" s="165" t="s">
        <v>1179</v>
      </c>
      <c r="D94" s="165" t="s">
        <v>1080</v>
      </c>
      <c r="E94" s="165" t="s">
        <v>810</v>
      </c>
      <c r="F94" s="165" t="s">
        <v>210</v>
      </c>
      <c r="G94" s="165">
        <v>25.96</v>
      </c>
    </row>
    <row r="95" spans="1:7" x14ac:dyDescent="0.25">
      <c r="A95" s="165" t="s">
        <v>982</v>
      </c>
      <c r="B95" s="165" t="s">
        <v>283</v>
      </c>
      <c r="C95" s="165" t="s">
        <v>915</v>
      </c>
      <c r="D95" s="165" t="s">
        <v>981</v>
      </c>
      <c r="E95" s="165" t="s">
        <v>810</v>
      </c>
      <c r="F95" s="165" t="s">
        <v>809</v>
      </c>
      <c r="G95" s="165" t="s">
        <v>220</v>
      </c>
    </row>
    <row r="96" spans="1:7" x14ac:dyDescent="0.25">
      <c r="A96" s="165" t="s">
        <v>982</v>
      </c>
      <c r="B96" s="165" t="s">
        <v>283</v>
      </c>
      <c r="C96" s="165" t="s">
        <v>915</v>
      </c>
      <c r="D96" s="165" t="s">
        <v>1080</v>
      </c>
      <c r="E96" s="165" t="s">
        <v>810</v>
      </c>
      <c r="F96" s="165" t="s">
        <v>210</v>
      </c>
      <c r="G96" s="165" t="s">
        <v>220</v>
      </c>
    </row>
    <row r="97" spans="1:7" x14ac:dyDescent="0.25">
      <c r="A97" s="165" t="s">
        <v>982</v>
      </c>
      <c r="B97" s="165" t="s">
        <v>288</v>
      </c>
      <c r="C97" s="165" t="s">
        <v>1173</v>
      </c>
      <c r="D97" s="165" t="s">
        <v>981</v>
      </c>
      <c r="E97" s="165" t="s">
        <v>209</v>
      </c>
      <c r="F97" s="165" t="s">
        <v>809</v>
      </c>
      <c r="G97" s="165">
        <v>34.619999999999997</v>
      </c>
    </row>
    <row r="98" spans="1:7" x14ac:dyDescent="0.25">
      <c r="A98" s="165" t="s">
        <v>982</v>
      </c>
      <c r="B98" s="165" t="s">
        <v>288</v>
      </c>
      <c r="C98" s="165" t="s">
        <v>1173</v>
      </c>
      <c r="D98" s="165" t="s">
        <v>1080</v>
      </c>
      <c r="E98" s="165" t="s">
        <v>209</v>
      </c>
      <c r="F98" s="165" t="s">
        <v>210</v>
      </c>
      <c r="G98" s="165">
        <v>21.71</v>
      </c>
    </row>
    <row r="99" spans="1:7" x14ac:dyDescent="0.25">
      <c r="A99" s="165" t="s">
        <v>982</v>
      </c>
      <c r="B99" s="165" t="s">
        <v>289</v>
      </c>
      <c r="C99" s="165" t="s">
        <v>1175</v>
      </c>
      <c r="D99" s="165" t="s">
        <v>981</v>
      </c>
      <c r="E99" s="165" t="s">
        <v>209</v>
      </c>
      <c r="F99" s="165" t="s">
        <v>809</v>
      </c>
      <c r="G99" s="165">
        <v>34.79</v>
      </c>
    </row>
    <row r="100" spans="1:7" x14ac:dyDescent="0.25">
      <c r="A100" s="165" t="s">
        <v>982</v>
      </c>
      <c r="B100" s="165" t="s">
        <v>289</v>
      </c>
      <c r="C100" s="165" t="s">
        <v>1175</v>
      </c>
      <c r="D100" s="165" t="s">
        <v>1080</v>
      </c>
      <c r="E100" s="165" t="s">
        <v>209</v>
      </c>
      <c r="F100" s="165" t="s">
        <v>210</v>
      </c>
      <c r="G100" s="165">
        <v>23.86</v>
      </c>
    </row>
    <row r="101" spans="1:7" x14ac:dyDescent="0.25">
      <c r="A101" s="165" t="s">
        <v>982</v>
      </c>
      <c r="B101" s="165" t="s">
        <v>290</v>
      </c>
      <c r="C101" s="165" t="s">
        <v>1174</v>
      </c>
      <c r="D101" s="165" t="s">
        <v>981</v>
      </c>
      <c r="E101" s="165" t="s">
        <v>209</v>
      </c>
      <c r="F101" s="165" t="s">
        <v>809</v>
      </c>
      <c r="G101" s="165">
        <v>32.99</v>
      </c>
    </row>
    <row r="102" spans="1:7" x14ac:dyDescent="0.25">
      <c r="A102" s="165" t="s">
        <v>982</v>
      </c>
      <c r="B102" s="165" t="s">
        <v>290</v>
      </c>
      <c r="C102" s="165" t="s">
        <v>1174</v>
      </c>
      <c r="D102" s="165" t="s">
        <v>1080</v>
      </c>
      <c r="E102" s="165" t="s">
        <v>209</v>
      </c>
      <c r="F102" s="165" t="s">
        <v>210</v>
      </c>
      <c r="G102" s="165">
        <v>27.45</v>
      </c>
    </row>
    <row r="103" spans="1:7" x14ac:dyDescent="0.25">
      <c r="A103" s="165" t="s">
        <v>982</v>
      </c>
      <c r="B103" s="165" t="s">
        <v>291</v>
      </c>
      <c r="C103" s="165" t="s">
        <v>1176</v>
      </c>
      <c r="D103" s="165" t="s">
        <v>981</v>
      </c>
      <c r="E103" s="165" t="s">
        <v>209</v>
      </c>
      <c r="F103" s="165" t="s">
        <v>809</v>
      </c>
      <c r="G103" s="165">
        <v>30.85</v>
      </c>
    </row>
    <row r="104" spans="1:7" x14ac:dyDescent="0.25">
      <c r="A104" s="165" t="s">
        <v>982</v>
      </c>
      <c r="B104" s="165" t="s">
        <v>291</v>
      </c>
      <c r="C104" s="165" t="s">
        <v>1176</v>
      </c>
      <c r="D104" s="165" t="s">
        <v>1080</v>
      </c>
      <c r="E104" s="165" t="s">
        <v>209</v>
      </c>
      <c r="F104" s="165" t="s">
        <v>210</v>
      </c>
      <c r="G104" s="165">
        <v>34.49</v>
      </c>
    </row>
    <row r="105" spans="1:7" x14ac:dyDescent="0.25">
      <c r="A105" s="165" t="s">
        <v>982</v>
      </c>
      <c r="B105" s="165" t="s">
        <v>292</v>
      </c>
      <c r="C105" s="165" t="s">
        <v>1177</v>
      </c>
      <c r="D105" s="165" t="s">
        <v>981</v>
      </c>
      <c r="E105" s="165" t="s">
        <v>209</v>
      </c>
      <c r="F105" s="165" t="s">
        <v>809</v>
      </c>
      <c r="G105" s="165">
        <v>31.04</v>
      </c>
    </row>
    <row r="106" spans="1:7" x14ac:dyDescent="0.25">
      <c r="A106" s="165" t="s">
        <v>982</v>
      </c>
      <c r="B106" s="165" t="s">
        <v>292</v>
      </c>
      <c r="C106" s="165" t="s">
        <v>1177</v>
      </c>
      <c r="D106" s="165" t="s">
        <v>1080</v>
      </c>
      <c r="E106" s="165" t="s">
        <v>209</v>
      </c>
      <c r="F106" s="165" t="s">
        <v>210</v>
      </c>
      <c r="G106" s="165" t="s">
        <v>220</v>
      </c>
    </row>
    <row r="107" spans="1:7" x14ac:dyDescent="0.25">
      <c r="A107" s="165" t="s">
        <v>982</v>
      </c>
      <c r="B107" s="165" t="s">
        <v>293</v>
      </c>
      <c r="C107" s="165" t="s">
        <v>1178</v>
      </c>
      <c r="D107" s="165" t="s">
        <v>981</v>
      </c>
      <c r="E107" s="165" t="s">
        <v>209</v>
      </c>
      <c r="F107" s="165" t="s">
        <v>809</v>
      </c>
      <c r="G107" s="165">
        <v>31.33</v>
      </c>
    </row>
    <row r="108" spans="1:7" x14ac:dyDescent="0.25">
      <c r="A108" s="165" t="s">
        <v>982</v>
      </c>
      <c r="B108" s="165" t="s">
        <v>293</v>
      </c>
      <c r="C108" s="165" t="s">
        <v>1178</v>
      </c>
      <c r="D108" s="165" t="s">
        <v>1080</v>
      </c>
      <c r="E108" s="165" t="s">
        <v>209</v>
      </c>
      <c r="F108" s="165" t="s">
        <v>210</v>
      </c>
      <c r="G108" s="165">
        <v>37.75</v>
      </c>
    </row>
    <row r="109" spans="1:7" x14ac:dyDescent="0.25">
      <c r="A109" s="165" t="s">
        <v>982</v>
      </c>
      <c r="B109" s="165" t="s">
        <v>294</v>
      </c>
      <c r="C109" s="165" t="s">
        <v>1179</v>
      </c>
      <c r="D109" s="165" t="s">
        <v>981</v>
      </c>
      <c r="E109" s="165" t="s">
        <v>209</v>
      </c>
      <c r="F109" s="165" t="s">
        <v>809</v>
      </c>
      <c r="G109" s="165">
        <v>33.619999999999997</v>
      </c>
    </row>
    <row r="110" spans="1:7" x14ac:dyDescent="0.25">
      <c r="A110" s="165" t="s">
        <v>982</v>
      </c>
      <c r="B110" s="165" t="s">
        <v>294</v>
      </c>
      <c r="C110" s="165" t="s">
        <v>1179</v>
      </c>
      <c r="D110" s="165" t="s">
        <v>1080</v>
      </c>
      <c r="E110" s="165" t="s">
        <v>209</v>
      </c>
      <c r="F110" s="165" t="s">
        <v>210</v>
      </c>
      <c r="G110" s="165">
        <v>25.41</v>
      </c>
    </row>
    <row r="111" spans="1:7" x14ac:dyDescent="0.25">
      <c r="A111" s="165" t="s">
        <v>982</v>
      </c>
      <c r="B111" s="165" t="s">
        <v>295</v>
      </c>
      <c r="C111" s="165" t="s">
        <v>915</v>
      </c>
      <c r="D111" s="165" t="s">
        <v>981</v>
      </c>
      <c r="E111" s="165" t="s">
        <v>209</v>
      </c>
      <c r="F111" s="165" t="s">
        <v>809</v>
      </c>
      <c r="G111" s="165">
        <v>31.62</v>
      </c>
    </row>
    <row r="112" spans="1:7" x14ac:dyDescent="0.25">
      <c r="A112" s="165" t="s">
        <v>982</v>
      </c>
      <c r="B112" s="165" t="s">
        <v>295</v>
      </c>
      <c r="C112" s="165" t="s">
        <v>915</v>
      </c>
      <c r="D112" s="165" t="s">
        <v>1080</v>
      </c>
      <c r="E112" s="165" t="s">
        <v>209</v>
      </c>
      <c r="F112" s="165" t="s">
        <v>210</v>
      </c>
      <c r="G112" s="165" t="s">
        <v>220</v>
      </c>
    </row>
    <row r="113" spans="1:7" x14ac:dyDescent="0.25">
      <c r="A113" s="165" t="s">
        <v>982</v>
      </c>
      <c r="B113" s="165" t="s">
        <v>300</v>
      </c>
      <c r="C113" s="165" t="s">
        <v>1173</v>
      </c>
      <c r="D113" s="165" t="s">
        <v>981</v>
      </c>
      <c r="E113" s="165" t="s">
        <v>810</v>
      </c>
      <c r="F113" s="165" t="s">
        <v>809</v>
      </c>
      <c r="G113" s="165">
        <v>39.82</v>
      </c>
    </row>
    <row r="114" spans="1:7" x14ac:dyDescent="0.25">
      <c r="A114" s="165" t="s">
        <v>982</v>
      </c>
      <c r="B114" s="165" t="s">
        <v>300</v>
      </c>
      <c r="C114" s="165" t="s">
        <v>1173</v>
      </c>
      <c r="D114" s="165" t="s">
        <v>1080</v>
      </c>
      <c r="E114" s="165" t="s">
        <v>810</v>
      </c>
      <c r="F114" s="165" t="s">
        <v>210</v>
      </c>
      <c r="G114" s="165">
        <v>23.94</v>
      </c>
    </row>
    <row r="115" spans="1:7" x14ac:dyDescent="0.25">
      <c r="A115" s="165" t="s">
        <v>982</v>
      </c>
      <c r="B115" s="165" t="s">
        <v>301</v>
      </c>
      <c r="C115" s="165" t="s">
        <v>1175</v>
      </c>
      <c r="D115" s="165" t="s">
        <v>981</v>
      </c>
      <c r="E115" s="165" t="s">
        <v>810</v>
      </c>
      <c r="F115" s="165" t="s">
        <v>809</v>
      </c>
      <c r="G115" s="165">
        <v>37.39</v>
      </c>
    </row>
    <row r="116" spans="1:7" x14ac:dyDescent="0.25">
      <c r="A116" s="165" t="s">
        <v>982</v>
      </c>
      <c r="B116" s="165" t="s">
        <v>301</v>
      </c>
      <c r="C116" s="165" t="s">
        <v>1175</v>
      </c>
      <c r="D116" s="165" t="s">
        <v>1080</v>
      </c>
      <c r="E116" s="165" t="s">
        <v>810</v>
      </c>
      <c r="F116" s="165" t="s">
        <v>210</v>
      </c>
      <c r="G116" s="165">
        <v>25.53</v>
      </c>
    </row>
    <row r="117" spans="1:7" x14ac:dyDescent="0.25">
      <c r="A117" s="165" t="s">
        <v>982</v>
      </c>
      <c r="B117" s="165" t="s">
        <v>302</v>
      </c>
      <c r="C117" s="165" t="s">
        <v>1174</v>
      </c>
      <c r="D117" s="165" t="s">
        <v>981</v>
      </c>
      <c r="E117" s="165" t="s">
        <v>810</v>
      </c>
      <c r="F117" s="165" t="s">
        <v>809</v>
      </c>
      <c r="G117" s="165">
        <v>36.200000000000003</v>
      </c>
    </row>
    <row r="118" spans="1:7" x14ac:dyDescent="0.25">
      <c r="A118" s="165" t="s">
        <v>982</v>
      </c>
      <c r="B118" s="165" t="s">
        <v>302</v>
      </c>
      <c r="C118" s="165" t="s">
        <v>1174</v>
      </c>
      <c r="D118" s="165" t="s">
        <v>1080</v>
      </c>
      <c r="E118" s="165" t="s">
        <v>810</v>
      </c>
      <c r="F118" s="165" t="s">
        <v>210</v>
      </c>
      <c r="G118" s="165">
        <v>28.03</v>
      </c>
    </row>
    <row r="119" spans="1:7" x14ac:dyDescent="0.25">
      <c r="A119" s="165" t="s">
        <v>982</v>
      </c>
      <c r="B119" s="165" t="s">
        <v>303</v>
      </c>
      <c r="C119" s="165" t="s">
        <v>1176</v>
      </c>
      <c r="D119" s="165" t="s">
        <v>981</v>
      </c>
      <c r="E119" s="165" t="s">
        <v>810</v>
      </c>
      <c r="F119" s="165" t="s">
        <v>809</v>
      </c>
      <c r="G119" s="165">
        <v>35.72</v>
      </c>
    </row>
    <row r="120" spans="1:7" x14ac:dyDescent="0.25">
      <c r="A120" s="165" t="s">
        <v>982</v>
      </c>
      <c r="B120" s="165" t="s">
        <v>303</v>
      </c>
      <c r="C120" s="165" t="s">
        <v>1176</v>
      </c>
      <c r="D120" s="165" t="s">
        <v>1080</v>
      </c>
      <c r="E120" s="165" t="s">
        <v>810</v>
      </c>
      <c r="F120" s="165" t="s">
        <v>210</v>
      </c>
      <c r="G120" s="165">
        <v>34.9</v>
      </c>
    </row>
    <row r="121" spans="1:7" x14ac:dyDescent="0.25">
      <c r="A121" s="165" t="s">
        <v>982</v>
      </c>
      <c r="B121" s="165" t="s">
        <v>304</v>
      </c>
      <c r="C121" s="165" t="s">
        <v>1177</v>
      </c>
      <c r="D121" s="165" t="s">
        <v>981</v>
      </c>
      <c r="E121" s="165" t="s">
        <v>810</v>
      </c>
      <c r="F121" s="165" t="s">
        <v>809</v>
      </c>
      <c r="G121" s="165">
        <v>38.229999999999997</v>
      </c>
    </row>
    <row r="122" spans="1:7" x14ac:dyDescent="0.25">
      <c r="A122" s="165" t="s">
        <v>982</v>
      </c>
      <c r="B122" s="165" t="s">
        <v>304</v>
      </c>
      <c r="C122" s="165" t="s">
        <v>1177</v>
      </c>
      <c r="D122" s="165" t="s">
        <v>1080</v>
      </c>
      <c r="E122" s="165" t="s">
        <v>810</v>
      </c>
      <c r="F122" s="165" t="s">
        <v>210</v>
      </c>
      <c r="G122" s="165" t="s">
        <v>220</v>
      </c>
    </row>
    <row r="123" spans="1:7" x14ac:dyDescent="0.25">
      <c r="A123" s="165" t="s">
        <v>982</v>
      </c>
      <c r="B123" s="165" t="s">
        <v>305</v>
      </c>
      <c r="C123" s="165" t="s">
        <v>1178</v>
      </c>
      <c r="D123" s="165" t="s">
        <v>981</v>
      </c>
      <c r="E123" s="165" t="s">
        <v>810</v>
      </c>
      <c r="F123" s="165" t="s">
        <v>809</v>
      </c>
      <c r="G123" s="165">
        <v>36.479999999999997</v>
      </c>
    </row>
    <row r="124" spans="1:7" x14ac:dyDescent="0.25">
      <c r="A124" s="165" t="s">
        <v>982</v>
      </c>
      <c r="B124" s="165" t="s">
        <v>305</v>
      </c>
      <c r="C124" s="165" t="s">
        <v>1178</v>
      </c>
      <c r="D124" s="165" t="s">
        <v>1080</v>
      </c>
      <c r="E124" s="165" t="s">
        <v>810</v>
      </c>
      <c r="F124" s="165" t="s">
        <v>210</v>
      </c>
      <c r="G124" s="165" t="s">
        <v>220</v>
      </c>
    </row>
    <row r="125" spans="1:7" x14ac:dyDescent="0.25">
      <c r="A125" s="165" t="s">
        <v>982</v>
      </c>
      <c r="B125" s="165" t="s">
        <v>306</v>
      </c>
      <c r="C125" s="165" t="s">
        <v>1179</v>
      </c>
      <c r="D125" s="165" t="s">
        <v>981</v>
      </c>
      <c r="E125" s="165" t="s">
        <v>810</v>
      </c>
      <c r="F125" s="165" t="s">
        <v>809</v>
      </c>
      <c r="G125" s="165" t="s">
        <v>220</v>
      </c>
    </row>
    <row r="126" spans="1:7" x14ac:dyDescent="0.25">
      <c r="A126" s="165" t="s">
        <v>982</v>
      </c>
      <c r="B126" s="165" t="s">
        <v>306</v>
      </c>
      <c r="C126" s="165" t="s">
        <v>1179</v>
      </c>
      <c r="D126" s="165" t="s">
        <v>1080</v>
      </c>
      <c r="E126" s="165" t="s">
        <v>810</v>
      </c>
      <c r="F126" s="165" t="s">
        <v>210</v>
      </c>
      <c r="G126" s="165">
        <v>27.79</v>
      </c>
    </row>
    <row r="127" spans="1:7" x14ac:dyDescent="0.25">
      <c r="A127" s="165" t="s">
        <v>982</v>
      </c>
      <c r="B127" s="165" t="s">
        <v>307</v>
      </c>
      <c r="C127" s="165" t="s">
        <v>915</v>
      </c>
      <c r="D127" s="165" t="s">
        <v>981</v>
      </c>
      <c r="E127" s="165" t="s">
        <v>810</v>
      </c>
      <c r="F127" s="165" t="s">
        <v>809</v>
      </c>
      <c r="G127" s="165">
        <v>35.94</v>
      </c>
    </row>
    <row r="128" spans="1:7" x14ac:dyDescent="0.25">
      <c r="A128" s="165" t="s">
        <v>982</v>
      </c>
      <c r="B128" s="165" t="s">
        <v>307</v>
      </c>
      <c r="C128" s="165" t="s">
        <v>915</v>
      </c>
      <c r="D128" s="165" t="s">
        <v>1080</v>
      </c>
      <c r="E128" s="165" t="s">
        <v>810</v>
      </c>
      <c r="F128" s="165" t="s">
        <v>210</v>
      </c>
      <c r="G128" s="165" t="s">
        <v>220</v>
      </c>
    </row>
    <row r="129" spans="1:7" x14ac:dyDescent="0.25">
      <c r="A129" s="165" t="s">
        <v>982</v>
      </c>
      <c r="B129" s="165" t="s">
        <v>312</v>
      </c>
      <c r="C129" s="165" t="s">
        <v>1173</v>
      </c>
      <c r="D129" s="165" t="s">
        <v>981</v>
      </c>
      <c r="E129" s="165" t="s">
        <v>209</v>
      </c>
      <c r="F129" s="165" t="s">
        <v>809</v>
      </c>
      <c r="G129" s="165">
        <v>38</v>
      </c>
    </row>
    <row r="130" spans="1:7" x14ac:dyDescent="0.25">
      <c r="A130" s="165" t="s">
        <v>982</v>
      </c>
      <c r="B130" s="165" t="s">
        <v>312</v>
      </c>
      <c r="C130" s="165" t="s">
        <v>1173</v>
      </c>
      <c r="D130" s="165" t="s">
        <v>1080</v>
      </c>
      <c r="E130" s="165" t="s">
        <v>209</v>
      </c>
      <c r="F130" s="165" t="s">
        <v>210</v>
      </c>
      <c r="G130" s="165">
        <v>22.22</v>
      </c>
    </row>
    <row r="131" spans="1:7" x14ac:dyDescent="0.25">
      <c r="A131" s="165" t="s">
        <v>982</v>
      </c>
      <c r="B131" s="165" t="s">
        <v>313</v>
      </c>
      <c r="C131" s="165" t="s">
        <v>1175</v>
      </c>
      <c r="D131" s="165" t="s">
        <v>981</v>
      </c>
      <c r="E131" s="165" t="s">
        <v>209</v>
      </c>
      <c r="F131" s="165" t="s">
        <v>809</v>
      </c>
      <c r="G131" s="165">
        <v>35.26</v>
      </c>
    </row>
    <row r="132" spans="1:7" x14ac:dyDescent="0.25">
      <c r="A132" s="165" t="s">
        <v>982</v>
      </c>
      <c r="B132" s="165" t="s">
        <v>313</v>
      </c>
      <c r="C132" s="165" t="s">
        <v>1175</v>
      </c>
      <c r="D132" s="165" t="s">
        <v>1080</v>
      </c>
      <c r="E132" s="165" t="s">
        <v>209</v>
      </c>
      <c r="F132" s="165" t="s">
        <v>210</v>
      </c>
      <c r="G132" s="165">
        <v>24.84</v>
      </c>
    </row>
    <row r="133" spans="1:7" x14ac:dyDescent="0.25">
      <c r="A133" s="165" t="s">
        <v>982</v>
      </c>
      <c r="B133" s="165" t="s">
        <v>314</v>
      </c>
      <c r="C133" s="165" t="s">
        <v>1174</v>
      </c>
      <c r="D133" s="165" t="s">
        <v>981</v>
      </c>
      <c r="E133" s="165" t="s">
        <v>209</v>
      </c>
      <c r="F133" s="165" t="s">
        <v>809</v>
      </c>
      <c r="G133" s="165">
        <v>32.49</v>
      </c>
    </row>
    <row r="134" spans="1:7" x14ac:dyDescent="0.25">
      <c r="A134" s="165" t="s">
        <v>982</v>
      </c>
      <c r="B134" s="165" t="s">
        <v>314</v>
      </c>
      <c r="C134" s="165" t="s">
        <v>1174</v>
      </c>
      <c r="D134" s="165" t="s">
        <v>1080</v>
      </c>
      <c r="E134" s="165" t="s">
        <v>209</v>
      </c>
      <c r="F134" s="165" t="s">
        <v>210</v>
      </c>
      <c r="G134" s="165">
        <v>27.48</v>
      </c>
    </row>
    <row r="135" spans="1:7" x14ac:dyDescent="0.25">
      <c r="A135" s="165" t="s">
        <v>982</v>
      </c>
      <c r="B135" s="165" t="s">
        <v>315</v>
      </c>
      <c r="C135" s="165" t="s">
        <v>1176</v>
      </c>
      <c r="D135" s="165" t="s">
        <v>981</v>
      </c>
      <c r="E135" s="165" t="s">
        <v>209</v>
      </c>
      <c r="F135" s="165" t="s">
        <v>809</v>
      </c>
      <c r="G135" s="165">
        <v>30.82</v>
      </c>
    </row>
    <row r="136" spans="1:7" x14ac:dyDescent="0.25">
      <c r="A136" s="165" t="s">
        <v>982</v>
      </c>
      <c r="B136" s="165" t="s">
        <v>315</v>
      </c>
      <c r="C136" s="165" t="s">
        <v>1176</v>
      </c>
      <c r="D136" s="165" t="s">
        <v>1080</v>
      </c>
      <c r="E136" s="165" t="s">
        <v>209</v>
      </c>
      <c r="F136" s="165" t="s">
        <v>210</v>
      </c>
      <c r="G136" s="165">
        <v>33.56</v>
      </c>
    </row>
    <row r="137" spans="1:7" x14ac:dyDescent="0.25">
      <c r="A137" s="165" t="s">
        <v>982</v>
      </c>
      <c r="B137" s="165" t="s">
        <v>316</v>
      </c>
      <c r="C137" s="165" t="s">
        <v>1177</v>
      </c>
      <c r="D137" s="165" t="s">
        <v>981</v>
      </c>
      <c r="E137" s="165" t="s">
        <v>209</v>
      </c>
      <c r="F137" s="165" t="s">
        <v>809</v>
      </c>
      <c r="G137" s="165">
        <v>30.91</v>
      </c>
    </row>
    <row r="138" spans="1:7" x14ac:dyDescent="0.25">
      <c r="A138" s="165" t="s">
        <v>982</v>
      </c>
      <c r="B138" s="165" t="s">
        <v>316</v>
      </c>
      <c r="C138" s="165" t="s">
        <v>1177</v>
      </c>
      <c r="D138" s="165" t="s">
        <v>1080</v>
      </c>
      <c r="E138" s="165" t="s">
        <v>209</v>
      </c>
      <c r="F138" s="165" t="s">
        <v>210</v>
      </c>
      <c r="G138" s="165" t="s">
        <v>220</v>
      </c>
    </row>
    <row r="139" spans="1:7" x14ac:dyDescent="0.25">
      <c r="A139" s="165" t="s">
        <v>982</v>
      </c>
      <c r="B139" s="165" t="s">
        <v>317</v>
      </c>
      <c r="C139" s="165" t="s">
        <v>1178</v>
      </c>
      <c r="D139" s="165" t="s">
        <v>981</v>
      </c>
      <c r="E139" s="165" t="s">
        <v>209</v>
      </c>
      <c r="F139" s="165" t="s">
        <v>809</v>
      </c>
      <c r="G139" s="165">
        <v>31.42</v>
      </c>
    </row>
    <row r="140" spans="1:7" x14ac:dyDescent="0.25">
      <c r="A140" s="165" t="s">
        <v>982</v>
      </c>
      <c r="B140" s="165" t="s">
        <v>317</v>
      </c>
      <c r="C140" s="165" t="s">
        <v>1178</v>
      </c>
      <c r="D140" s="165" t="s">
        <v>1080</v>
      </c>
      <c r="E140" s="165" t="s">
        <v>209</v>
      </c>
      <c r="F140" s="165" t="s">
        <v>210</v>
      </c>
      <c r="G140" s="165">
        <v>40.619999999999997</v>
      </c>
    </row>
    <row r="141" spans="1:7" x14ac:dyDescent="0.25">
      <c r="A141" s="165" t="s">
        <v>982</v>
      </c>
      <c r="B141" s="165" t="s">
        <v>318</v>
      </c>
      <c r="C141" s="165" t="s">
        <v>1179</v>
      </c>
      <c r="D141" s="165" t="s">
        <v>981</v>
      </c>
      <c r="E141" s="165" t="s">
        <v>209</v>
      </c>
      <c r="F141" s="165" t="s">
        <v>809</v>
      </c>
      <c r="G141" s="165">
        <v>33.700000000000003</v>
      </c>
    </row>
    <row r="142" spans="1:7" x14ac:dyDescent="0.25">
      <c r="A142" s="165" t="s">
        <v>982</v>
      </c>
      <c r="B142" s="165" t="s">
        <v>318</v>
      </c>
      <c r="C142" s="165" t="s">
        <v>1179</v>
      </c>
      <c r="D142" s="165" t="s">
        <v>1080</v>
      </c>
      <c r="E142" s="165" t="s">
        <v>209</v>
      </c>
      <c r="F142" s="165" t="s">
        <v>210</v>
      </c>
      <c r="G142" s="165">
        <v>24.09</v>
      </c>
    </row>
    <row r="143" spans="1:7" x14ac:dyDescent="0.25">
      <c r="A143" s="165" t="s">
        <v>982</v>
      </c>
      <c r="B143" s="165" t="s">
        <v>319</v>
      </c>
      <c r="C143" s="165" t="s">
        <v>915</v>
      </c>
      <c r="D143" s="165" t="s">
        <v>981</v>
      </c>
      <c r="E143" s="165" t="s">
        <v>209</v>
      </c>
      <c r="F143" s="165" t="s">
        <v>809</v>
      </c>
      <c r="G143" s="165">
        <v>31.11</v>
      </c>
    </row>
    <row r="144" spans="1:7" x14ac:dyDescent="0.25">
      <c r="A144" s="165" t="s">
        <v>982</v>
      </c>
      <c r="B144" s="165" t="s">
        <v>319</v>
      </c>
      <c r="C144" s="165" t="s">
        <v>915</v>
      </c>
      <c r="D144" s="165" t="s">
        <v>1080</v>
      </c>
      <c r="E144" s="165" t="s">
        <v>209</v>
      </c>
      <c r="F144" s="165" t="s">
        <v>210</v>
      </c>
      <c r="G144" s="165" t="s">
        <v>220</v>
      </c>
    </row>
    <row r="145" spans="1:7" x14ac:dyDescent="0.25">
      <c r="A145" t="s">
        <v>1046</v>
      </c>
      <c r="B145" s="165" t="s">
        <v>204</v>
      </c>
      <c r="C145" s="165" t="s">
        <v>1173</v>
      </c>
      <c r="D145" s="165" t="s">
        <v>981</v>
      </c>
      <c r="E145" s="165" t="s">
        <v>810</v>
      </c>
      <c r="F145" s="165" t="s">
        <v>809</v>
      </c>
      <c r="G145" s="165">
        <v>35.799999999999997</v>
      </c>
    </row>
    <row r="146" spans="1:7" x14ac:dyDescent="0.25">
      <c r="A146" s="165" t="s">
        <v>1046</v>
      </c>
      <c r="B146" s="165" t="s">
        <v>204</v>
      </c>
      <c r="C146" s="165" t="s">
        <v>1173</v>
      </c>
      <c r="D146" s="165" t="s">
        <v>1045</v>
      </c>
      <c r="E146" s="165" t="s">
        <v>810</v>
      </c>
      <c r="F146" s="165" t="s">
        <v>210</v>
      </c>
      <c r="G146" s="165">
        <v>23.02</v>
      </c>
    </row>
    <row r="147" spans="1:7" x14ac:dyDescent="0.25">
      <c r="A147" s="165" t="s">
        <v>1046</v>
      </c>
      <c r="B147" s="165" t="s">
        <v>211</v>
      </c>
      <c r="C147" s="165" t="s">
        <v>1175</v>
      </c>
      <c r="D147" s="165" t="s">
        <v>981</v>
      </c>
      <c r="E147" s="165" t="s">
        <v>810</v>
      </c>
      <c r="F147" s="165" t="s">
        <v>809</v>
      </c>
      <c r="G147" s="165">
        <v>37.340000000000003</v>
      </c>
    </row>
    <row r="148" spans="1:7" x14ac:dyDescent="0.25">
      <c r="A148" s="165" t="s">
        <v>1046</v>
      </c>
      <c r="B148" s="165" t="s">
        <v>211</v>
      </c>
      <c r="C148" s="165" t="s">
        <v>1175</v>
      </c>
      <c r="D148" s="165" t="s">
        <v>1045</v>
      </c>
      <c r="E148" s="165" t="s">
        <v>810</v>
      </c>
      <c r="F148" s="165" t="s">
        <v>210</v>
      </c>
      <c r="G148" s="165">
        <v>26.76</v>
      </c>
    </row>
    <row r="149" spans="1:7" x14ac:dyDescent="0.25">
      <c r="A149" s="165" t="s">
        <v>1046</v>
      </c>
      <c r="B149" s="165" t="s">
        <v>212</v>
      </c>
      <c r="C149" s="165" t="s">
        <v>1174</v>
      </c>
      <c r="D149" s="165" t="s">
        <v>981</v>
      </c>
      <c r="E149" s="165" t="s">
        <v>810</v>
      </c>
      <c r="F149" s="165" t="s">
        <v>809</v>
      </c>
      <c r="G149" s="165">
        <v>36.549999999999997</v>
      </c>
    </row>
    <row r="150" spans="1:7" x14ac:dyDescent="0.25">
      <c r="A150" s="165" t="s">
        <v>1046</v>
      </c>
      <c r="B150" s="165" t="s">
        <v>212</v>
      </c>
      <c r="C150" s="165" t="s">
        <v>1174</v>
      </c>
      <c r="D150" s="165" t="s">
        <v>1045</v>
      </c>
      <c r="E150" s="165" t="s">
        <v>810</v>
      </c>
      <c r="F150" s="165" t="s">
        <v>210</v>
      </c>
      <c r="G150" s="165">
        <v>29.71</v>
      </c>
    </row>
    <row r="151" spans="1:7" x14ac:dyDescent="0.25">
      <c r="A151" s="165" t="s">
        <v>1046</v>
      </c>
      <c r="B151" s="165" t="s">
        <v>213</v>
      </c>
      <c r="C151" s="165" t="s">
        <v>1176</v>
      </c>
      <c r="D151" s="165" t="s">
        <v>981</v>
      </c>
      <c r="E151" s="165" t="s">
        <v>810</v>
      </c>
      <c r="F151" s="165" t="s">
        <v>809</v>
      </c>
      <c r="G151" s="165">
        <v>35.700000000000003</v>
      </c>
    </row>
    <row r="152" spans="1:7" x14ac:dyDescent="0.25">
      <c r="A152" s="165" t="s">
        <v>1046</v>
      </c>
      <c r="B152" s="165" t="s">
        <v>213</v>
      </c>
      <c r="C152" s="165" t="s">
        <v>1176</v>
      </c>
      <c r="D152" s="165" t="s">
        <v>1045</v>
      </c>
      <c r="E152" s="165" t="s">
        <v>810</v>
      </c>
      <c r="F152" s="165" t="s">
        <v>210</v>
      </c>
      <c r="G152" s="165">
        <v>35.299999999999997</v>
      </c>
    </row>
    <row r="153" spans="1:7" x14ac:dyDescent="0.25">
      <c r="A153" s="165" t="s">
        <v>1046</v>
      </c>
      <c r="B153" s="165" t="s">
        <v>214</v>
      </c>
      <c r="C153" s="165" t="s">
        <v>1177</v>
      </c>
      <c r="D153" s="165" t="s">
        <v>981</v>
      </c>
      <c r="E153" s="165" t="s">
        <v>810</v>
      </c>
      <c r="F153" s="165" t="s">
        <v>809</v>
      </c>
      <c r="G153" s="165">
        <v>36.78</v>
      </c>
    </row>
    <row r="154" spans="1:7" x14ac:dyDescent="0.25">
      <c r="A154" s="165" t="s">
        <v>1046</v>
      </c>
      <c r="B154" s="165" t="s">
        <v>214</v>
      </c>
      <c r="C154" s="165" t="s">
        <v>1177</v>
      </c>
      <c r="D154" s="165" t="s">
        <v>1045</v>
      </c>
      <c r="E154" s="165" t="s">
        <v>810</v>
      </c>
      <c r="F154" s="165" t="s">
        <v>210</v>
      </c>
      <c r="G154" s="165">
        <v>40.65</v>
      </c>
    </row>
    <row r="155" spans="1:7" x14ac:dyDescent="0.25">
      <c r="A155" s="165" t="s">
        <v>1046</v>
      </c>
      <c r="B155" s="165" t="s">
        <v>215</v>
      </c>
      <c r="C155" s="165" t="s">
        <v>1178</v>
      </c>
      <c r="D155" s="165" t="s">
        <v>981</v>
      </c>
      <c r="E155" s="165" t="s">
        <v>810</v>
      </c>
      <c r="F155" s="165" t="s">
        <v>809</v>
      </c>
      <c r="G155" s="165">
        <v>37.590000000000003</v>
      </c>
    </row>
    <row r="156" spans="1:7" x14ac:dyDescent="0.25">
      <c r="A156" s="165" t="s">
        <v>1046</v>
      </c>
      <c r="B156" s="165" t="s">
        <v>215</v>
      </c>
      <c r="C156" s="165" t="s">
        <v>1178</v>
      </c>
      <c r="D156" s="165" t="s">
        <v>1045</v>
      </c>
      <c r="E156" s="165" t="s">
        <v>810</v>
      </c>
      <c r="F156" s="165" t="s">
        <v>210</v>
      </c>
      <c r="G156" s="165" t="s">
        <v>220</v>
      </c>
    </row>
    <row r="157" spans="1:7" x14ac:dyDescent="0.25">
      <c r="A157" s="165" t="s">
        <v>1046</v>
      </c>
      <c r="B157" s="165" t="s">
        <v>216</v>
      </c>
      <c r="C157" s="165" t="s">
        <v>1179</v>
      </c>
      <c r="D157" s="165" t="s">
        <v>981</v>
      </c>
      <c r="E157" s="165" t="s">
        <v>810</v>
      </c>
      <c r="F157" s="165" t="s">
        <v>809</v>
      </c>
      <c r="G157" s="165">
        <v>36.369999999999997</v>
      </c>
    </row>
    <row r="158" spans="1:7" x14ac:dyDescent="0.25">
      <c r="A158" s="165" t="s">
        <v>1046</v>
      </c>
      <c r="B158" s="165" t="s">
        <v>216</v>
      </c>
      <c r="C158" s="165" t="s">
        <v>1179</v>
      </c>
      <c r="D158" s="165" t="s">
        <v>1045</v>
      </c>
      <c r="E158" s="165" t="s">
        <v>810</v>
      </c>
      <c r="F158" s="165" t="s">
        <v>210</v>
      </c>
      <c r="G158" s="165">
        <v>26.94</v>
      </c>
    </row>
    <row r="159" spans="1:7" x14ac:dyDescent="0.25">
      <c r="A159" s="165" t="s">
        <v>1046</v>
      </c>
      <c r="B159" s="165" t="s">
        <v>217</v>
      </c>
      <c r="C159" s="165" t="s">
        <v>915</v>
      </c>
      <c r="D159" s="165" t="s">
        <v>981</v>
      </c>
      <c r="E159" s="165" t="s">
        <v>810</v>
      </c>
      <c r="F159" s="165" t="s">
        <v>809</v>
      </c>
      <c r="G159" s="165">
        <v>36.130000000000003</v>
      </c>
    </row>
    <row r="160" spans="1:7" x14ac:dyDescent="0.25">
      <c r="A160" s="165" t="s">
        <v>1046</v>
      </c>
      <c r="B160" s="165" t="s">
        <v>217</v>
      </c>
      <c r="C160" s="165" t="s">
        <v>915</v>
      </c>
      <c r="D160" s="165" t="s">
        <v>1045</v>
      </c>
      <c r="E160" s="165" t="s">
        <v>810</v>
      </c>
      <c r="F160" s="165" t="s">
        <v>210</v>
      </c>
      <c r="G160" s="165" t="s">
        <v>220</v>
      </c>
    </row>
    <row r="161" spans="1:7" x14ac:dyDescent="0.25">
      <c r="A161" s="165" t="s">
        <v>1046</v>
      </c>
      <c r="B161" s="165" t="s">
        <v>223</v>
      </c>
      <c r="C161" s="165" t="s">
        <v>1173</v>
      </c>
      <c r="D161" s="165" t="s">
        <v>981</v>
      </c>
      <c r="E161" s="165" t="s">
        <v>209</v>
      </c>
      <c r="F161" s="165" t="s">
        <v>809</v>
      </c>
      <c r="G161" s="165">
        <v>34.21</v>
      </c>
    </row>
    <row r="162" spans="1:7" x14ac:dyDescent="0.25">
      <c r="A162" s="165" t="s">
        <v>1046</v>
      </c>
      <c r="B162" s="165" t="s">
        <v>223</v>
      </c>
      <c r="C162" s="165" t="s">
        <v>1173</v>
      </c>
      <c r="D162" s="165" t="s">
        <v>1045</v>
      </c>
      <c r="E162" s="165" t="s">
        <v>209</v>
      </c>
      <c r="F162" s="165" t="s">
        <v>210</v>
      </c>
      <c r="G162" s="165">
        <v>20.420000000000002</v>
      </c>
    </row>
    <row r="163" spans="1:7" x14ac:dyDescent="0.25">
      <c r="A163" s="165" t="s">
        <v>1046</v>
      </c>
      <c r="B163" s="165" t="s">
        <v>234</v>
      </c>
      <c r="C163" s="165" t="s">
        <v>1175</v>
      </c>
      <c r="D163" s="165" t="s">
        <v>981</v>
      </c>
      <c r="E163" s="165" t="s">
        <v>209</v>
      </c>
      <c r="F163" s="165" t="s">
        <v>809</v>
      </c>
      <c r="G163" s="165">
        <v>35.409999999999997</v>
      </c>
    </row>
    <row r="164" spans="1:7" x14ac:dyDescent="0.25">
      <c r="A164" s="165" t="s">
        <v>1046</v>
      </c>
      <c r="B164" s="165" t="s">
        <v>234</v>
      </c>
      <c r="C164" s="165" t="s">
        <v>1175</v>
      </c>
      <c r="D164" s="165" t="s">
        <v>1045</v>
      </c>
      <c r="E164" s="165" t="s">
        <v>209</v>
      </c>
      <c r="F164" s="165" t="s">
        <v>210</v>
      </c>
      <c r="G164" s="165">
        <v>24.93</v>
      </c>
    </row>
    <row r="165" spans="1:7" x14ac:dyDescent="0.25">
      <c r="A165" s="165" t="s">
        <v>1046</v>
      </c>
      <c r="B165" s="165" t="s">
        <v>235</v>
      </c>
      <c r="C165" s="165" t="s">
        <v>1174</v>
      </c>
      <c r="D165" s="165" t="s">
        <v>981</v>
      </c>
      <c r="E165" s="165" t="s">
        <v>209</v>
      </c>
      <c r="F165" s="165" t="s">
        <v>809</v>
      </c>
      <c r="G165" s="165">
        <v>32.21</v>
      </c>
    </row>
    <row r="166" spans="1:7" x14ac:dyDescent="0.25">
      <c r="A166" s="165" t="s">
        <v>1046</v>
      </c>
      <c r="B166" s="165" t="s">
        <v>235</v>
      </c>
      <c r="C166" s="165" t="s">
        <v>1174</v>
      </c>
      <c r="D166" s="165" t="s">
        <v>1045</v>
      </c>
      <c r="E166" s="165" t="s">
        <v>209</v>
      </c>
      <c r="F166" s="165" t="s">
        <v>210</v>
      </c>
      <c r="G166" s="165">
        <v>27.62</v>
      </c>
    </row>
    <row r="167" spans="1:7" x14ac:dyDescent="0.25">
      <c r="A167" s="165" t="s">
        <v>1046</v>
      </c>
      <c r="B167" s="165" t="s">
        <v>236</v>
      </c>
      <c r="C167" s="165" t="s">
        <v>1176</v>
      </c>
      <c r="D167" s="165" t="s">
        <v>981</v>
      </c>
      <c r="E167" s="165" t="s">
        <v>209</v>
      </c>
      <c r="F167" s="165" t="s">
        <v>809</v>
      </c>
      <c r="G167" s="165">
        <v>31.44</v>
      </c>
    </row>
    <row r="168" spans="1:7" x14ac:dyDescent="0.25">
      <c r="A168" s="165" t="s">
        <v>1046</v>
      </c>
      <c r="B168" s="165" t="s">
        <v>236</v>
      </c>
      <c r="C168" s="165" t="s">
        <v>1176</v>
      </c>
      <c r="D168" s="165" t="s">
        <v>1045</v>
      </c>
      <c r="E168" s="165" t="s">
        <v>209</v>
      </c>
      <c r="F168" s="165" t="s">
        <v>210</v>
      </c>
      <c r="G168" s="165">
        <v>34.99</v>
      </c>
    </row>
    <row r="169" spans="1:7" x14ac:dyDescent="0.25">
      <c r="A169" s="165" t="s">
        <v>1046</v>
      </c>
      <c r="B169" s="165" t="s">
        <v>237</v>
      </c>
      <c r="C169" s="165" t="s">
        <v>1177</v>
      </c>
      <c r="D169" s="165" t="s">
        <v>981</v>
      </c>
      <c r="E169" s="165" t="s">
        <v>209</v>
      </c>
      <c r="F169" s="165" t="s">
        <v>809</v>
      </c>
      <c r="G169" s="165">
        <v>31.16</v>
      </c>
    </row>
    <row r="170" spans="1:7" x14ac:dyDescent="0.25">
      <c r="A170" s="165" t="s">
        <v>1046</v>
      </c>
      <c r="B170" s="165" t="s">
        <v>237</v>
      </c>
      <c r="C170" s="165" t="s">
        <v>1177</v>
      </c>
      <c r="D170" s="165" t="s">
        <v>1045</v>
      </c>
      <c r="E170" s="165" t="s">
        <v>209</v>
      </c>
      <c r="F170" s="165" t="s">
        <v>210</v>
      </c>
      <c r="G170" s="165">
        <v>36.630000000000003</v>
      </c>
    </row>
    <row r="171" spans="1:7" x14ac:dyDescent="0.25">
      <c r="A171" s="165" t="s">
        <v>1046</v>
      </c>
      <c r="B171" s="165" t="s">
        <v>238</v>
      </c>
      <c r="C171" s="165" t="s">
        <v>1178</v>
      </c>
      <c r="D171" s="165" t="s">
        <v>981</v>
      </c>
      <c r="E171" s="165" t="s">
        <v>209</v>
      </c>
      <c r="F171" s="165" t="s">
        <v>809</v>
      </c>
      <c r="G171" s="165">
        <v>30.9</v>
      </c>
    </row>
    <row r="172" spans="1:7" x14ac:dyDescent="0.25">
      <c r="A172" s="165" t="s">
        <v>1046</v>
      </c>
      <c r="B172" s="165" t="s">
        <v>238</v>
      </c>
      <c r="C172" s="165" t="s">
        <v>1178</v>
      </c>
      <c r="D172" s="165" t="s">
        <v>1045</v>
      </c>
      <c r="E172" s="165" t="s">
        <v>209</v>
      </c>
      <c r="F172" s="165" t="s">
        <v>210</v>
      </c>
      <c r="G172" s="165">
        <v>38.049999999999997</v>
      </c>
    </row>
    <row r="173" spans="1:7" x14ac:dyDescent="0.25">
      <c r="A173" s="165" t="s">
        <v>1046</v>
      </c>
      <c r="B173" s="165" t="s">
        <v>239</v>
      </c>
      <c r="C173" s="165" t="s">
        <v>1179</v>
      </c>
      <c r="D173" s="165" t="s">
        <v>981</v>
      </c>
      <c r="E173" s="165" t="s">
        <v>209</v>
      </c>
      <c r="F173" s="165" t="s">
        <v>809</v>
      </c>
      <c r="G173" s="165">
        <v>32.68</v>
      </c>
    </row>
    <row r="174" spans="1:7" x14ac:dyDescent="0.25">
      <c r="A174" s="165" t="s">
        <v>1046</v>
      </c>
      <c r="B174" s="165" t="s">
        <v>239</v>
      </c>
      <c r="C174" s="165" t="s">
        <v>1179</v>
      </c>
      <c r="D174" s="165" t="s">
        <v>1045</v>
      </c>
      <c r="E174" s="165" t="s">
        <v>209</v>
      </c>
      <c r="F174" s="165" t="s">
        <v>210</v>
      </c>
      <c r="G174" s="165">
        <v>25.49</v>
      </c>
    </row>
    <row r="175" spans="1:7" x14ac:dyDescent="0.25">
      <c r="A175" s="165" t="s">
        <v>1046</v>
      </c>
      <c r="B175" s="165" t="s">
        <v>242</v>
      </c>
      <c r="C175" s="165" t="s">
        <v>915</v>
      </c>
      <c r="D175" s="165" t="s">
        <v>981</v>
      </c>
      <c r="E175" s="165" t="s">
        <v>209</v>
      </c>
      <c r="F175" s="165" t="s">
        <v>809</v>
      </c>
      <c r="G175" s="165">
        <v>31.24</v>
      </c>
    </row>
    <row r="176" spans="1:7" x14ac:dyDescent="0.25">
      <c r="A176" s="165" t="s">
        <v>1046</v>
      </c>
      <c r="B176" s="165" t="s">
        <v>242</v>
      </c>
      <c r="C176" s="165" t="s">
        <v>915</v>
      </c>
      <c r="D176" s="165" t="s">
        <v>1045</v>
      </c>
      <c r="E176" s="165" t="s">
        <v>209</v>
      </c>
      <c r="F176" s="165" t="s">
        <v>210</v>
      </c>
      <c r="G176" s="165">
        <v>38.39</v>
      </c>
    </row>
    <row r="177" spans="1:10" x14ac:dyDescent="0.25">
      <c r="A177" t="s">
        <v>1043</v>
      </c>
      <c r="B177" s="165" t="s">
        <v>988</v>
      </c>
      <c r="C177" s="165" t="s">
        <v>1173</v>
      </c>
      <c r="D177" s="165" t="s">
        <v>991</v>
      </c>
      <c r="E177" s="165" t="s">
        <v>810</v>
      </c>
      <c r="F177" s="165" t="s">
        <v>210</v>
      </c>
      <c r="G177" s="165">
        <v>24.45</v>
      </c>
      <c r="I177" s="165"/>
      <c r="J177" s="165"/>
    </row>
    <row r="178" spans="1:10" x14ac:dyDescent="0.25">
      <c r="A178" s="165" t="s">
        <v>1043</v>
      </c>
      <c r="B178" s="165" t="s">
        <v>993</v>
      </c>
      <c r="C178" s="165" t="s">
        <v>1173</v>
      </c>
      <c r="D178" s="165" t="s">
        <v>994</v>
      </c>
      <c r="E178" s="165" t="s">
        <v>810</v>
      </c>
      <c r="F178" s="165" t="s">
        <v>809</v>
      </c>
      <c r="G178" s="165"/>
      <c r="I178" s="165"/>
      <c r="J178" s="165"/>
    </row>
    <row r="179" spans="1:10" x14ac:dyDescent="0.25">
      <c r="A179" s="165" t="s">
        <v>1043</v>
      </c>
      <c r="B179" s="165" t="s">
        <v>996</v>
      </c>
      <c r="C179" s="165" t="s">
        <v>1175</v>
      </c>
      <c r="D179" s="165" t="s">
        <v>991</v>
      </c>
      <c r="E179" s="165" t="s">
        <v>810</v>
      </c>
      <c r="F179" s="165" t="s">
        <v>210</v>
      </c>
      <c r="G179" s="165">
        <v>26.95</v>
      </c>
      <c r="I179" s="165"/>
      <c r="J179" s="165"/>
    </row>
    <row r="180" spans="1:10" x14ac:dyDescent="0.25">
      <c r="A180" s="165" t="s">
        <v>1043</v>
      </c>
      <c r="B180" s="165" t="s">
        <v>998</v>
      </c>
      <c r="C180" s="165" t="s">
        <v>1175</v>
      </c>
      <c r="D180" s="165" t="s">
        <v>994</v>
      </c>
      <c r="E180" s="165" t="s">
        <v>810</v>
      </c>
      <c r="F180" s="165" t="s">
        <v>809</v>
      </c>
      <c r="G180" s="165">
        <v>34.909999999999997</v>
      </c>
      <c r="I180" s="165"/>
      <c r="J180" s="165"/>
    </row>
    <row r="181" spans="1:10" x14ac:dyDescent="0.25">
      <c r="A181" s="165" t="s">
        <v>1043</v>
      </c>
      <c r="B181" s="165" t="s">
        <v>999</v>
      </c>
      <c r="C181" s="165" t="s">
        <v>1174</v>
      </c>
      <c r="D181" s="165" t="s">
        <v>991</v>
      </c>
      <c r="E181" s="165" t="s">
        <v>810</v>
      </c>
      <c r="F181" s="165" t="s">
        <v>210</v>
      </c>
      <c r="G181" s="165">
        <v>30.57</v>
      </c>
      <c r="I181" s="165"/>
      <c r="J181" s="165"/>
    </row>
    <row r="182" spans="1:10" x14ac:dyDescent="0.25">
      <c r="A182" s="165" t="s">
        <v>1043</v>
      </c>
      <c r="B182" s="165" t="s">
        <v>1001</v>
      </c>
      <c r="C182" s="165" t="s">
        <v>1174</v>
      </c>
      <c r="D182" s="165" t="s">
        <v>994</v>
      </c>
      <c r="E182" s="165" t="s">
        <v>810</v>
      </c>
      <c r="F182" s="165" t="s">
        <v>809</v>
      </c>
      <c r="G182" s="165">
        <v>34.590000000000003</v>
      </c>
      <c r="I182" s="165"/>
      <c r="J182" s="165"/>
    </row>
    <row r="183" spans="1:10" x14ac:dyDescent="0.25">
      <c r="A183" s="165" t="s">
        <v>1043</v>
      </c>
      <c r="B183" s="165" t="s">
        <v>1003</v>
      </c>
      <c r="C183" s="165" t="s">
        <v>1176</v>
      </c>
      <c r="D183" s="165" t="s">
        <v>991</v>
      </c>
      <c r="E183" s="165" t="s">
        <v>810</v>
      </c>
      <c r="F183" s="165" t="s">
        <v>210</v>
      </c>
      <c r="G183" s="165">
        <v>36.75</v>
      </c>
      <c r="I183" s="165"/>
      <c r="J183" s="165"/>
    </row>
    <row r="184" spans="1:10" x14ac:dyDescent="0.25">
      <c r="A184" s="165" t="s">
        <v>1043</v>
      </c>
      <c r="B184" s="165" t="s">
        <v>1005</v>
      </c>
      <c r="C184" s="165" t="s">
        <v>1176</v>
      </c>
      <c r="D184" s="165" t="s">
        <v>994</v>
      </c>
      <c r="E184" s="165" t="s">
        <v>810</v>
      </c>
      <c r="F184" s="165" t="s">
        <v>809</v>
      </c>
      <c r="G184" s="165"/>
      <c r="I184" s="165"/>
      <c r="J184" s="165"/>
    </row>
    <row r="185" spans="1:10" x14ac:dyDescent="0.25">
      <c r="A185" s="165" t="s">
        <v>1043</v>
      </c>
      <c r="B185" s="165" t="s">
        <v>1006</v>
      </c>
      <c r="C185" s="165" t="s">
        <v>1177</v>
      </c>
      <c r="D185" s="165" t="s">
        <v>991</v>
      </c>
      <c r="E185" s="165" t="s">
        <v>810</v>
      </c>
      <c r="F185" s="165" t="s">
        <v>210</v>
      </c>
      <c r="G185" s="165"/>
      <c r="I185" s="165"/>
      <c r="J185" s="165"/>
    </row>
    <row r="186" spans="1:10" x14ac:dyDescent="0.25">
      <c r="A186" s="165" t="s">
        <v>1043</v>
      </c>
      <c r="B186" s="165" t="s">
        <v>1008</v>
      </c>
      <c r="C186" s="165" t="s">
        <v>1177</v>
      </c>
      <c r="D186" s="165" t="s">
        <v>994</v>
      </c>
      <c r="E186" s="165" t="s">
        <v>810</v>
      </c>
      <c r="F186" s="165" t="s">
        <v>809</v>
      </c>
      <c r="G186" s="165"/>
      <c r="I186" s="165"/>
      <c r="J186" s="165"/>
    </row>
    <row r="187" spans="1:10" x14ac:dyDescent="0.25">
      <c r="A187" s="165" t="s">
        <v>1043</v>
      </c>
      <c r="B187" s="165" t="s">
        <v>1009</v>
      </c>
      <c r="C187" s="165" t="s">
        <v>1178</v>
      </c>
      <c r="D187" s="165" t="s">
        <v>991</v>
      </c>
      <c r="E187" s="165" t="s">
        <v>810</v>
      </c>
      <c r="F187" s="165" t="s">
        <v>210</v>
      </c>
      <c r="G187" s="165"/>
      <c r="I187" s="165"/>
      <c r="J187" s="165"/>
    </row>
    <row r="188" spans="1:10" x14ac:dyDescent="0.25">
      <c r="A188" s="165" t="s">
        <v>1043</v>
      </c>
      <c r="B188" s="165" t="s">
        <v>1011</v>
      </c>
      <c r="C188" s="165" t="s">
        <v>1178</v>
      </c>
      <c r="D188" s="165" t="s">
        <v>994</v>
      </c>
      <c r="E188" s="165" t="s">
        <v>810</v>
      </c>
      <c r="F188" s="165" t="s">
        <v>809</v>
      </c>
      <c r="G188" s="165"/>
      <c r="I188" s="165"/>
      <c r="J188" s="165"/>
    </row>
    <row r="189" spans="1:10" x14ac:dyDescent="0.25">
      <c r="A189" s="165" t="s">
        <v>1043</v>
      </c>
      <c r="B189" s="165" t="s">
        <v>1012</v>
      </c>
      <c r="C189" s="165" t="s">
        <v>1179</v>
      </c>
      <c r="D189" s="165" t="s">
        <v>991</v>
      </c>
      <c r="E189" s="165" t="s">
        <v>810</v>
      </c>
      <c r="F189" s="165" t="s">
        <v>210</v>
      </c>
      <c r="G189" s="165"/>
      <c r="I189" s="165"/>
      <c r="J189" s="165"/>
    </row>
    <row r="190" spans="1:10" x14ac:dyDescent="0.25">
      <c r="A190" s="165" t="s">
        <v>1043</v>
      </c>
      <c r="B190" s="165" t="s">
        <v>1014</v>
      </c>
      <c r="C190" s="165" t="s">
        <v>1179</v>
      </c>
      <c r="D190" s="165" t="s">
        <v>994</v>
      </c>
      <c r="E190" s="165" t="s">
        <v>810</v>
      </c>
      <c r="F190" s="165" t="s">
        <v>809</v>
      </c>
      <c r="G190" s="165"/>
      <c r="I190" s="165"/>
      <c r="J190" s="165"/>
    </row>
    <row r="191" spans="1:10" x14ac:dyDescent="0.25">
      <c r="A191" s="165" t="s">
        <v>1043</v>
      </c>
      <c r="B191" s="165" t="s">
        <v>1015</v>
      </c>
      <c r="C191" s="165" t="s">
        <v>915</v>
      </c>
      <c r="D191" s="165" t="s">
        <v>991</v>
      </c>
      <c r="E191" s="165" t="s">
        <v>810</v>
      </c>
      <c r="F191" s="165" t="s">
        <v>210</v>
      </c>
      <c r="G191" s="165"/>
      <c r="I191" s="165"/>
      <c r="J191" s="165"/>
    </row>
    <row r="192" spans="1:10" x14ac:dyDescent="0.25">
      <c r="A192" s="165" t="s">
        <v>1043</v>
      </c>
      <c r="B192" s="165" t="s">
        <v>1018</v>
      </c>
      <c r="C192" s="165" t="s">
        <v>915</v>
      </c>
      <c r="D192" s="165" t="s">
        <v>994</v>
      </c>
      <c r="E192" s="165" t="s">
        <v>810</v>
      </c>
      <c r="F192" s="165" t="s">
        <v>809</v>
      </c>
      <c r="G192" s="165"/>
      <c r="I192" s="165"/>
      <c r="J192" s="165"/>
    </row>
    <row r="193" spans="1:10" x14ac:dyDescent="0.25">
      <c r="A193" s="165" t="s">
        <v>1043</v>
      </c>
      <c r="B193" s="165" t="s">
        <v>1019</v>
      </c>
      <c r="C193" s="165" t="s">
        <v>1173</v>
      </c>
      <c r="D193" s="165" t="s">
        <v>991</v>
      </c>
      <c r="E193" s="165" t="s">
        <v>209</v>
      </c>
      <c r="F193" s="165" t="s">
        <v>210</v>
      </c>
      <c r="G193" s="165">
        <v>21.63</v>
      </c>
      <c r="I193" s="165"/>
      <c r="J193" s="165"/>
    </row>
    <row r="194" spans="1:10" x14ac:dyDescent="0.25">
      <c r="A194" s="165" t="s">
        <v>1043</v>
      </c>
      <c r="B194" s="165" t="s">
        <v>1021</v>
      </c>
      <c r="C194" s="165" t="s">
        <v>1173</v>
      </c>
      <c r="D194" s="165" t="s">
        <v>994</v>
      </c>
      <c r="E194" s="165" t="s">
        <v>209</v>
      </c>
      <c r="F194" s="165" t="s">
        <v>809</v>
      </c>
      <c r="G194" s="165">
        <v>39.4</v>
      </c>
      <c r="I194" s="165"/>
      <c r="J194" s="165"/>
    </row>
    <row r="195" spans="1:10" x14ac:dyDescent="0.25">
      <c r="A195" s="165" t="s">
        <v>1043</v>
      </c>
      <c r="B195" s="165" t="s">
        <v>1022</v>
      </c>
      <c r="C195" s="165" t="s">
        <v>1175</v>
      </c>
      <c r="D195" s="165" t="s">
        <v>991</v>
      </c>
      <c r="E195" s="165" t="s">
        <v>209</v>
      </c>
      <c r="F195" s="165" t="s">
        <v>210</v>
      </c>
      <c r="G195" s="165">
        <v>26.11</v>
      </c>
      <c r="I195" s="165"/>
      <c r="J195" s="165"/>
    </row>
    <row r="196" spans="1:10" x14ac:dyDescent="0.25">
      <c r="A196" s="165" t="s">
        <v>1043</v>
      </c>
      <c r="B196" s="165" t="s">
        <v>1024</v>
      </c>
      <c r="C196" s="165" t="s">
        <v>1175</v>
      </c>
      <c r="D196" s="165" t="s">
        <v>994</v>
      </c>
      <c r="E196" s="165" t="s">
        <v>209</v>
      </c>
      <c r="F196" s="165" t="s">
        <v>809</v>
      </c>
      <c r="G196" s="165">
        <v>34.57</v>
      </c>
      <c r="I196" s="165"/>
      <c r="J196" s="165"/>
    </row>
    <row r="197" spans="1:10" x14ac:dyDescent="0.25">
      <c r="A197" s="165" t="s">
        <v>1043</v>
      </c>
      <c r="B197" s="165" t="s">
        <v>1025</v>
      </c>
      <c r="C197" s="165" t="s">
        <v>1174</v>
      </c>
      <c r="D197" s="165" t="s">
        <v>991</v>
      </c>
      <c r="E197" s="165" t="s">
        <v>209</v>
      </c>
      <c r="F197" s="165" t="s">
        <v>210</v>
      </c>
      <c r="G197" s="165">
        <v>29.8</v>
      </c>
      <c r="I197" s="165"/>
      <c r="J197" s="165"/>
    </row>
    <row r="198" spans="1:10" x14ac:dyDescent="0.25">
      <c r="A198" s="165" t="s">
        <v>1043</v>
      </c>
      <c r="B198" s="165" t="s">
        <v>1027</v>
      </c>
      <c r="C198" s="165" t="s">
        <v>1174</v>
      </c>
      <c r="D198" s="165" t="s">
        <v>994</v>
      </c>
      <c r="E198" s="165" t="s">
        <v>209</v>
      </c>
      <c r="F198" s="165" t="s">
        <v>809</v>
      </c>
      <c r="G198" s="165">
        <v>33.76</v>
      </c>
      <c r="I198" s="165"/>
      <c r="J198" s="165"/>
    </row>
    <row r="199" spans="1:10" x14ac:dyDescent="0.25">
      <c r="A199" s="165" t="s">
        <v>1043</v>
      </c>
      <c r="B199" s="165" t="s">
        <v>1028</v>
      </c>
      <c r="C199" s="165" t="s">
        <v>1176</v>
      </c>
      <c r="D199" s="165" t="s">
        <v>991</v>
      </c>
      <c r="E199" s="165" t="s">
        <v>209</v>
      </c>
      <c r="F199" s="165" t="s">
        <v>210</v>
      </c>
      <c r="G199" s="165">
        <v>36.590000000000003</v>
      </c>
      <c r="I199" s="165"/>
      <c r="J199" s="165"/>
    </row>
    <row r="200" spans="1:10" x14ac:dyDescent="0.25">
      <c r="A200" s="165" t="s">
        <v>1043</v>
      </c>
      <c r="B200" s="165" t="s">
        <v>1030</v>
      </c>
      <c r="C200" s="165" t="s">
        <v>1176</v>
      </c>
      <c r="D200" s="165" t="s">
        <v>994</v>
      </c>
      <c r="E200" s="165" t="s">
        <v>209</v>
      </c>
      <c r="F200" s="165" t="s">
        <v>809</v>
      </c>
      <c r="G200" s="165">
        <v>32.96</v>
      </c>
      <c r="I200" s="165"/>
      <c r="J200" s="165"/>
    </row>
    <row r="201" spans="1:10" x14ac:dyDescent="0.25">
      <c r="A201" s="165" t="s">
        <v>1043</v>
      </c>
      <c r="B201" s="165" t="s">
        <v>1031</v>
      </c>
      <c r="C201" s="165" t="s">
        <v>1177</v>
      </c>
      <c r="D201" s="165" t="s">
        <v>991</v>
      </c>
      <c r="E201" s="165" t="s">
        <v>209</v>
      </c>
      <c r="F201" s="165" t="s">
        <v>210</v>
      </c>
      <c r="G201" s="165"/>
      <c r="I201" s="165"/>
      <c r="J201" s="165"/>
    </row>
    <row r="202" spans="1:10" x14ac:dyDescent="0.25">
      <c r="A202" s="165" t="s">
        <v>1043</v>
      </c>
      <c r="B202" s="165" t="s">
        <v>1033</v>
      </c>
      <c r="C202" s="165" t="s">
        <v>1177</v>
      </c>
      <c r="D202" s="165" t="s">
        <v>994</v>
      </c>
      <c r="E202" s="165" t="s">
        <v>209</v>
      </c>
      <c r="F202" s="165" t="s">
        <v>809</v>
      </c>
      <c r="G202" s="165">
        <v>32.86</v>
      </c>
      <c r="I202" s="165"/>
      <c r="J202" s="165"/>
    </row>
    <row r="203" spans="1:10" x14ac:dyDescent="0.25">
      <c r="A203" s="165" t="s">
        <v>1043</v>
      </c>
      <c r="B203" s="165" t="s">
        <v>1034</v>
      </c>
      <c r="C203" s="165" t="s">
        <v>1178</v>
      </c>
      <c r="D203" s="165" t="s">
        <v>991</v>
      </c>
      <c r="E203" s="165" t="s">
        <v>209</v>
      </c>
      <c r="F203" s="165" t="s">
        <v>210</v>
      </c>
      <c r="G203" s="165">
        <v>39.67</v>
      </c>
      <c r="I203" s="165"/>
      <c r="J203" s="165"/>
    </row>
    <row r="204" spans="1:10" x14ac:dyDescent="0.25">
      <c r="A204" s="165" t="s">
        <v>1043</v>
      </c>
      <c r="B204" s="165" t="s">
        <v>1036</v>
      </c>
      <c r="C204" s="165" t="s">
        <v>1178</v>
      </c>
      <c r="D204" s="165" t="s">
        <v>994</v>
      </c>
      <c r="E204" s="165" t="s">
        <v>209</v>
      </c>
      <c r="F204" s="165" t="s">
        <v>809</v>
      </c>
      <c r="G204" s="165">
        <v>33.119999999999997</v>
      </c>
      <c r="I204" s="165"/>
      <c r="J204" s="165"/>
    </row>
    <row r="205" spans="1:10" x14ac:dyDescent="0.25">
      <c r="A205" s="165" t="s">
        <v>1043</v>
      </c>
      <c r="B205" s="165" t="s">
        <v>1037</v>
      </c>
      <c r="C205" s="165" t="s">
        <v>1179</v>
      </c>
      <c r="D205" s="165" t="s">
        <v>991</v>
      </c>
      <c r="E205" s="165" t="s">
        <v>209</v>
      </c>
      <c r="F205" s="165" t="s">
        <v>210</v>
      </c>
      <c r="G205" s="165">
        <v>28.12</v>
      </c>
      <c r="I205" s="165"/>
      <c r="J205" s="165"/>
    </row>
    <row r="206" spans="1:10" x14ac:dyDescent="0.25">
      <c r="A206" s="165" t="s">
        <v>1043</v>
      </c>
      <c r="B206" s="165" t="s">
        <v>1039</v>
      </c>
      <c r="C206" s="165" t="s">
        <v>1179</v>
      </c>
      <c r="D206" s="165" t="s">
        <v>994</v>
      </c>
      <c r="E206" s="165" t="s">
        <v>209</v>
      </c>
      <c r="F206" s="165" t="s">
        <v>809</v>
      </c>
      <c r="G206" s="165">
        <v>34.44</v>
      </c>
      <c r="I206" s="165"/>
      <c r="J206" s="165"/>
    </row>
    <row r="207" spans="1:10" x14ac:dyDescent="0.25">
      <c r="A207" s="165" t="s">
        <v>1043</v>
      </c>
      <c r="B207" s="165" t="s">
        <v>1040</v>
      </c>
      <c r="C207" s="165" t="s">
        <v>915</v>
      </c>
      <c r="D207" s="165" t="s">
        <v>991</v>
      </c>
      <c r="E207" s="165" t="s">
        <v>209</v>
      </c>
      <c r="F207" s="165" t="s">
        <v>210</v>
      </c>
      <c r="G207" s="165"/>
      <c r="I207" s="165"/>
      <c r="J207" s="165"/>
    </row>
    <row r="208" spans="1:10" x14ac:dyDescent="0.25">
      <c r="A208" s="165" t="s">
        <v>1043</v>
      </c>
      <c r="B208" s="165" t="s">
        <v>1042</v>
      </c>
      <c r="C208" s="165" t="s">
        <v>915</v>
      </c>
      <c r="D208" s="165" t="s">
        <v>994</v>
      </c>
      <c r="E208" s="165" t="s">
        <v>209</v>
      </c>
      <c r="F208" s="165" t="s">
        <v>809</v>
      </c>
      <c r="G208" s="165">
        <v>34.14</v>
      </c>
      <c r="I208" s="165"/>
      <c r="J208" s="165"/>
    </row>
  </sheetData>
  <phoneticPr fontId="12"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1EB32-BED6-4D39-B380-AA9C9493CA32}">
  <sheetPr codeName="Sheet32">
    <pageSetUpPr fitToPage="1"/>
  </sheetPr>
  <dimension ref="A1:H13"/>
  <sheetViews>
    <sheetView topLeftCell="I1" workbookViewId="0">
      <selection activeCell="K3" sqref="K3:Z31"/>
    </sheetView>
  </sheetViews>
  <sheetFormatPr defaultRowHeight="15" x14ac:dyDescent="0.25"/>
  <cols>
    <col min="1" max="1" width="13.7109375" bestFit="1" customWidth="1"/>
    <col min="2" max="2" width="16.28515625" bestFit="1" customWidth="1"/>
    <col min="3" max="6" width="12" bestFit="1" customWidth="1"/>
    <col min="7" max="7" width="11" bestFit="1" customWidth="1"/>
    <col min="8" max="8" width="12" bestFit="1" customWidth="1"/>
    <col min="9" max="9" width="11" bestFit="1" customWidth="1"/>
    <col min="10" max="10" width="11.28515625" bestFit="1" customWidth="1"/>
  </cols>
  <sheetData>
    <row r="1" spans="1:8" x14ac:dyDescent="0.25">
      <c r="A1" s="177" t="s">
        <v>201</v>
      </c>
      <c r="B1" s="165" t="s">
        <v>210</v>
      </c>
    </row>
    <row r="3" spans="1:8" x14ac:dyDescent="0.25">
      <c r="A3" s="177" t="s">
        <v>1227</v>
      </c>
      <c r="B3" s="177" t="s">
        <v>1053</v>
      </c>
    </row>
    <row r="4" spans="1:8" x14ac:dyDescent="0.25">
      <c r="A4" s="177" t="s">
        <v>1052</v>
      </c>
      <c r="B4" s="165" t="s">
        <v>1173</v>
      </c>
      <c r="C4" s="165" t="s">
        <v>1175</v>
      </c>
      <c r="D4" s="165" t="s">
        <v>1174</v>
      </c>
      <c r="E4" s="165" t="s">
        <v>1176</v>
      </c>
      <c r="F4" s="165" t="s">
        <v>1177</v>
      </c>
      <c r="G4" s="165" t="s">
        <v>1178</v>
      </c>
      <c r="H4" s="165" t="s">
        <v>923</v>
      </c>
    </row>
    <row r="5" spans="1:8" x14ac:dyDescent="0.25">
      <c r="A5" s="88" t="s">
        <v>209</v>
      </c>
      <c r="B5" s="157">
        <v>21.429999999999996</v>
      </c>
      <c r="C5" s="157">
        <v>24.605</v>
      </c>
      <c r="D5" s="157">
        <v>27.849999999999998</v>
      </c>
      <c r="E5" s="157">
        <v>34.711666666666666</v>
      </c>
      <c r="F5" s="157">
        <v>37.81</v>
      </c>
      <c r="G5" s="157">
        <v>39.022500000000001</v>
      </c>
      <c r="H5" s="157">
        <v>29.442999999999998</v>
      </c>
    </row>
    <row r="6" spans="1:8" x14ac:dyDescent="0.25">
      <c r="A6" s="178" t="s">
        <v>1046</v>
      </c>
      <c r="B6" s="157">
        <v>20.420000000000002</v>
      </c>
      <c r="C6" s="157">
        <v>24.93</v>
      </c>
      <c r="D6" s="157">
        <v>27.62</v>
      </c>
      <c r="E6" s="157">
        <v>34.99</v>
      </c>
      <c r="F6" s="157">
        <v>36.630000000000003</v>
      </c>
      <c r="G6" s="157">
        <v>38.049999999999997</v>
      </c>
      <c r="H6" s="157">
        <v>30.439999999999998</v>
      </c>
    </row>
    <row r="7" spans="1:8" x14ac:dyDescent="0.25">
      <c r="A7" s="178" t="s">
        <v>1043</v>
      </c>
      <c r="B7" s="157">
        <v>21.63</v>
      </c>
      <c r="C7" s="157">
        <v>26.11</v>
      </c>
      <c r="D7" s="157">
        <v>29.8</v>
      </c>
      <c r="E7" s="157">
        <v>36.590000000000003</v>
      </c>
      <c r="F7" s="157"/>
      <c r="G7" s="157">
        <v>39.67</v>
      </c>
      <c r="H7" s="157">
        <v>30.76</v>
      </c>
    </row>
    <row r="8" spans="1:8" x14ac:dyDescent="0.25">
      <c r="A8" s="178" t="s">
        <v>982</v>
      </c>
      <c r="B8" s="157">
        <v>21.6325</v>
      </c>
      <c r="C8" s="157">
        <v>24.147499999999997</v>
      </c>
      <c r="D8" s="157">
        <v>27.419999999999998</v>
      </c>
      <c r="E8" s="157">
        <v>34.172499999999999</v>
      </c>
      <c r="F8" s="157">
        <v>38.99</v>
      </c>
      <c r="G8" s="157">
        <v>39.185000000000002</v>
      </c>
      <c r="H8" s="157">
        <v>28.781578947368423</v>
      </c>
    </row>
    <row r="9" spans="1:8" x14ac:dyDescent="0.25">
      <c r="A9" s="88" t="s">
        <v>810</v>
      </c>
      <c r="B9" s="157">
        <v>23.666666666666668</v>
      </c>
      <c r="C9" s="157">
        <v>25.916666666666668</v>
      </c>
      <c r="D9" s="157">
        <v>29.308333333333337</v>
      </c>
      <c r="E9" s="157">
        <v>35.126666666666665</v>
      </c>
      <c r="F9" s="157">
        <v>40.65</v>
      </c>
      <c r="G9" s="157" t="e">
        <v>#DIV/0!</v>
      </c>
      <c r="H9" s="157">
        <v>28.990400000000001</v>
      </c>
    </row>
    <row r="10" spans="1:8" x14ac:dyDescent="0.25">
      <c r="A10" s="178" t="s">
        <v>1046</v>
      </c>
      <c r="B10" s="157">
        <v>23.02</v>
      </c>
      <c r="C10" s="157">
        <v>26.76</v>
      </c>
      <c r="D10" s="157">
        <v>29.71</v>
      </c>
      <c r="E10" s="157">
        <v>35.299999999999997</v>
      </c>
      <c r="F10" s="157">
        <v>40.65</v>
      </c>
      <c r="G10" s="157" t="e">
        <v>#DIV/0!</v>
      </c>
      <c r="H10" s="157">
        <v>31.088000000000001</v>
      </c>
    </row>
    <row r="11" spans="1:8" x14ac:dyDescent="0.25">
      <c r="A11" s="178" t="s">
        <v>1043</v>
      </c>
      <c r="B11" s="157">
        <v>24.45</v>
      </c>
      <c r="C11" s="157">
        <v>26.95</v>
      </c>
      <c r="D11" s="157">
        <v>30.57</v>
      </c>
      <c r="E11" s="157">
        <v>36.75</v>
      </c>
      <c r="F11" s="157"/>
      <c r="G11" s="157"/>
      <c r="H11" s="157">
        <v>29.68</v>
      </c>
    </row>
    <row r="12" spans="1:8" x14ac:dyDescent="0.25">
      <c r="A12" s="178" t="s">
        <v>982</v>
      </c>
      <c r="B12" s="157">
        <v>23.6325</v>
      </c>
      <c r="C12" s="157">
        <v>25.447500000000002</v>
      </c>
      <c r="D12" s="157">
        <v>28.892500000000002</v>
      </c>
      <c r="E12" s="157">
        <v>34.677500000000002</v>
      </c>
      <c r="F12" s="157" t="e">
        <v>#DIV/0!</v>
      </c>
      <c r="G12" s="157" t="e">
        <v>#DIV/0!</v>
      </c>
      <c r="H12" s="157">
        <v>28.162499999999998</v>
      </c>
    </row>
    <row r="13" spans="1:8" x14ac:dyDescent="0.25">
      <c r="A13" s="88" t="s">
        <v>923</v>
      </c>
      <c r="B13" s="157">
        <v>22.548333333333332</v>
      </c>
      <c r="C13" s="157">
        <v>25.260833333333327</v>
      </c>
      <c r="D13" s="157">
        <v>28.579166666666666</v>
      </c>
      <c r="E13" s="157">
        <v>34.919166666666662</v>
      </c>
      <c r="F13" s="157">
        <v>38.756666666666668</v>
      </c>
      <c r="G13" s="157">
        <v>39.022500000000001</v>
      </c>
      <c r="H13" s="157">
        <v>29.237272727272728</v>
      </c>
    </row>
  </sheetData>
  <pageMargins left="0.7" right="0.7" top="0.75" bottom="0.75" header="0.3" footer="0.3"/>
  <pageSetup scale="48" orientation="landscape" horizontalDpi="300" verticalDpi="300"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B2C4F-F467-46F0-8834-FA97757E98F3}">
  <dimension ref="A1:H13"/>
  <sheetViews>
    <sheetView topLeftCell="I1" workbookViewId="0">
      <selection activeCell="AC2" sqref="AC2"/>
    </sheetView>
  </sheetViews>
  <sheetFormatPr defaultColWidth="9.140625" defaultRowHeight="15" x14ac:dyDescent="0.25"/>
  <cols>
    <col min="1" max="1" width="13.7109375" style="165" bestFit="1" customWidth="1"/>
    <col min="2" max="2" width="16.28515625" style="165" bestFit="1" customWidth="1"/>
    <col min="3" max="7" width="11" style="165" bestFit="1" customWidth="1"/>
    <col min="8" max="8" width="11.28515625" style="165" bestFit="1" customWidth="1"/>
    <col min="9" max="9" width="11" style="165" bestFit="1" customWidth="1"/>
    <col min="10" max="10" width="11.28515625" style="165" bestFit="1" customWidth="1"/>
    <col min="11" max="16384" width="9.140625" style="165"/>
  </cols>
  <sheetData>
    <row r="1" spans="1:8" x14ac:dyDescent="0.25">
      <c r="A1" s="177" t="s">
        <v>201</v>
      </c>
      <c r="B1" s="165" t="s">
        <v>809</v>
      </c>
    </row>
    <row r="3" spans="1:8" x14ac:dyDescent="0.25">
      <c r="A3" s="177" t="s">
        <v>1171</v>
      </c>
      <c r="B3" s="177" t="s">
        <v>1053</v>
      </c>
      <c r="C3"/>
      <c r="D3"/>
      <c r="E3"/>
      <c r="F3"/>
      <c r="G3"/>
      <c r="H3"/>
    </row>
    <row r="4" spans="1:8" x14ac:dyDescent="0.25">
      <c r="A4" s="177" t="s">
        <v>1052</v>
      </c>
      <c r="B4" s="165" t="s">
        <v>1173</v>
      </c>
      <c r="C4" s="165" t="s">
        <v>1175</v>
      </c>
      <c r="D4" s="165" t="s">
        <v>1174</v>
      </c>
      <c r="E4" s="165" t="s">
        <v>1176</v>
      </c>
      <c r="F4" s="165" t="s">
        <v>1177</v>
      </c>
      <c r="G4" s="165" t="s">
        <v>1178</v>
      </c>
      <c r="H4" s="165" t="s">
        <v>923</v>
      </c>
    </row>
    <row r="5" spans="1:8" x14ac:dyDescent="0.25">
      <c r="A5" s="88" t="s">
        <v>209</v>
      </c>
      <c r="B5" s="157">
        <v>41.15</v>
      </c>
      <c r="C5" s="157">
        <v>36.119999999999997</v>
      </c>
      <c r="D5" s="157">
        <v>33.880000000000003</v>
      </c>
      <c r="E5" s="157">
        <v>32.96</v>
      </c>
      <c r="F5" s="157">
        <v>32.86</v>
      </c>
      <c r="G5" s="157">
        <v>33.119999999999997</v>
      </c>
      <c r="H5" s="157">
        <v>41.15</v>
      </c>
    </row>
    <row r="6" spans="1:8" x14ac:dyDescent="0.25">
      <c r="A6" s="178" t="s">
        <v>1046</v>
      </c>
      <c r="B6" s="157">
        <v>34.21</v>
      </c>
      <c r="C6" s="157">
        <v>35.409999999999997</v>
      </c>
      <c r="D6" s="157">
        <v>32.21</v>
      </c>
      <c r="E6" s="157">
        <v>31.44</v>
      </c>
      <c r="F6" s="157">
        <v>31.16</v>
      </c>
      <c r="G6" s="157">
        <v>30.9</v>
      </c>
      <c r="H6" s="157">
        <v>35.409999999999997</v>
      </c>
    </row>
    <row r="7" spans="1:8" x14ac:dyDescent="0.25">
      <c r="A7" s="178" t="s">
        <v>1043</v>
      </c>
      <c r="B7" s="157">
        <v>39.4</v>
      </c>
      <c r="C7" s="157">
        <v>34.57</v>
      </c>
      <c r="D7" s="157">
        <v>33.76</v>
      </c>
      <c r="E7" s="157">
        <v>32.96</v>
      </c>
      <c r="F7" s="157">
        <v>32.86</v>
      </c>
      <c r="G7" s="157">
        <v>33.119999999999997</v>
      </c>
      <c r="H7" s="157">
        <v>39.4</v>
      </c>
    </row>
    <row r="8" spans="1:8" x14ac:dyDescent="0.25">
      <c r="A8" s="178" t="s">
        <v>982</v>
      </c>
      <c r="B8" s="157">
        <v>41.15</v>
      </c>
      <c r="C8" s="157">
        <v>36.119999999999997</v>
      </c>
      <c r="D8" s="157">
        <v>33.880000000000003</v>
      </c>
      <c r="E8" s="157">
        <v>31.58</v>
      </c>
      <c r="F8" s="157">
        <v>31.6</v>
      </c>
      <c r="G8" s="157">
        <v>31.42</v>
      </c>
      <c r="H8" s="157">
        <v>41.15</v>
      </c>
    </row>
    <row r="9" spans="1:8" x14ac:dyDescent="0.25">
      <c r="A9" s="88" t="s">
        <v>810</v>
      </c>
      <c r="B9" s="157">
        <v>39.82</v>
      </c>
      <c r="C9" s="157">
        <v>37.5</v>
      </c>
      <c r="D9" s="157">
        <v>36.700000000000003</v>
      </c>
      <c r="E9" s="157">
        <v>38.42</v>
      </c>
      <c r="F9" s="157">
        <v>38.229999999999997</v>
      </c>
      <c r="G9" s="157">
        <v>37.590000000000003</v>
      </c>
      <c r="H9" s="157">
        <v>39.82</v>
      </c>
    </row>
    <row r="10" spans="1:8" x14ac:dyDescent="0.25">
      <c r="A10" s="178" t="s">
        <v>1046</v>
      </c>
      <c r="B10" s="157">
        <v>35.799999999999997</v>
      </c>
      <c r="C10" s="157">
        <v>37.340000000000003</v>
      </c>
      <c r="D10" s="157">
        <v>36.549999999999997</v>
      </c>
      <c r="E10" s="157">
        <v>35.700000000000003</v>
      </c>
      <c r="F10" s="157">
        <v>36.78</v>
      </c>
      <c r="G10" s="157">
        <v>37.590000000000003</v>
      </c>
      <c r="H10" s="157">
        <v>37.590000000000003</v>
      </c>
    </row>
    <row r="11" spans="1:8" x14ac:dyDescent="0.25">
      <c r="A11" s="178" t="s">
        <v>1043</v>
      </c>
      <c r="B11" s="157"/>
      <c r="C11" s="157">
        <v>34.909999999999997</v>
      </c>
      <c r="D11" s="157">
        <v>34.590000000000003</v>
      </c>
      <c r="E11" s="157"/>
      <c r="F11" s="157"/>
      <c r="G11" s="157"/>
      <c r="H11" s="157">
        <v>34.909999999999997</v>
      </c>
    </row>
    <row r="12" spans="1:8" x14ac:dyDescent="0.25">
      <c r="A12" s="178" t="s">
        <v>982</v>
      </c>
      <c r="B12" s="157">
        <v>39.82</v>
      </c>
      <c r="C12" s="157">
        <v>37.5</v>
      </c>
      <c r="D12" s="157">
        <v>36.700000000000003</v>
      </c>
      <c r="E12" s="157">
        <v>38.42</v>
      </c>
      <c r="F12" s="157">
        <v>38.229999999999997</v>
      </c>
      <c r="G12" s="157">
        <v>37.04</v>
      </c>
      <c r="H12" s="157">
        <v>39.82</v>
      </c>
    </row>
    <row r="13" spans="1:8" x14ac:dyDescent="0.25">
      <c r="A13" s="88" t="s">
        <v>923</v>
      </c>
      <c r="B13" s="157">
        <v>41.15</v>
      </c>
      <c r="C13" s="157">
        <v>37.5</v>
      </c>
      <c r="D13" s="157">
        <v>36.700000000000003</v>
      </c>
      <c r="E13" s="157">
        <v>38.42</v>
      </c>
      <c r="F13" s="157">
        <v>38.229999999999997</v>
      </c>
      <c r="G13" s="157">
        <v>37.590000000000003</v>
      </c>
      <c r="H13" s="157">
        <v>41.15</v>
      </c>
    </row>
  </sheetData>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7F819-B8F9-4314-8EC5-F2CFD50B9031}">
  <sheetPr codeName="Sheet33"/>
  <dimension ref="A1:H13"/>
  <sheetViews>
    <sheetView topLeftCell="I1" workbookViewId="0">
      <selection activeCell="AC23" sqref="AC23"/>
    </sheetView>
  </sheetViews>
  <sheetFormatPr defaultColWidth="9.140625" defaultRowHeight="15" x14ac:dyDescent="0.25"/>
  <cols>
    <col min="1" max="1" width="13.7109375" style="165" bestFit="1" customWidth="1"/>
    <col min="2" max="2" width="16.28515625" style="165" bestFit="1" customWidth="1"/>
    <col min="3" max="7" width="11" style="165" bestFit="1" customWidth="1"/>
    <col min="8" max="8" width="11.28515625" style="165" bestFit="1" customWidth="1"/>
    <col min="9" max="9" width="11" style="165" bestFit="1" customWidth="1"/>
    <col min="10" max="10" width="11.28515625" style="165" bestFit="1" customWidth="1"/>
    <col min="11" max="16384" width="9.140625" style="165"/>
  </cols>
  <sheetData>
    <row r="1" spans="1:8" x14ac:dyDescent="0.25">
      <c r="A1" s="177" t="s">
        <v>201</v>
      </c>
      <c r="B1" s="165" t="s">
        <v>809</v>
      </c>
    </row>
    <row r="3" spans="1:8" x14ac:dyDescent="0.25">
      <c r="A3" s="177" t="s">
        <v>1171</v>
      </c>
      <c r="B3" s="177" t="s">
        <v>1053</v>
      </c>
      <c r="C3"/>
      <c r="D3"/>
      <c r="E3"/>
      <c r="F3"/>
      <c r="G3"/>
      <c r="H3"/>
    </row>
    <row r="4" spans="1:8" x14ac:dyDescent="0.25">
      <c r="A4" s="177" t="s">
        <v>1052</v>
      </c>
      <c r="B4" s="165" t="s">
        <v>1173</v>
      </c>
      <c r="C4" s="165" t="s">
        <v>1175</v>
      </c>
      <c r="D4" s="165" t="s">
        <v>1174</v>
      </c>
      <c r="E4" s="165" t="s">
        <v>1176</v>
      </c>
      <c r="F4" s="165" t="s">
        <v>1177</v>
      </c>
      <c r="G4" s="165" t="s">
        <v>1178</v>
      </c>
      <c r="H4" s="165" t="s">
        <v>923</v>
      </c>
    </row>
    <row r="5" spans="1:8" x14ac:dyDescent="0.25">
      <c r="A5" s="88" t="s">
        <v>209</v>
      </c>
      <c r="B5" s="157">
        <v>41.15</v>
      </c>
      <c r="C5" s="157">
        <v>36.119999999999997</v>
      </c>
      <c r="D5" s="157">
        <v>33.880000000000003</v>
      </c>
      <c r="E5" s="157">
        <v>32.96</v>
      </c>
      <c r="F5" s="157">
        <v>32.86</v>
      </c>
      <c r="G5" s="157">
        <v>33.119999999999997</v>
      </c>
      <c r="H5" s="157">
        <v>41.15</v>
      </c>
    </row>
    <row r="6" spans="1:8" x14ac:dyDescent="0.25">
      <c r="A6" s="178" t="s">
        <v>1046</v>
      </c>
      <c r="B6" s="157">
        <v>34.21</v>
      </c>
      <c r="C6" s="157">
        <v>35.409999999999997</v>
      </c>
      <c r="D6" s="157">
        <v>32.21</v>
      </c>
      <c r="E6" s="157">
        <v>31.44</v>
      </c>
      <c r="F6" s="157">
        <v>31.16</v>
      </c>
      <c r="G6" s="157">
        <v>30.9</v>
      </c>
      <c r="H6" s="157">
        <v>35.409999999999997</v>
      </c>
    </row>
    <row r="7" spans="1:8" x14ac:dyDescent="0.25">
      <c r="A7" s="178" t="s">
        <v>1043</v>
      </c>
      <c r="B7" s="157">
        <v>39.4</v>
      </c>
      <c r="C7" s="157">
        <v>34.57</v>
      </c>
      <c r="D7" s="157">
        <v>33.76</v>
      </c>
      <c r="E7" s="157">
        <v>32.96</v>
      </c>
      <c r="F7" s="157">
        <v>32.86</v>
      </c>
      <c r="G7" s="157">
        <v>33.119999999999997</v>
      </c>
      <c r="H7" s="157">
        <v>39.4</v>
      </c>
    </row>
    <row r="8" spans="1:8" x14ac:dyDescent="0.25">
      <c r="A8" s="178" t="s">
        <v>982</v>
      </c>
      <c r="B8" s="157">
        <v>41.15</v>
      </c>
      <c r="C8" s="157">
        <v>36.119999999999997</v>
      </c>
      <c r="D8" s="157">
        <v>33.880000000000003</v>
      </c>
      <c r="E8" s="157">
        <v>31.58</v>
      </c>
      <c r="F8" s="157">
        <v>31.6</v>
      </c>
      <c r="G8" s="157">
        <v>31.42</v>
      </c>
      <c r="H8" s="157">
        <v>41.15</v>
      </c>
    </row>
    <row r="9" spans="1:8" x14ac:dyDescent="0.25">
      <c r="A9" s="88" t="s">
        <v>810</v>
      </c>
      <c r="B9" s="157">
        <v>39.82</v>
      </c>
      <c r="C9" s="157">
        <v>37.5</v>
      </c>
      <c r="D9" s="157">
        <v>36.700000000000003</v>
      </c>
      <c r="E9" s="157">
        <v>38.42</v>
      </c>
      <c r="F9" s="157">
        <v>38.229999999999997</v>
      </c>
      <c r="G9" s="157">
        <v>37.590000000000003</v>
      </c>
      <c r="H9" s="157">
        <v>39.82</v>
      </c>
    </row>
    <row r="10" spans="1:8" x14ac:dyDescent="0.25">
      <c r="A10" s="178" t="s">
        <v>1046</v>
      </c>
      <c r="B10" s="157">
        <v>35.799999999999997</v>
      </c>
      <c r="C10" s="157">
        <v>37.340000000000003</v>
      </c>
      <c r="D10" s="157">
        <v>36.549999999999997</v>
      </c>
      <c r="E10" s="157">
        <v>35.700000000000003</v>
      </c>
      <c r="F10" s="157">
        <v>36.78</v>
      </c>
      <c r="G10" s="157">
        <v>37.590000000000003</v>
      </c>
      <c r="H10" s="157">
        <v>37.590000000000003</v>
      </c>
    </row>
    <row r="11" spans="1:8" x14ac:dyDescent="0.25">
      <c r="A11" s="178" t="s">
        <v>1043</v>
      </c>
      <c r="B11" s="157"/>
      <c r="C11" s="157">
        <v>34.909999999999997</v>
      </c>
      <c r="D11" s="157">
        <v>34.590000000000003</v>
      </c>
      <c r="E11" s="157"/>
      <c r="F11" s="157"/>
      <c r="G11" s="157"/>
      <c r="H11" s="157">
        <v>34.909999999999997</v>
      </c>
    </row>
    <row r="12" spans="1:8" x14ac:dyDescent="0.25">
      <c r="A12" s="178" t="s">
        <v>982</v>
      </c>
      <c r="B12" s="157">
        <v>39.82</v>
      </c>
      <c r="C12" s="157">
        <v>37.5</v>
      </c>
      <c r="D12" s="157">
        <v>36.700000000000003</v>
      </c>
      <c r="E12" s="157">
        <v>38.42</v>
      </c>
      <c r="F12" s="157">
        <v>38.229999999999997</v>
      </c>
      <c r="G12" s="157">
        <v>37.04</v>
      </c>
      <c r="H12" s="157">
        <v>39.82</v>
      </c>
    </row>
    <row r="13" spans="1:8" x14ac:dyDescent="0.25">
      <c r="A13" s="88" t="s">
        <v>923</v>
      </c>
      <c r="B13" s="157">
        <v>41.15</v>
      </c>
      <c r="C13" s="157">
        <v>37.5</v>
      </c>
      <c r="D13" s="157">
        <v>36.700000000000003</v>
      </c>
      <c r="E13" s="157">
        <v>38.42</v>
      </c>
      <c r="F13" s="157">
        <v>38.229999999999997</v>
      </c>
      <c r="G13" s="157">
        <v>37.590000000000003</v>
      </c>
      <c r="H13" s="157">
        <v>41.15</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5D0F9-4481-4ED6-B4B2-C58B8D720A4C}">
  <dimension ref="A1:BB193"/>
  <sheetViews>
    <sheetView topLeftCell="C79" zoomScale="55" zoomScaleNormal="55" workbookViewId="0">
      <selection activeCell="X118" sqref="X118:Y118"/>
    </sheetView>
  </sheetViews>
  <sheetFormatPr defaultRowHeight="12.75" x14ac:dyDescent="0.2"/>
  <cols>
    <col min="1" max="1" width="4.28515625" style="225" bestFit="1" customWidth="1"/>
    <col min="2" max="2" width="13.140625" style="225" bestFit="1" customWidth="1"/>
    <col min="3" max="3" width="8" style="225" bestFit="1" customWidth="1"/>
    <col min="4" max="7" width="8" style="225" customWidth="1"/>
    <col min="8" max="8" width="4.5703125" style="225" bestFit="1" customWidth="1"/>
    <col min="9" max="21" width="8.7109375" style="225"/>
    <col min="22" max="22" width="13" style="225" customWidth="1"/>
    <col min="23" max="44" width="8.7109375" style="225"/>
    <col min="45" max="45" width="12.42578125" style="225" bestFit="1" customWidth="1"/>
    <col min="46" max="46" width="10.5703125" style="225" bestFit="1" customWidth="1"/>
    <col min="47" max="256" width="8.7109375" style="225"/>
    <col min="257" max="257" width="4.28515625" style="225" bestFit="1" customWidth="1"/>
    <col min="258" max="258" width="13.140625" style="225" bestFit="1" customWidth="1"/>
    <col min="259" max="259" width="8" style="225" bestFit="1" customWidth="1"/>
    <col min="260" max="263" width="8" style="225" customWidth="1"/>
    <col min="264" max="264" width="4.5703125" style="225" bestFit="1" customWidth="1"/>
    <col min="265" max="512" width="8.7109375" style="225"/>
    <col min="513" max="513" width="4.28515625" style="225" bestFit="1" customWidth="1"/>
    <col min="514" max="514" width="13.140625" style="225" bestFit="1" customWidth="1"/>
    <col min="515" max="515" width="8" style="225" bestFit="1" customWidth="1"/>
    <col min="516" max="519" width="8" style="225" customWidth="1"/>
    <col min="520" max="520" width="4.5703125" style="225" bestFit="1" customWidth="1"/>
    <col min="521" max="768" width="8.7109375" style="225"/>
    <col min="769" max="769" width="4.28515625" style="225" bestFit="1" customWidth="1"/>
    <col min="770" max="770" width="13.140625" style="225" bestFit="1" customWidth="1"/>
    <col min="771" max="771" width="8" style="225" bestFit="1" customWidth="1"/>
    <col min="772" max="775" width="8" style="225" customWidth="1"/>
    <col min="776" max="776" width="4.5703125" style="225" bestFit="1" customWidth="1"/>
    <col min="777" max="1024" width="8.7109375" style="225"/>
    <col min="1025" max="1025" width="4.28515625" style="225" bestFit="1" customWidth="1"/>
    <col min="1026" max="1026" width="13.140625" style="225" bestFit="1" customWidth="1"/>
    <col min="1027" max="1027" width="8" style="225" bestFit="1" customWidth="1"/>
    <col min="1028" max="1031" width="8" style="225" customWidth="1"/>
    <col min="1032" max="1032" width="4.5703125" style="225" bestFit="1" customWidth="1"/>
    <col min="1033" max="1280" width="8.7109375" style="225"/>
    <col min="1281" max="1281" width="4.28515625" style="225" bestFit="1" customWidth="1"/>
    <col min="1282" max="1282" width="13.140625" style="225" bestFit="1" customWidth="1"/>
    <col min="1283" max="1283" width="8" style="225" bestFit="1" customWidth="1"/>
    <col min="1284" max="1287" width="8" style="225" customWidth="1"/>
    <col min="1288" max="1288" width="4.5703125" style="225" bestFit="1" customWidth="1"/>
    <col min="1289" max="1536" width="8.7109375" style="225"/>
    <col min="1537" max="1537" width="4.28515625" style="225" bestFit="1" customWidth="1"/>
    <col min="1538" max="1538" width="13.140625" style="225" bestFit="1" customWidth="1"/>
    <col min="1539" max="1539" width="8" style="225" bestFit="1" customWidth="1"/>
    <col min="1540" max="1543" width="8" style="225" customWidth="1"/>
    <col min="1544" max="1544" width="4.5703125" style="225" bestFit="1" customWidth="1"/>
    <col min="1545" max="1792" width="8.7109375" style="225"/>
    <col min="1793" max="1793" width="4.28515625" style="225" bestFit="1" customWidth="1"/>
    <col min="1794" max="1794" width="13.140625" style="225" bestFit="1" customWidth="1"/>
    <col min="1795" max="1795" width="8" style="225" bestFit="1" customWidth="1"/>
    <col min="1796" max="1799" width="8" style="225" customWidth="1"/>
    <col min="1800" max="1800" width="4.5703125" style="225" bestFit="1" customWidth="1"/>
    <col min="1801" max="2048" width="8.7109375" style="225"/>
    <col min="2049" max="2049" width="4.28515625" style="225" bestFit="1" customWidth="1"/>
    <col min="2050" max="2050" width="13.140625" style="225" bestFit="1" customWidth="1"/>
    <col min="2051" max="2051" width="8" style="225" bestFit="1" customWidth="1"/>
    <col min="2052" max="2055" width="8" style="225" customWidth="1"/>
    <col min="2056" max="2056" width="4.5703125" style="225" bestFit="1" customWidth="1"/>
    <col min="2057" max="2304" width="8.7109375" style="225"/>
    <col min="2305" max="2305" width="4.28515625" style="225" bestFit="1" customWidth="1"/>
    <col min="2306" max="2306" width="13.140625" style="225" bestFit="1" customWidth="1"/>
    <col min="2307" max="2307" width="8" style="225" bestFit="1" customWidth="1"/>
    <col min="2308" max="2311" width="8" style="225" customWidth="1"/>
    <col min="2312" max="2312" width="4.5703125" style="225" bestFit="1" customWidth="1"/>
    <col min="2313" max="2560" width="8.7109375" style="225"/>
    <col min="2561" max="2561" width="4.28515625" style="225" bestFit="1" customWidth="1"/>
    <col min="2562" max="2562" width="13.140625" style="225" bestFit="1" customWidth="1"/>
    <col min="2563" max="2563" width="8" style="225" bestFit="1" customWidth="1"/>
    <col min="2564" max="2567" width="8" style="225" customWidth="1"/>
    <col min="2568" max="2568" width="4.5703125" style="225" bestFit="1" customWidth="1"/>
    <col min="2569" max="2816" width="8.7109375" style="225"/>
    <col min="2817" max="2817" width="4.28515625" style="225" bestFit="1" customWidth="1"/>
    <col min="2818" max="2818" width="13.140625" style="225" bestFit="1" customWidth="1"/>
    <col min="2819" max="2819" width="8" style="225" bestFit="1" customWidth="1"/>
    <col min="2820" max="2823" width="8" style="225" customWidth="1"/>
    <col min="2824" max="2824" width="4.5703125" style="225" bestFit="1" customWidth="1"/>
    <col min="2825" max="3072" width="8.7109375" style="225"/>
    <col min="3073" max="3073" width="4.28515625" style="225" bestFit="1" customWidth="1"/>
    <col min="3074" max="3074" width="13.140625" style="225" bestFit="1" customWidth="1"/>
    <col min="3075" max="3075" width="8" style="225" bestFit="1" customWidth="1"/>
    <col min="3076" max="3079" width="8" style="225" customWidth="1"/>
    <col min="3080" max="3080" width="4.5703125" style="225" bestFit="1" customWidth="1"/>
    <col min="3081" max="3328" width="8.7109375" style="225"/>
    <col min="3329" max="3329" width="4.28515625" style="225" bestFit="1" customWidth="1"/>
    <col min="3330" max="3330" width="13.140625" style="225" bestFit="1" customWidth="1"/>
    <col min="3331" max="3331" width="8" style="225" bestFit="1" customWidth="1"/>
    <col min="3332" max="3335" width="8" style="225" customWidth="1"/>
    <col min="3336" max="3336" width="4.5703125" style="225" bestFit="1" customWidth="1"/>
    <col min="3337" max="3584" width="8.7109375" style="225"/>
    <col min="3585" max="3585" width="4.28515625" style="225" bestFit="1" customWidth="1"/>
    <col min="3586" max="3586" width="13.140625" style="225" bestFit="1" customWidth="1"/>
    <col min="3587" max="3587" width="8" style="225" bestFit="1" customWidth="1"/>
    <col min="3588" max="3591" width="8" style="225" customWidth="1"/>
    <col min="3592" max="3592" width="4.5703125" style="225" bestFit="1" customWidth="1"/>
    <col min="3593" max="3840" width="8.7109375" style="225"/>
    <col min="3841" max="3841" width="4.28515625" style="225" bestFit="1" customWidth="1"/>
    <col min="3842" max="3842" width="13.140625" style="225" bestFit="1" customWidth="1"/>
    <col min="3843" max="3843" width="8" style="225" bestFit="1" customWidth="1"/>
    <col min="3844" max="3847" width="8" style="225" customWidth="1"/>
    <col min="3848" max="3848" width="4.5703125" style="225" bestFit="1" customWidth="1"/>
    <col min="3849" max="4096" width="8.7109375" style="225"/>
    <col min="4097" max="4097" width="4.28515625" style="225" bestFit="1" customWidth="1"/>
    <col min="4098" max="4098" width="13.140625" style="225" bestFit="1" customWidth="1"/>
    <col min="4099" max="4099" width="8" style="225" bestFit="1" customWidth="1"/>
    <col min="4100" max="4103" width="8" style="225" customWidth="1"/>
    <col min="4104" max="4104" width="4.5703125" style="225" bestFit="1" customWidth="1"/>
    <col min="4105" max="4352" width="8.7109375" style="225"/>
    <col min="4353" max="4353" width="4.28515625" style="225" bestFit="1" customWidth="1"/>
    <col min="4354" max="4354" width="13.140625" style="225" bestFit="1" customWidth="1"/>
    <col min="4355" max="4355" width="8" style="225" bestFit="1" customWidth="1"/>
    <col min="4356" max="4359" width="8" style="225" customWidth="1"/>
    <col min="4360" max="4360" width="4.5703125" style="225" bestFit="1" customWidth="1"/>
    <col min="4361" max="4608" width="8.7109375" style="225"/>
    <col min="4609" max="4609" width="4.28515625" style="225" bestFit="1" customWidth="1"/>
    <col min="4610" max="4610" width="13.140625" style="225" bestFit="1" customWidth="1"/>
    <col min="4611" max="4611" width="8" style="225" bestFit="1" customWidth="1"/>
    <col min="4612" max="4615" width="8" style="225" customWidth="1"/>
    <col min="4616" max="4616" width="4.5703125" style="225" bestFit="1" customWidth="1"/>
    <col min="4617" max="4864" width="8.7109375" style="225"/>
    <col min="4865" max="4865" width="4.28515625" style="225" bestFit="1" customWidth="1"/>
    <col min="4866" max="4866" width="13.140625" style="225" bestFit="1" customWidth="1"/>
    <col min="4867" max="4867" width="8" style="225" bestFit="1" customWidth="1"/>
    <col min="4868" max="4871" width="8" style="225" customWidth="1"/>
    <col min="4872" max="4872" width="4.5703125" style="225" bestFit="1" customWidth="1"/>
    <col min="4873" max="5120" width="8.7109375" style="225"/>
    <col min="5121" max="5121" width="4.28515625" style="225" bestFit="1" customWidth="1"/>
    <col min="5122" max="5122" width="13.140625" style="225" bestFit="1" customWidth="1"/>
    <col min="5123" max="5123" width="8" style="225" bestFit="1" customWidth="1"/>
    <col min="5124" max="5127" width="8" style="225" customWidth="1"/>
    <col min="5128" max="5128" width="4.5703125" style="225" bestFit="1" customWidth="1"/>
    <col min="5129" max="5376" width="8.7109375" style="225"/>
    <col min="5377" max="5377" width="4.28515625" style="225" bestFit="1" customWidth="1"/>
    <col min="5378" max="5378" width="13.140625" style="225" bestFit="1" customWidth="1"/>
    <col min="5379" max="5379" width="8" style="225" bestFit="1" customWidth="1"/>
    <col min="5380" max="5383" width="8" style="225" customWidth="1"/>
    <col min="5384" max="5384" width="4.5703125" style="225" bestFit="1" customWidth="1"/>
    <col min="5385" max="5632" width="8.7109375" style="225"/>
    <col min="5633" max="5633" width="4.28515625" style="225" bestFit="1" customWidth="1"/>
    <col min="5634" max="5634" width="13.140625" style="225" bestFit="1" customWidth="1"/>
    <col min="5635" max="5635" width="8" style="225" bestFit="1" customWidth="1"/>
    <col min="5636" max="5639" width="8" style="225" customWidth="1"/>
    <col min="5640" max="5640" width="4.5703125" style="225" bestFit="1" customWidth="1"/>
    <col min="5641" max="5888" width="8.7109375" style="225"/>
    <col min="5889" max="5889" width="4.28515625" style="225" bestFit="1" customWidth="1"/>
    <col min="5890" max="5890" width="13.140625" style="225" bestFit="1" customWidth="1"/>
    <col min="5891" max="5891" width="8" style="225" bestFit="1" customWidth="1"/>
    <col min="5892" max="5895" width="8" style="225" customWidth="1"/>
    <col min="5896" max="5896" width="4.5703125" style="225" bestFit="1" customWidth="1"/>
    <col min="5897" max="6144" width="8.7109375" style="225"/>
    <col min="6145" max="6145" width="4.28515625" style="225" bestFit="1" customWidth="1"/>
    <col min="6146" max="6146" width="13.140625" style="225" bestFit="1" customWidth="1"/>
    <col min="6147" max="6147" width="8" style="225" bestFit="1" customWidth="1"/>
    <col min="6148" max="6151" width="8" style="225" customWidth="1"/>
    <col min="6152" max="6152" width="4.5703125" style="225" bestFit="1" customWidth="1"/>
    <col min="6153" max="6400" width="8.7109375" style="225"/>
    <col min="6401" max="6401" width="4.28515625" style="225" bestFit="1" customWidth="1"/>
    <col min="6402" max="6402" width="13.140625" style="225" bestFit="1" customWidth="1"/>
    <col min="6403" max="6403" width="8" style="225" bestFit="1" customWidth="1"/>
    <col min="6404" max="6407" width="8" style="225" customWidth="1"/>
    <col min="6408" max="6408" width="4.5703125" style="225" bestFit="1" customWidth="1"/>
    <col min="6409" max="6656" width="8.7109375" style="225"/>
    <col min="6657" max="6657" width="4.28515625" style="225" bestFit="1" customWidth="1"/>
    <col min="6658" max="6658" width="13.140625" style="225" bestFit="1" customWidth="1"/>
    <col min="6659" max="6659" width="8" style="225" bestFit="1" customWidth="1"/>
    <col min="6660" max="6663" width="8" style="225" customWidth="1"/>
    <col min="6664" max="6664" width="4.5703125" style="225" bestFit="1" customWidth="1"/>
    <col min="6665" max="6912" width="8.7109375" style="225"/>
    <col min="6913" max="6913" width="4.28515625" style="225" bestFit="1" customWidth="1"/>
    <col min="6914" max="6914" width="13.140625" style="225" bestFit="1" customWidth="1"/>
    <col min="6915" max="6915" width="8" style="225" bestFit="1" customWidth="1"/>
    <col min="6916" max="6919" width="8" style="225" customWidth="1"/>
    <col min="6920" max="6920" width="4.5703125" style="225" bestFit="1" customWidth="1"/>
    <col min="6921" max="7168" width="8.7109375" style="225"/>
    <col min="7169" max="7169" width="4.28515625" style="225" bestFit="1" customWidth="1"/>
    <col min="7170" max="7170" width="13.140625" style="225" bestFit="1" customWidth="1"/>
    <col min="7171" max="7171" width="8" style="225" bestFit="1" customWidth="1"/>
    <col min="7172" max="7175" width="8" style="225" customWidth="1"/>
    <col min="7176" max="7176" width="4.5703125" style="225" bestFit="1" customWidth="1"/>
    <col min="7177" max="7424" width="8.7109375" style="225"/>
    <col min="7425" max="7425" width="4.28515625" style="225" bestFit="1" customWidth="1"/>
    <col min="7426" max="7426" width="13.140625" style="225" bestFit="1" customWidth="1"/>
    <col min="7427" max="7427" width="8" style="225" bestFit="1" customWidth="1"/>
    <col min="7428" max="7431" width="8" style="225" customWidth="1"/>
    <col min="7432" max="7432" width="4.5703125" style="225" bestFit="1" customWidth="1"/>
    <col min="7433" max="7680" width="8.7109375" style="225"/>
    <col min="7681" max="7681" width="4.28515625" style="225" bestFit="1" customWidth="1"/>
    <col min="7682" max="7682" width="13.140625" style="225" bestFit="1" customWidth="1"/>
    <col min="7683" max="7683" width="8" style="225" bestFit="1" customWidth="1"/>
    <col min="7684" max="7687" width="8" style="225" customWidth="1"/>
    <col min="7688" max="7688" width="4.5703125" style="225" bestFit="1" customWidth="1"/>
    <col min="7689" max="7936" width="8.7109375" style="225"/>
    <col min="7937" max="7937" width="4.28515625" style="225" bestFit="1" customWidth="1"/>
    <col min="7938" max="7938" width="13.140625" style="225" bestFit="1" customWidth="1"/>
    <col min="7939" max="7939" width="8" style="225" bestFit="1" customWidth="1"/>
    <col min="7940" max="7943" width="8" style="225" customWidth="1"/>
    <col min="7944" max="7944" width="4.5703125" style="225" bestFit="1" customWidth="1"/>
    <col min="7945" max="8192" width="8.7109375" style="225"/>
    <col min="8193" max="8193" width="4.28515625" style="225" bestFit="1" customWidth="1"/>
    <col min="8194" max="8194" width="13.140625" style="225" bestFit="1" customWidth="1"/>
    <col min="8195" max="8195" width="8" style="225" bestFit="1" customWidth="1"/>
    <col min="8196" max="8199" width="8" style="225" customWidth="1"/>
    <col min="8200" max="8200" width="4.5703125" style="225" bestFit="1" customWidth="1"/>
    <col min="8201" max="8448" width="8.7109375" style="225"/>
    <col min="8449" max="8449" width="4.28515625" style="225" bestFit="1" customWidth="1"/>
    <col min="8450" max="8450" width="13.140625" style="225" bestFit="1" customWidth="1"/>
    <col min="8451" max="8451" width="8" style="225" bestFit="1" customWidth="1"/>
    <col min="8452" max="8455" width="8" style="225" customWidth="1"/>
    <col min="8456" max="8456" width="4.5703125" style="225" bestFit="1" customWidth="1"/>
    <col min="8457" max="8704" width="8.7109375" style="225"/>
    <col min="8705" max="8705" width="4.28515625" style="225" bestFit="1" customWidth="1"/>
    <col min="8706" max="8706" width="13.140625" style="225" bestFit="1" customWidth="1"/>
    <col min="8707" max="8707" width="8" style="225" bestFit="1" customWidth="1"/>
    <col min="8708" max="8711" width="8" style="225" customWidth="1"/>
    <col min="8712" max="8712" width="4.5703125" style="225" bestFit="1" customWidth="1"/>
    <col min="8713" max="8960" width="8.7109375" style="225"/>
    <col min="8961" max="8961" width="4.28515625" style="225" bestFit="1" customWidth="1"/>
    <col min="8962" max="8962" width="13.140625" style="225" bestFit="1" customWidth="1"/>
    <col min="8963" max="8963" width="8" style="225" bestFit="1" customWidth="1"/>
    <col min="8964" max="8967" width="8" style="225" customWidth="1"/>
    <col min="8968" max="8968" width="4.5703125" style="225" bestFit="1" customWidth="1"/>
    <col min="8969" max="9216" width="8.7109375" style="225"/>
    <col min="9217" max="9217" width="4.28515625" style="225" bestFit="1" customWidth="1"/>
    <col min="9218" max="9218" width="13.140625" style="225" bestFit="1" customWidth="1"/>
    <col min="9219" max="9219" width="8" style="225" bestFit="1" customWidth="1"/>
    <col min="9220" max="9223" width="8" style="225" customWidth="1"/>
    <col min="9224" max="9224" width="4.5703125" style="225" bestFit="1" customWidth="1"/>
    <col min="9225" max="9472" width="8.7109375" style="225"/>
    <col min="9473" max="9473" width="4.28515625" style="225" bestFit="1" customWidth="1"/>
    <col min="9474" max="9474" width="13.140625" style="225" bestFit="1" customWidth="1"/>
    <col min="9475" max="9475" width="8" style="225" bestFit="1" customWidth="1"/>
    <col min="9476" max="9479" width="8" style="225" customWidth="1"/>
    <col min="9480" max="9480" width="4.5703125" style="225" bestFit="1" customWidth="1"/>
    <col min="9481" max="9728" width="8.7109375" style="225"/>
    <col min="9729" max="9729" width="4.28515625" style="225" bestFit="1" customWidth="1"/>
    <col min="9730" max="9730" width="13.140625" style="225" bestFit="1" customWidth="1"/>
    <col min="9731" max="9731" width="8" style="225" bestFit="1" customWidth="1"/>
    <col min="9732" max="9735" width="8" style="225" customWidth="1"/>
    <col min="9736" max="9736" width="4.5703125" style="225" bestFit="1" customWidth="1"/>
    <col min="9737" max="9984" width="8.7109375" style="225"/>
    <col min="9985" max="9985" width="4.28515625" style="225" bestFit="1" customWidth="1"/>
    <col min="9986" max="9986" width="13.140625" style="225" bestFit="1" customWidth="1"/>
    <col min="9987" max="9987" width="8" style="225" bestFit="1" customWidth="1"/>
    <col min="9988" max="9991" width="8" style="225" customWidth="1"/>
    <col min="9992" max="9992" width="4.5703125" style="225" bestFit="1" customWidth="1"/>
    <col min="9993" max="10240" width="8.7109375" style="225"/>
    <col min="10241" max="10241" width="4.28515625" style="225" bestFit="1" customWidth="1"/>
    <col min="10242" max="10242" width="13.140625" style="225" bestFit="1" customWidth="1"/>
    <col min="10243" max="10243" width="8" style="225" bestFit="1" customWidth="1"/>
    <col min="10244" max="10247" width="8" style="225" customWidth="1"/>
    <col min="10248" max="10248" width="4.5703125" style="225" bestFit="1" customWidth="1"/>
    <col min="10249" max="10496" width="8.7109375" style="225"/>
    <col min="10497" max="10497" width="4.28515625" style="225" bestFit="1" customWidth="1"/>
    <col min="10498" max="10498" width="13.140625" style="225" bestFit="1" customWidth="1"/>
    <col min="10499" max="10499" width="8" style="225" bestFit="1" customWidth="1"/>
    <col min="10500" max="10503" width="8" style="225" customWidth="1"/>
    <col min="10504" max="10504" width="4.5703125" style="225" bestFit="1" customWidth="1"/>
    <col min="10505" max="10752" width="8.7109375" style="225"/>
    <col min="10753" max="10753" width="4.28515625" style="225" bestFit="1" customWidth="1"/>
    <col min="10754" max="10754" width="13.140625" style="225" bestFit="1" customWidth="1"/>
    <col min="10755" max="10755" width="8" style="225" bestFit="1" customWidth="1"/>
    <col min="10756" max="10759" width="8" style="225" customWidth="1"/>
    <col min="10760" max="10760" width="4.5703125" style="225" bestFit="1" customWidth="1"/>
    <col min="10761" max="11008" width="8.7109375" style="225"/>
    <col min="11009" max="11009" width="4.28515625" style="225" bestFit="1" customWidth="1"/>
    <col min="11010" max="11010" width="13.140625" style="225" bestFit="1" customWidth="1"/>
    <col min="11011" max="11011" width="8" style="225" bestFit="1" customWidth="1"/>
    <col min="11012" max="11015" width="8" style="225" customWidth="1"/>
    <col min="11016" max="11016" width="4.5703125" style="225" bestFit="1" customWidth="1"/>
    <col min="11017" max="11264" width="8.7109375" style="225"/>
    <col min="11265" max="11265" width="4.28515625" style="225" bestFit="1" customWidth="1"/>
    <col min="11266" max="11266" width="13.140625" style="225" bestFit="1" customWidth="1"/>
    <col min="11267" max="11267" width="8" style="225" bestFit="1" customWidth="1"/>
    <col min="11268" max="11271" width="8" style="225" customWidth="1"/>
    <col min="11272" max="11272" width="4.5703125" style="225" bestFit="1" customWidth="1"/>
    <col min="11273" max="11520" width="8.7109375" style="225"/>
    <col min="11521" max="11521" width="4.28515625" style="225" bestFit="1" customWidth="1"/>
    <col min="11522" max="11522" width="13.140625" style="225" bestFit="1" customWidth="1"/>
    <col min="11523" max="11523" width="8" style="225" bestFit="1" customWidth="1"/>
    <col min="11524" max="11527" width="8" style="225" customWidth="1"/>
    <col min="11528" max="11528" width="4.5703125" style="225" bestFit="1" customWidth="1"/>
    <col min="11529" max="11776" width="8.7109375" style="225"/>
    <col min="11777" max="11777" width="4.28515625" style="225" bestFit="1" customWidth="1"/>
    <col min="11778" max="11778" width="13.140625" style="225" bestFit="1" customWidth="1"/>
    <col min="11779" max="11779" width="8" style="225" bestFit="1" customWidth="1"/>
    <col min="11780" max="11783" width="8" style="225" customWidth="1"/>
    <col min="11784" max="11784" width="4.5703125" style="225" bestFit="1" customWidth="1"/>
    <col min="11785" max="12032" width="8.7109375" style="225"/>
    <col min="12033" max="12033" width="4.28515625" style="225" bestFit="1" customWidth="1"/>
    <col min="12034" max="12034" width="13.140625" style="225" bestFit="1" customWidth="1"/>
    <col min="12035" max="12035" width="8" style="225" bestFit="1" customWidth="1"/>
    <col min="12036" max="12039" width="8" style="225" customWidth="1"/>
    <col min="12040" max="12040" width="4.5703125" style="225" bestFit="1" customWidth="1"/>
    <col min="12041" max="12288" width="8.7109375" style="225"/>
    <col min="12289" max="12289" width="4.28515625" style="225" bestFit="1" customWidth="1"/>
    <col min="12290" max="12290" width="13.140625" style="225" bestFit="1" customWidth="1"/>
    <col min="12291" max="12291" width="8" style="225" bestFit="1" customWidth="1"/>
    <col min="12292" max="12295" width="8" style="225" customWidth="1"/>
    <col min="12296" max="12296" width="4.5703125" style="225" bestFit="1" customWidth="1"/>
    <col min="12297" max="12544" width="8.7109375" style="225"/>
    <col min="12545" max="12545" width="4.28515625" style="225" bestFit="1" customWidth="1"/>
    <col min="12546" max="12546" width="13.140625" style="225" bestFit="1" customWidth="1"/>
    <col min="12547" max="12547" width="8" style="225" bestFit="1" customWidth="1"/>
    <col min="12548" max="12551" width="8" style="225" customWidth="1"/>
    <col min="12552" max="12552" width="4.5703125" style="225" bestFit="1" customWidth="1"/>
    <col min="12553" max="12800" width="8.7109375" style="225"/>
    <col min="12801" max="12801" width="4.28515625" style="225" bestFit="1" customWidth="1"/>
    <col min="12802" max="12802" width="13.140625" style="225" bestFit="1" customWidth="1"/>
    <col min="12803" max="12803" width="8" style="225" bestFit="1" customWidth="1"/>
    <col min="12804" max="12807" width="8" style="225" customWidth="1"/>
    <col min="12808" max="12808" width="4.5703125" style="225" bestFit="1" customWidth="1"/>
    <col min="12809" max="13056" width="8.7109375" style="225"/>
    <col min="13057" max="13057" width="4.28515625" style="225" bestFit="1" customWidth="1"/>
    <col min="13058" max="13058" width="13.140625" style="225" bestFit="1" customWidth="1"/>
    <col min="13059" max="13059" width="8" style="225" bestFit="1" customWidth="1"/>
    <col min="13060" max="13063" width="8" style="225" customWidth="1"/>
    <col min="13064" max="13064" width="4.5703125" style="225" bestFit="1" customWidth="1"/>
    <col min="13065" max="13312" width="8.7109375" style="225"/>
    <col min="13313" max="13313" width="4.28515625" style="225" bestFit="1" customWidth="1"/>
    <col min="13314" max="13314" width="13.140625" style="225" bestFit="1" customWidth="1"/>
    <col min="13315" max="13315" width="8" style="225" bestFit="1" customWidth="1"/>
    <col min="13316" max="13319" width="8" style="225" customWidth="1"/>
    <col min="13320" max="13320" width="4.5703125" style="225" bestFit="1" customWidth="1"/>
    <col min="13321" max="13568" width="8.7109375" style="225"/>
    <col min="13569" max="13569" width="4.28515625" style="225" bestFit="1" customWidth="1"/>
    <col min="13570" max="13570" width="13.140625" style="225" bestFit="1" customWidth="1"/>
    <col min="13571" max="13571" width="8" style="225" bestFit="1" customWidth="1"/>
    <col min="13572" max="13575" width="8" style="225" customWidth="1"/>
    <col min="13576" max="13576" width="4.5703125" style="225" bestFit="1" customWidth="1"/>
    <col min="13577" max="13824" width="8.7109375" style="225"/>
    <col min="13825" max="13825" width="4.28515625" style="225" bestFit="1" customWidth="1"/>
    <col min="13826" max="13826" width="13.140625" style="225" bestFit="1" customWidth="1"/>
    <col min="13827" max="13827" width="8" style="225" bestFit="1" customWidth="1"/>
    <col min="13828" max="13831" width="8" style="225" customWidth="1"/>
    <col min="13832" max="13832" width="4.5703125" style="225" bestFit="1" customWidth="1"/>
    <col min="13833" max="14080" width="8.7109375" style="225"/>
    <col min="14081" max="14081" width="4.28515625" style="225" bestFit="1" customWidth="1"/>
    <col min="14082" max="14082" width="13.140625" style="225" bestFit="1" customWidth="1"/>
    <col min="14083" max="14083" width="8" style="225" bestFit="1" customWidth="1"/>
    <col min="14084" max="14087" width="8" style="225" customWidth="1"/>
    <col min="14088" max="14088" width="4.5703125" style="225" bestFit="1" customWidth="1"/>
    <col min="14089" max="14336" width="8.7109375" style="225"/>
    <col min="14337" max="14337" width="4.28515625" style="225" bestFit="1" customWidth="1"/>
    <col min="14338" max="14338" width="13.140625" style="225" bestFit="1" customWidth="1"/>
    <col min="14339" max="14339" width="8" style="225" bestFit="1" customWidth="1"/>
    <col min="14340" max="14343" width="8" style="225" customWidth="1"/>
    <col min="14344" max="14344" width="4.5703125" style="225" bestFit="1" customWidth="1"/>
    <col min="14345" max="14592" width="8.7109375" style="225"/>
    <col min="14593" max="14593" width="4.28515625" style="225" bestFit="1" customWidth="1"/>
    <col min="14594" max="14594" width="13.140625" style="225" bestFit="1" customWidth="1"/>
    <col min="14595" max="14595" width="8" style="225" bestFit="1" customWidth="1"/>
    <col min="14596" max="14599" width="8" style="225" customWidth="1"/>
    <col min="14600" max="14600" width="4.5703125" style="225" bestFit="1" customWidth="1"/>
    <col min="14601" max="14848" width="8.7109375" style="225"/>
    <col min="14849" max="14849" width="4.28515625" style="225" bestFit="1" customWidth="1"/>
    <col min="14850" max="14850" width="13.140625" style="225" bestFit="1" customWidth="1"/>
    <col min="14851" max="14851" width="8" style="225" bestFit="1" customWidth="1"/>
    <col min="14852" max="14855" width="8" style="225" customWidth="1"/>
    <col min="14856" max="14856" width="4.5703125" style="225" bestFit="1" customWidth="1"/>
    <col min="14857" max="15104" width="8.7109375" style="225"/>
    <col min="15105" max="15105" width="4.28515625" style="225" bestFit="1" customWidth="1"/>
    <col min="15106" max="15106" width="13.140625" style="225" bestFit="1" customWidth="1"/>
    <col min="15107" max="15107" width="8" style="225" bestFit="1" customWidth="1"/>
    <col min="15108" max="15111" width="8" style="225" customWidth="1"/>
    <col min="15112" max="15112" width="4.5703125" style="225" bestFit="1" customWidth="1"/>
    <col min="15113" max="15360" width="8.7109375" style="225"/>
    <col min="15361" max="15361" width="4.28515625" style="225" bestFit="1" customWidth="1"/>
    <col min="15362" max="15362" width="13.140625" style="225" bestFit="1" customWidth="1"/>
    <col min="15363" max="15363" width="8" style="225" bestFit="1" customWidth="1"/>
    <col min="15364" max="15367" width="8" style="225" customWidth="1"/>
    <col min="15368" max="15368" width="4.5703125" style="225" bestFit="1" customWidth="1"/>
    <col min="15369" max="15616" width="8.7109375" style="225"/>
    <col min="15617" max="15617" width="4.28515625" style="225" bestFit="1" customWidth="1"/>
    <col min="15618" max="15618" width="13.140625" style="225" bestFit="1" customWidth="1"/>
    <col min="15619" max="15619" width="8" style="225" bestFit="1" customWidth="1"/>
    <col min="15620" max="15623" width="8" style="225" customWidth="1"/>
    <col min="15624" max="15624" width="4.5703125" style="225" bestFit="1" customWidth="1"/>
    <col min="15625" max="15872" width="8.7109375" style="225"/>
    <col min="15873" max="15873" width="4.28515625" style="225" bestFit="1" customWidth="1"/>
    <col min="15874" max="15874" width="13.140625" style="225" bestFit="1" customWidth="1"/>
    <col min="15875" max="15875" width="8" style="225" bestFit="1" customWidth="1"/>
    <col min="15876" max="15879" width="8" style="225" customWidth="1"/>
    <col min="15880" max="15880" width="4.5703125" style="225" bestFit="1" customWidth="1"/>
    <col min="15881" max="16128" width="8.7109375" style="225"/>
    <col min="16129" max="16129" width="4.28515625" style="225" bestFit="1" customWidth="1"/>
    <col min="16130" max="16130" width="13.140625" style="225" bestFit="1" customWidth="1"/>
    <col min="16131" max="16131" width="8" style="225" bestFit="1" customWidth="1"/>
    <col min="16132" max="16135" width="8" style="225" customWidth="1"/>
    <col min="16136" max="16136" width="4.5703125" style="225" bestFit="1" customWidth="1"/>
    <col min="16137" max="16384" width="8.7109375" style="225"/>
  </cols>
  <sheetData>
    <row r="1" spans="1:19" x14ac:dyDescent="0.2">
      <c r="A1" s="225" t="s">
        <v>198</v>
      </c>
      <c r="B1" s="225" t="s">
        <v>199</v>
      </c>
      <c r="C1" s="225" t="s">
        <v>200</v>
      </c>
      <c r="D1" s="225" t="s">
        <v>1195</v>
      </c>
      <c r="E1" s="225" t="s">
        <v>1196</v>
      </c>
      <c r="F1" s="225" t="s">
        <v>1197</v>
      </c>
      <c r="G1" s="225" t="s">
        <v>1198</v>
      </c>
      <c r="H1" s="225" t="s">
        <v>201</v>
      </c>
      <c r="I1" s="225" t="s">
        <v>202</v>
      </c>
      <c r="K1" s="225" t="s">
        <v>198</v>
      </c>
      <c r="L1" s="225" t="s">
        <v>199</v>
      </c>
      <c r="M1" s="225" t="s">
        <v>200</v>
      </c>
      <c r="N1" s="225" t="s">
        <v>1195</v>
      </c>
      <c r="O1" s="225" t="s">
        <v>1196</v>
      </c>
      <c r="P1" s="225" t="s">
        <v>1197</v>
      </c>
      <c r="Q1" s="225" t="s">
        <v>1198</v>
      </c>
      <c r="R1" s="225" t="s">
        <v>201</v>
      </c>
      <c r="S1" s="225" t="s">
        <v>202</v>
      </c>
    </row>
    <row r="2" spans="1:19" x14ac:dyDescent="0.2">
      <c r="A2" s="225" t="s">
        <v>204</v>
      </c>
      <c r="B2" s="225" t="s">
        <v>981</v>
      </c>
      <c r="C2" s="225" t="s">
        <v>1199</v>
      </c>
      <c r="D2" s="225" t="s">
        <v>1199</v>
      </c>
      <c r="E2" s="225" t="e">
        <f>LOG(D2)</f>
        <v>#VALUE!</v>
      </c>
      <c r="F2" s="225" t="s">
        <v>1199</v>
      </c>
      <c r="G2" s="225" t="s">
        <v>1199</v>
      </c>
      <c r="H2" s="225" t="s">
        <v>809</v>
      </c>
      <c r="I2" s="225" t="s">
        <v>220</v>
      </c>
      <c r="K2" s="225" t="s">
        <v>204</v>
      </c>
      <c r="L2" s="225" t="s">
        <v>981</v>
      </c>
      <c r="M2" s="225" t="s">
        <v>30</v>
      </c>
      <c r="N2" s="226">
        <v>12044000000.000002</v>
      </c>
      <c r="O2" s="225">
        <f t="shared" ref="O2:O33" si="0">LOG(N2)</f>
        <v>10.080770746840722</v>
      </c>
      <c r="P2" s="225" t="s">
        <v>1200</v>
      </c>
      <c r="Q2" s="225" t="s">
        <v>1201</v>
      </c>
      <c r="R2" s="225" t="s">
        <v>809</v>
      </c>
      <c r="S2" s="225">
        <v>38.03</v>
      </c>
    </row>
    <row r="3" spans="1:19" x14ac:dyDescent="0.2">
      <c r="A3" s="225" t="s">
        <v>204</v>
      </c>
      <c r="B3" s="225" t="s">
        <v>1080</v>
      </c>
      <c r="C3" s="225" t="s">
        <v>1199</v>
      </c>
      <c r="D3" s="225" t="s">
        <v>1199</v>
      </c>
      <c r="E3" s="225" t="e">
        <f t="shared" ref="E3:E66" si="1">LOG(D3)</f>
        <v>#VALUE!</v>
      </c>
      <c r="F3" s="225" t="s">
        <v>1199</v>
      </c>
      <c r="G3" s="225" t="s">
        <v>1199</v>
      </c>
      <c r="H3" s="225" t="s">
        <v>210</v>
      </c>
      <c r="I3" s="225" t="s">
        <v>220</v>
      </c>
      <c r="K3" s="225" t="s">
        <v>222</v>
      </c>
      <c r="L3" s="225" t="s">
        <v>981</v>
      </c>
      <c r="M3" s="225" t="s">
        <v>31</v>
      </c>
      <c r="N3" s="226">
        <v>1204400000.0000002</v>
      </c>
      <c r="O3" s="225">
        <f t="shared" si="0"/>
        <v>9.0807707468407219</v>
      </c>
      <c r="P3" s="225" t="s">
        <v>1200</v>
      </c>
      <c r="Q3" s="225" t="s">
        <v>1201</v>
      </c>
      <c r="R3" s="225" t="s">
        <v>809</v>
      </c>
      <c r="S3" s="225">
        <v>37.81</v>
      </c>
    </row>
    <row r="4" spans="1:19" x14ac:dyDescent="0.2">
      <c r="A4" s="225" t="s">
        <v>211</v>
      </c>
      <c r="B4" s="225" t="s">
        <v>981</v>
      </c>
      <c r="C4" s="225" t="s">
        <v>30</v>
      </c>
      <c r="D4" s="226">
        <v>12044000000.000002</v>
      </c>
      <c r="E4" s="225">
        <f t="shared" si="1"/>
        <v>10.080770746840722</v>
      </c>
      <c r="F4" s="225" t="s">
        <v>1200</v>
      </c>
      <c r="G4" s="225" t="s">
        <v>1201</v>
      </c>
      <c r="H4" s="225" t="s">
        <v>809</v>
      </c>
      <c r="I4" s="225">
        <v>38.03</v>
      </c>
      <c r="K4" s="225" t="s">
        <v>223</v>
      </c>
      <c r="L4" s="225" t="s">
        <v>981</v>
      </c>
      <c r="M4" s="225" t="s">
        <v>32</v>
      </c>
      <c r="N4" s="226">
        <v>120440000.00000003</v>
      </c>
      <c r="O4" s="225">
        <f t="shared" si="0"/>
        <v>8.0807707468407219</v>
      </c>
      <c r="P4" s="225" t="s">
        <v>1200</v>
      </c>
      <c r="Q4" s="225" t="s">
        <v>1201</v>
      </c>
      <c r="R4" s="225" t="s">
        <v>809</v>
      </c>
      <c r="S4" s="225">
        <v>34.51</v>
      </c>
    </row>
    <row r="5" spans="1:19" x14ac:dyDescent="0.2">
      <c r="A5" s="225" t="s">
        <v>211</v>
      </c>
      <c r="B5" s="225" t="s">
        <v>1080</v>
      </c>
      <c r="C5" s="225" t="s">
        <v>30</v>
      </c>
      <c r="D5" s="226">
        <v>12044000000.000002</v>
      </c>
      <c r="E5" s="225">
        <f t="shared" si="1"/>
        <v>10.080770746840722</v>
      </c>
      <c r="F5" s="225" t="s">
        <v>1200</v>
      </c>
      <c r="G5" s="225" t="s">
        <v>1201</v>
      </c>
      <c r="H5" s="225" t="s">
        <v>210</v>
      </c>
      <c r="I5" s="225" t="s">
        <v>220</v>
      </c>
      <c r="K5" s="225" t="s">
        <v>247</v>
      </c>
      <c r="L5" s="225" t="s">
        <v>981</v>
      </c>
      <c r="M5" s="225" t="s">
        <v>33</v>
      </c>
      <c r="N5" s="226">
        <v>12044000.000000004</v>
      </c>
      <c r="O5" s="225">
        <f t="shared" si="0"/>
        <v>7.0807707468407219</v>
      </c>
      <c r="P5" s="225" t="s">
        <v>1200</v>
      </c>
      <c r="Q5" s="225" t="s">
        <v>1201</v>
      </c>
      <c r="R5" s="225" t="s">
        <v>809</v>
      </c>
      <c r="S5" s="225">
        <v>33.81</v>
      </c>
    </row>
    <row r="6" spans="1:19" x14ac:dyDescent="0.2">
      <c r="A6" s="225" t="s">
        <v>212</v>
      </c>
      <c r="B6" s="225" t="s">
        <v>981</v>
      </c>
      <c r="C6" s="225" t="s">
        <v>30</v>
      </c>
      <c r="D6" s="226">
        <v>12044000000.000002</v>
      </c>
      <c r="E6" s="225">
        <f t="shared" si="1"/>
        <v>10.080770746840722</v>
      </c>
      <c r="F6" s="225" t="s">
        <v>1200</v>
      </c>
      <c r="G6" s="225" t="s">
        <v>1202</v>
      </c>
      <c r="H6" s="225" t="s">
        <v>809</v>
      </c>
      <c r="I6" s="225" t="s">
        <v>220</v>
      </c>
      <c r="K6" s="225" t="s">
        <v>248</v>
      </c>
      <c r="L6" s="225" t="s">
        <v>981</v>
      </c>
      <c r="M6" s="225" t="s">
        <v>34</v>
      </c>
      <c r="N6" s="226">
        <v>1204400.0000000005</v>
      </c>
      <c r="O6" s="225">
        <f t="shared" si="0"/>
        <v>6.0807707468407219</v>
      </c>
      <c r="P6" s="225" t="s">
        <v>1200</v>
      </c>
      <c r="Q6" s="225" t="s">
        <v>1201</v>
      </c>
      <c r="R6" s="225" t="s">
        <v>809</v>
      </c>
      <c r="S6" s="225">
        <v>35.33</v>
      </c>
    </row>
    <row r="7" spans="1:19" x14ac:dyDescent="0.2">
      <c r="A7" s="225" t="s">
        <v>212</v>
      </c>
      <c r="B7" s="225" t="s">
        <v>1080</v>
      </c>
      <c r="C7" s="225" t="s">
        <v>30</v>
      </c>
      <c r="D7" s="226">
        <v>12044000000.000002</v>
      </c>
      <c r="E7" s="225">
        <f t="shared" si="1"/>
        <v>10.080770746840722</v>
      </c>
      <c r="F7" s="225" t="s">
        <v>1200</v>
      </c>
      <c r="G7" s="225" t="s">
        <v>1202</v>
      </c>
      <c r="H7" s="225" t="s">
        <v>210</v>
      </c>
      <c r="I7" s="225" t="s">
        <v>220</v>
      </c>
      <c r="K7" s="225" t="s">
        <v>259</v>
      </c>
      <c r="L7" s="225" t="s">
        <v>981</v>
      </c>
      <c r="M7" s="225" t="s">
        <v>35</v>
      </c>
      <c r="N7" s="226">
        <v>120440.00000000004</v>
      </c>
      <c r="O7" s="225">
        <f t="shared" si="0"/>
        <v>5.0807707468407219</v>
      </c>
      <c r="P7" s="225" t="s">
        <v>1200</v>
      </c>
      <c r="Q7" s="225" t="s">
        <v>1201</v>
      </c>
      <c r="R7" s="225" t="s">
        <v>809</v>
      </c>
      <c r="S7" s="225">
        <v>33.18</v>
      </c>
    </row>
    <row r="8" spans="1:19" x14ac:dyDescent="0.2">
      <c r="A8" s="225" t="s">
        <v>213</v>
      </c>
      <c r="B8" s="225" t="s">
        <v>981</v>
      </c>
      <c r="C8" s="225" t="s">
        <v>30</v>
      </c>
      <c r="D8" s="226">
        <v>12044000000.000002</v>
      </c>
      <c r="E8" s="225">
        <f t="shared" si="1"/>
        <v>10.080770746840722</v>
      </c>
      <c r="F8" s="225" t="s">
        <v>1200</v>
      </c>
      <c r="G8" s="225" t="s">
        <v>1203</v>
      </c>
      <c r="H8" s="225" t="s">
        <v>809</v>
      </c>
      <c r="I8" s="225">
        <v>36.21</v>
      </c>
      <c r="K8" s="225" t="s">
        <v>260</v>
      </c>
      <c r="L8" s="225" t="s">
        <v>981</v>
      </c>
      <c r="M8" s="225" t="s">
        <v>36</v>
      </c>
      <c r="N8" s="226">
        <v>12044.000000000004</v>
      </c>
      <c r="O8" s="225">
        <f t="shared" si="0"/>
        <v>4.0807707468407219</v>
      </c>
      <c r="P8" s="225" t="s">
        <v>1200</v>
      </c>
      <c r="Q8" s="225" t="s">
        <v>1201</v>
      </c>
      <c r="R8" s="225" t="s">
        <v>809</v>
      </c>
      <c r="S8" s="225">
        <v>35.26</v>
      </c>
    </row>
    <row r="9" spans="1:19" x14ac:dyDescent="0.2">
      <c r="A9" s="225" t="s">
        <v>213</v>
      </c>
      <c r="B9" s="225" t="s">
        <v>1080</v>
      </c>
      <c r="C9" s="225" t="s">
        <v>30</v>
      </c>
      <c r="D9" s="226">
        <v>12044000000.000002</v>
      </c>
      <c r="E9" s="225">
        <f t="shared" si="1"/>
        <v>10.080770746840722</v>
      </c>
      <c r="F9" s="225" t="s">
        <v>1200</v>
      </c>
      <c r="G9" s="225" t="s">
        <v>1203</v>
      </c>
      <c r="H9" s="225" t="s">
        <v>210</v>
      </c>
      <c r="I9" s="225" t="s">
        <v>220</v>
      </c>
      <c r="K9" s="225" t="s">
        <v>273</v>
      </c>
      <c r="L9" s="225" t="s">
        <v>981</v>
      </c>
      <c r="M9" s="225" t="s">
        <v>915</v>
      </c>
      <c r="N9" s="225">
        <v>0</v>
      </c>
      <c r="O9" s="225" t="e">
        <f t="shared" si="0"/>
        <v>#NUM!</v>
      </c>
      <c r="P9" s="225" t="s">
        <v>1200</v>
      </c>
      <c r="Q9" s="225" t="s">
        <v>1201</v>
      </c>
      <c r="R9" s="225" t="s">
        <v>809</v>
      </c>
      <c r="S9" s="225">
        <v>30.49</v>
      </c>
    </row>
    <row r="10" spans="1:19" x14ac:dyDescent="0.2">
      <c r="A10" s="225" t="s">
        <v>214</v>
      </c>
      <c r="B10" s="225" t="s">
        <v>981</v>
      </c>
      <c r="C10" s="225" t="s">
        <v>31</v>
      </c>
      <c r="D10" s="226">
        <v>1204400000.0000002</v>
      </c>
      <c r="E10" s="225">
        <f t="shared" si="1"/>
        <v>9.0807707468407219</v>
      </c>
      <c r="F10" s="225" t="s">
        <v>1204</v>
      </c>
      <c r="G10" s="225" t="s">
        <v>1201</v>
      </c>
      <c r="H10" s="225" t="s">
        <v>809</v>
      </c>
      <c r="I10" s="225">
        <v>35.72</v>
      </c>
      <c r="K10" s="225" t="s">
        <v>274</v>
      </c>
      <c r="L10" s="225" t="s">
        <v>981</v>
      </c>
      <c r="M10" s="225" t="s">
        <v>30</v>
      </c>
      <c r="N10" s="226">
        <v>12044000000.000002</v>
      </c>
      <c r="O10" s="225">
        <f t="shared" si="0"/>
        <v>10.080770746840722</v>
      </c>
      <c r="P10" s="225" t="s">
        <v>1200</v>
      </c>
      <c r="Q10" s="225" t="s">
        <v>1202</v>
      </c>
      <c r="R10" s="225" t="s">
        <v>809</v>
      </c>
      <c r="S10" s="225" t="s">
        <v>220</v>
      </c>
    </row>
    <row r="11" spans="1:19" x14ac:dyDescent="0.2">
      <c r="A11" s="225" t="s">
        <v>214</v>
      </c>
      <c r="B11" s="225" t="s">
        <v>1080</v>
      </c>
      <c r="C11" s="225" t="s">
        <v>31</v>
      </c>
      <c r="D11" s="226">
        <v>1204400000.0000002</v>
      </c>
      <c r="E11" s="225">
        <f t="shared" si="1"/>
        <v>9.0807707468407219</v>
      </c>
      <c r="F11" s="225" t="s">
        <v>1204</v>
      </c>
      <c r="G11" s="225" t="s">
        <v>1201</v>
      </c>
      <c r="H11" s="225" t="s">
        <v>210</v>
      </c>
      <c r="I11" s="225">
        <v>11.97</v>
      </c>
      <c r="K11" s="225" t="s">
        <v>285</v>
      </c>
      <c r="L11" s="225" t="s">
        <v>981</v>
      </c>
      <c r="M11" s="225" t="s">
        <v>31</v>
      </c>
      <c r="N11" s="226">
        <v>1204400000.0000002</v>
      </c>
      <c r="O11" s="225">
        <f t="shared" si="0"/>
        <v>9.0807707468407219</v>
      </c>
      <c r="P11" s="225" t="s">
        <v>1200</v>
      </c>
      <c r="Q11" s="225" t="s">
        <v>1202</v>
      </c>
      <c r="R11" s="225" t="s">
        <v>809</v>
      </c>
      <c r="S11" s="225">
        <v>33.85</v>
      </c>
    </row>
    <row r="12" spans="1:19" x14ac:dyDescent="0.2">
      <c r="A12" s="225" t="s">
        <v>215</v>
      </c>
      <c r="B12" s="225" t="s">
        <v>981</v>
      </c>
      <c r="C12" s="225" t="s">
        <v>31</v>
      </c>
      <c r="D12" s="226">
        <v>1204400000.0000002</v>
      </c>
      <c r="E12" s="225">
        <f t="shared" si="1"/>
        <v>9.0807707468407219</v>
      </c>
      <c r="F12" s="225" t="s">
        <v>1204</v>
      </c>
      <c r="G12" s="225" t="s">
        <v>1202</v>
      </c>
      <c r="H12" s="225" t="s">
        <v>809</v>
      </c>
      <c r="I12" s="225">
        <v>36.950000000000003</v>
      </c>
      <c r="K12" s="225" t="s">
        <v>286</v>
      </c>
      <c r="L12" s="225" t="s">
        <v>981</v>
      </c>
      <c r="M12" s="225" t="s">
        <v>32</v>
      </c>
      <c r="N12" s="226">
        <v>120440000.00000003</v>
      </c>
      <c r="O12" s="225">
        <f t="shared" si="0"/>
        <v>8.0807707468407219</v>
      </c>
      <c r="P12" s="225" t="s">
        <v>1200</v>
      </c>
      <c r="Q12" s="225" t="s">
        <v>1202</v>
      </c>
      <c r="R12" s="225" t="s">
        <v>809</v>
      </c>
      <c r="S12" s="225">
        <v>35.93</v>
      </c>
    </row>
    <row r="13" spans="1:19" x14ac:dyDescent="0.2">
      <c r="A13" s="225" t="s">
        <v>215</v>
      </c>
      <c r="B13" s="225" t="s">
        <v>1080</v>
      </c>
      <c r="C13" s="225" t="s">
        <v>31</v>
      </c>
      <c r="D13" s="226">
        <v>1204400000.0000002</v>
      </c>
      <c r="E13" s="225">
        <f t="shared" si="1"/>
        <v>9.0807707468407219</v>
      </c>
      <c r="F13" s="225" t="s">
        <v>1204</v>
      </c>
      <c r="G13" s="225" t="s">
        <v>1202</v>
      </c>
      <c r="H13" s="225" t="s">
        <v>210</v>
      </c>
      <c r="I13" s="225">
        <v>11.92</v>
      </c>
      <c r="K13" s="225" t="s">
        <v>297</v>
      </c>
      <c r="L13" s="225" t="s">
        <v>981</v>
      </c>
      <c r="M13" s="225" t="s">
        <v>33</v>
      </c>
      <c r="N13" s="226">
        <v>12044000.000000004</v>
      </c>
      <c r="O13" s="225">
        <f t="shared" si="0"/>
        <v>7.0807707468407219</v>
      </c>
      <c r="P13" s="225" t="s">
        <v>1200</v>
      </c>
      <c r="Q13" s="225" t="s">
        <v>1202</v>
      </c>
      <c r="R13" s="225" t="s">
        <v>809</v>
      </c>
      <c r="S13" s="225">
        <v>34.89</v>
      </c>
    </row>
    <row r="14" spans="1:19" x14ac:dyDescent="0.2">
      <c r="A14" s="225" t="s">
        <v>216</v>
      </c>
      <c r="B14" s="225" t="s">
        <v>981</v>
      </c>
      <c r="C14" s="225" t="s">
        <v>31</v>
      </c>
      <c r="D14" s="226">
        <v>1204400000.0000002</v>
      </c>
      <c r="E14" s="225">
        <f t="shared" si="1"/>
        <v>9.0807707468407219</v>
      </c>
      <c r="F14" s="225" t="s">
        <v>1204</v>
      </c>
      <c r="G14" s="225" t="s">
        <v>1203</v>
      </c>
      <c r="H14" s="225" t="s">
        <v>809</v>
      </c>
      <c r="I14" s="225">
        <v>40.04</v>
      </c>
      <c r="K14" s="225" t="s">
        <v>298</v>
      </c>
      <c r="L14" s="225" t="s">
        <v>981</v>
      </c>
      <c r="M14" s="225" t="s">
        <v>34</v>
      </c>
      <c r="N14" s="226">
        <v>1204400.0000000005</v>
      </c>
      <c r="O14" s="225">
        <f t="shared" si="0"/>
        <v>6.0807707468407219</v>
      </c>
      <c r="P14" s="225" t="s">
        <v>1200</v>
      </c>
      <c r="Q14" s="225" t="s">
        <v>1202</v>
      </c>
      <c r="R14" s="225" t="s">
        <v>809</v>
      </c>
      <c r="S14" s="225">
        <v>33.51</v>
      </c>
    </row>
    <row r="15" spans="1:19" x14ac:dyDescent="0.2">
      <c r="A15" s="225" t="s">
        <v>216</v>
      </c>
      <c r="B15" s="225" t="s">
        <v>1080</v>
      </c>
      <c r="C15" s="225" t="s">
        <v>31</v>
      </c>
      <c r="D15" s="226">
        <v>1204400000.0000002</v>
      </c>
      <c r="E15" s="225">
        <f t="shared" si="1"/>
        <v>9.0807707468407219</v>
      </c>
      <c r="F15" s="225" t="s">
        <v>1204</v>
      </c>
      <c r="G15" s="225" t="s">
        <v>1203</v>
      </c>
      <c r="H15" s="225" t="s">
        <v>210</v>
      </c>
      <c r="I15" s="225">
        <v>12.73</v>
      </c>
      <c r="K15" s="225" t="s">
        <v>309</v>
      </c>
      <c r="L15" s="225" t="s">
        <v>981</v>
      </c>
      <c r="M15" s="225" t="s">
        <v>35</v>
      </c>
      <c r="N15" s="226">
        <v>120440.00000000004</v>
      </c>
      <c r="O15" s="225">
        <f t="shared" si="0"/>
        <v>5.0807707468407219</v>
      </c>
      <c r="P15" s="225" t="s">
        <v>1200</v>
      </c>
      <c r="Q15" s="225" t="s">
        <v>1202</v>
      </c>
      <c r="R15" s="225" t="s">
        <v>809</v>
      </c>
      <c r="S15" s="225">
        <v>32.06</v>
      </c>
    </row>
    <row r="16" spans="1:19" x14ac:dyDescent="0.2">
      <c r="A16" s="225" t="s">
        <v>217</v>
      </c>
      <c r="B16" s="225" t="s">
        <v>981</v>
      </c>
      <c r="C16" s="225" t="s">
        <v>31</v>
      </c>
      <c r="D16" s="226">
        <v>1204400000.0000002</v>
      </c>
      <c r="E16" s="225">
        <f t="shared" si="1"/>
        <v>9.0807707468407219</v>
      </c>
      <c r="F16" s="225" t="s">
        <v>1204</v>
      </c>
      <c r="G16" s="225" t="s">
        <v>1205</v>
      </c>
      <c r="H16" s="225" t="s">
        <v>809</v>
      </c>
      <c r="I16" s="225">
        <v>33.76</v>
      </c>
      <c r="K16" s="225" t="s">
        <v>310</v>
      </c>
      <c r="L16" s="225" t="s">
        <v>981</v>
      </c>
      <c r="M16" s="225" t="s">
        <v>36</v>
      </c>
      <c r="N16" s="226">
        <v>12044.000000000004</v>
      </c>
      <c r="O16" s="225">
        <f t="shared" si="0"/>
        <v>4.0807707468407219</v>
      </c>
      <c r="P16" s="225" t="s">
        <v>1200</v>
      </c>
      <c r="Q16" s="225" t="s">
        <v>1202</v>
      </c>
      <c r="R16" s="225" t="s">
        <v>809</v>
      </c>
      <c r="S16" s="225">
        <v>31.95</v>
      </c>
    </row>
    <row r="17" spans="1:19" x14ac:dyDescent="0.2">
      <c r="A17" s="225" t="s">
        <v>217</v>
      </c>
      <c r="B17" s="225" t="s">
        <v>1080</v>
      </c>
      <c r="C17" s="225" t="s">
        <v>31</v>
      </c>
      <c r="D17" s="226">
        <v>1204400000.0000002</v>
      </c>
      <c r="E17" s="225">
        <f t="shared" si="1"/>
        <v>9.0807707468407219</v>
      </c>
      <c r="F17" s="225" t="s">
        <v>1204</v>
      </c>
      <c r="G17" s="225" t="s">
        <v>1205</v>
      </c>
      <c r="H17" s="225" t="s">
        <v>210</v>
      </c>
      <c r="I17" s="225">
        <v>10.07</v>
      </c>
      <c r="K17" s="225" t="s">
        <v>322</v>
      </c>
      <c r="L17" s="225" t="s">
        <v>981</v>
      </c>
      <c r="M17" s="225" t="s">
        <v>915</v>
      </c>
      <c r="N17" s="225">
        <v>0</v>
      </c>
      <c r="O17" s="225" t="e">
        <f t="shared" si="0"/>
        <v>#NUM!</v>
      </c>
      <c r="P17" s="225" t="s">
        <v>1200</v>
      </c>
      <c r="Q17" s="225" t="s">
        <v>1202</v>
      </c>
      <c r="R17" s="225" t="s">
        <v>809</v>
      </c>
      <c r="S17" s="225">
        <v>30.29</v>
      </c>
    </row>
    <row r="18" spans="1:19" x14ac:dyDescent="0.2">
      <c r="A18" s="225" t="s">
        <v>218</v>
      </c>
      <c r="B18" s="225" t="s">
        <v>981</v>
      </c>
      <c r="C18" s="225" t="s">
        <v>32</v>
      </c>
      <c r="D18" s="226">
        <v>120440000.00000003</v>
      </c>
      <c r="E18" s="225">
        <f t="shared" si="1"/>
        <v>8.0807707468407219</v>
      </c>
      <c r="F18" s="225" t="s">
        <v>1206</v>
      </c>
      <c r="G18" s="225" t="s">
        <v>1201</v>
      </c>
      <c r="H18" s="225" t="s">
        <v>809</v>
      </c>
      <c r="I18" s="225">
        <v>37.67</v>
      </c>
      <c r="K18" s="225" t="s">
        <v>211</v>
      </c>
      <c r="L18" s="225" t="s">
        <v>981</v>
      </c>
      <c r="M18" s="225" t="s">
        <v>30</v>
      </c>
      <c r="N18" s="226">
        <v>12044000000.000002</v>
      </c>
      <c r="O18" s="225">
        <f t="shared" si="0"/>
        <v>10.080770746840722</v>
      </c>
      <c r="P18" s="225" t="s">
        <v>1200</v>
      </c>
      <c r="Q18" s="225" t="s">
        <v>1203</v>
      </c>
      <c r="R18" s="225" t="s">
        <v>809</v>
      </c>
      <c r="S18" s="225">
        <v>36.21</v>
      </c>
    </row>
    <row r="19" spans="1:19" x14ac:dyDescent="0.2">
      <c r="A19" s="225" t="s">
        <v>218</v>
      </c>
      <c r="B19" s="225" t="s">
        <v>1080</v>
      </c>
      <c r="C19" s="225" t="s">
        <v>32</v>
      </c>
      <c r="D19" s="226">
        <v>120440000.00000003</v>
      </c>
      <c r="E19" s="225">
        <f t="shared" si="1"/>
        <v>8.0807707468407219</v>
      </c>
      <c r="F19" s="225" t="s">
        <v>1206</v>
      </c>
      <c r="G19" s="225" t="s">
        <v>1201</v>
      </c>
      <c r="H19" s="225" t="s">
        <v>210</v>
      </c>
      <c r="I19" s="225">
        <v>18.27</v>
      </c>
      <c r="K19" s="225" t="s">
        <v>234</v>
      </c>
      <c r="L19" s="225" t="s">
        <v>981</v>
      </c>
      <c r="M19" s="225" t="s">
        <v>31</v>
      </c>
      <c r="N19" s="226">
        <v>1204400000.0000002</v>
      </c>
      <c r="O19" s="225">
        <f t="shared" si="0"/>
        <v>9.0807707468407219</v>
      </c>
      <c r="P19" s="225" t="s">
        <v>1200</v>
      </c>
      <c r="Q19" s="225" t="s">
        <v>1203</v>
      </c>
      <c r="R19" s="225" t="s">
        <v>809</v>
      </c>
      <c r="S19" s="225">
        <v>35.35</v>
      </c>
    </row>
    <row r="20" spans="1:19" x14ac:dyDescent="0.2">
      <c r="A20" s="225" t="s">
        <v>219</v>
      </c>
      <c r="B20" s="225" t="s">
        <v>981</v>
      </c>
      <c r="C20" s="225" t="s">
        <v>32</v>
      </c>
      <c r="D20" s="226">
        <v>120440000.00000003</v>
      </c>
      <c r="E20" s="225">
        <f t="shared" si="1"/>
        <v>8.0807707468407219</v>
      </c>
      <c r="F20" s="225" t="s">
        <v>1206</v>
      </c>
      <c r="G20" s="225" t="s">
        <v>1202</v>
      </c>
      <c r="H20" s="225" t="s">
        <v>809</v>
      </c>
      <c r="I20" s="225" t="s">
        <v>220</v>
      </c>
      <c r="K20" s="225" t="s">
        <v>249</v>
      </c>
      <c r="L20" s="225" t="s">
        <v>981</v>
      </c>
      <c r="M20" s="225" t="s">
        <v>32</v>
      </c>
      <c r="N20" s="226">
        <v>120440000.00000003</v>
      </c>
      <c r="O20" s="225">
        <f t="shared" si="0"/>
        <v>8.0807707468407219</v>
      </c>
      <c r="P20" s="225" t="s">
        <v>1200</v>
      </c>
      <c r="Q20" s="225" t="s">
        <v>1203</v>
      </c>
      <c r="R20" s="225" t="s">
        <v>809</v>
      </c>
      <c r="S20" s="225">
        <v>36.35</v>
      </c>
    </row>
    <row r="21" spans="1:19" x14ac:dyDescent="0.2">
      <c r="A21" s="225" t="s">
        <v>219</v>
      </c>
      <c r="B21" s="225" t="s">
        <v>1080</v>
      </c>
      <c r="C21" s="225" t="s">
        <v>32</v>
      </c>
      <c r="D21" s="226">
        <v>120440000.00000003</v>
      </c>
      <c r="E21" s="225">
        <f t="shared" si="1"/>
        <v>8.0807707468407219</v>
      </c>
      <c r="F21" s="225" t="s">
        <v>1206</v>
      </c>
      <c r="G21" s="225" t="s">
        <v>1202</v>
      </c>
      <c r="H21" s="225" t="s">
        <v>210</v>
      </c>
      <c r="I21" s="225">
        <v>14.01</v>
      </c>
      <c r="K21" s="225" t="s">
        <v>261</v>
      </c>
      <c r="L21" s="225" t="s">
        <v>981</v>
      </c>
      <c r="M21" s="225" t="s">
        <v>33</v>
      </c>
      <c r="N21" s="226">
        <v>12044000.000000004</v>
      </c>
      <c r="O21" s="225">
        <f t="shared" si="0"/>
        <v>7.0807707468407219</v>
      </c>
      <c r="P21" s="225" t="s">
        <v>1200</v>
      </c>
      <c r="Q21" s="225" t="s">
        <v>1203</v>
      </c>
      <c r="R21" s="225" t="s">
        <v>809</v>
      </c>
      <c r="S21" s="225">
        <v>35.130000000000003</v>
      </c>
    </row>
    <row r="22" spans="1:19" x14ac:dyDescent="0.2">
      <c r="A22" s="225" t="s">
        <v>221</v>
      </c>
      <c r="B22" s="225" t="s">
        <v>981</v>
      </c>
      <c r="C22" s="225" t="s">
        <v>32</v>
      </c>
      <c r="D22" s="226">
        <v>120440000.00000003</v>
      </c>
      <c r="E22" s="225">
        <f t="shared" si="1"/>
        <v>8.0807707468407219</v>
      </c>
      <c r="F22" s="225" t="s">
        <v>1206</v>
      </c>
      <c r="G22" s="225" t="s">
        <v>1203</v>
      </c>
      <c r="H22" s="225" t="s">
        <v>809</v>
      </c>
      <c r="I22" s="225">
        <v>38.200000000000003</v>
      </c>
      <c r="K22" s="225" t="s">
        <v>275</v>
      </c>
      <c r="L22" s="225" t="s">
        <v>981</v>
      </c>
      <c r="M22" s="225" t="s">
        <v>34</v>
      </c>
      <c r="N22" s="226">
        <v>1204400.0000000005</v>
      </c>
      <c r="O22" s="225">
        <f t="shared" si="0"/>
        <v>6.0807707468407219</v>
      </c>
      <c r="P22" s="225" t="s">
        <v>1200</v>
      </c>
      <c r="Q22" s="225" t="s">
        <v>1203</v>
      </c>
      <c r="R22" s="225" t="s">
        <v>809</v>
      </c>
      <c r="S22" s="225">
        <v>35.15</v>
      </c>
    </row>
    <row r="23" spans="1:19" x14ac:dyDescent="0.2">
      <c r="A23" s="225" t="s">
        <v>221</v>
      </c>
      <c r="B23" s="225" t="s">
        <v>1080</v>
      </c>
      <c r="C23" s="225" t="s">
        <v>32</v>
      </c>
      <c r="D23" s="226">
        <v>120440000.00000003</v>
      </c>
      <c r="E23" s="225">
        <f t="shared" si="1"/>
        <v>8.0807707468407219</v>
      </c>
      <c r="F23" s="225" t="s">
        <v>1206</v>
      </c>
      <c r="G23" s="225" t="s">
        <v>1203</v>
      </c>
      <c r="H23" s="225" t="s">
        <v>210</v>
      </c>
      <c r="I23" s="225">
        <v>17.09</v>
      </c>
      <c r="K23" s="225" t="s">
        <v>287</v>
      </c>
      <c r="L23" s="225" t="s">
        <v>981</v>
      </c>
      <c r="M23" s="225" t="s">
        <v>35</v>
      </c>
      <c r="N23" s="226">
        <v>120440.00000000004</v>
      </c>
      <c r="O23" s="225">
        <f t="shared" si="0"/>
        <v>5.0807707468407219</v>
      </c>
      <c r="P23" s="225" t="s">
        <v>1200</v>
      </c>
      <c r="Q23" s="225" t="s">
        <v>1203</v>
      </c>
      <c r="R23" s="225" t="s">
        <v>809</v>
      </c>
      <c r="S23" s="225">
        <v>32.630000000000003</v>
      </c>
    </row>
    <row r="24" spans="1:19" x14ac:dyDescent="0.2">
      <c r="A24" s="225" t="s">
        <v>222</v>
      </c>
      <c r="B24" s="225" t="s">
        <v>981</v>
      </c>
      <c r="C24" s="225" t="s">
        <v>1199</v>
      </c>
      <c r="D24" s="225" t="s">
        <v>1199</v>
      </c>
      <c r="E24" s="225" t="e">
        <f t="shared" si="1"/>
        <v>#VALUE!</v>
      </c>
      <c r="F24" s="225" t="s">
        <v>1199</v>
      </c>
      <c r="G24" s="225" t="s">
        <v>1199</v>
      </c>
      <c r="H24" s="225" t="s">
        <v>809</v>
      </c>
      <c r="I24" s="225" t="s">
        <v>220</v>
      </c>
      <c r="K24" s="225" t="s">
        <v>299</v>
      </c>
      <c r="L24" s="225" t="s">
        <v>981</v>
      </c>
      <c r="M24" s="225" t="s">
        <v>36</v>
      </c>
      <c r="N24" s="226">
        <v>12044.000000000004</v>
      </c>
      <c r="O24" s="225">
        <f t="shared" si="0"/>
        <v>4.0807707468407219</v>
      </c>
      <c r="P24" s="225" t="s">
        <v>1200</v>
      </c>
      <c r="Q24" s="225" t="s">
        <v>1203</v>
      </c>
      <c r="R24" s="225" t="s">
        <v>809</v>
      </c>
      <c r="S24" s="225">
        <v>33.49</v>
      </c>
    </row>
    <row r="25" spans="1:19" x14ac:dyDescent="0.2">
      <c r="A25" s="225" t="s">
        <v>222</v>
      </c>
      <c r="B25" s="225" t="s">
        <v>1080</v>
      </c>
      <c r="C25" s="225" t="s">
        <v>1199</v>
      </c>
      <c r="D25" s="225" t="s">
        <v>1199</v>
      </c>
      <c r="E25" s="225" t="e">
        <f t="shared" si="1"/>
        <v>#VALUE!</v>
      </c>
      <c r="F25" s="225" t="s">
        <v>1199</v>
      </c>
      <c r="G25" s="225" t="s">
        <v>1199</v>
      </c>
      <c r="H25" s="225" t="s">
        <v>210</v>
      </c>
      <c r="I25" s="225" t="s">
        <v>220</v>
      </c>
      <c r="K25" s="225" t="s">
        <v>311</v>
      </c>
      <c r="L25" s="225" t="s">
        <v>981</v>
      </c>
      <c r="M25" s="225" t="s">
        <v>915</v>
      </c>
      <c r="N25" s="225">
        <v>0</v>
      </c>
      <c r="O25" s="225" t="e">
        <f t="shared" si="0"/>
        <v>#NUM!</v>
      </c>
      <c r="P25" s="225" t="s">
        <v>1200</v>
      </c>
      <c r="Q25" s="225" t="s">
        <v>1203</v>
      </c>
      <c r="R25" s="225" t="s">
        <v>809</v>
      </c>
      <c r="S25" s="225">
        <v>30.9</v>
      </c>
    </row>
    <row r="26" spans="1:19" x14ac:dyDescent="0.2">
      <c r="A26" s="225" t="s">
        <v>223</v>
      </c>
      <c r="B26" s="225" t="s">
        <v>981</v>
      </c>
      <c r="C26" s="225" t="s">
        <v>1199</v>
      </c>
      <c r="D26" s="225" t="s">
        <v>1199</v>
      </c>
      <c r="E26" s="225" t="e">
        <f t="shared" si="1"/>
        <v>#VALUE!</v>
      </c>
      <c r="F26" s="225" t="s">
        <v>1199</v>
      </c>
      <c r="G26" s="225" t="s">
        <v>1199</v>
      </c>
      <c r="H26" s="225" t="s">
        <v>809</v>
      </c>
      <c r="I26" s="225" t="s">
        <v>220</v>
      </c>
      <c r="K26" s="225" t="s">
        <v>212</v>
      </c>
      <c r="L26" s="225" t="s">
        <v>981</v>
      </c>
      <c r="M26" s="225" t="s">
        <v>31</v>
      </c>
      <c r="N26" s="226">
        <v>1204400000.0000002</v>
      </c>
      <c r="O26" s="225">
        <f t="shared" si="0"/>
        <v>9.0807707468407219</v>
      </c>
      <c r="P26" s="225" t="s">
        <v>1204</v>
      </c>
      <c r="Q26" s="225" t="s">
        <v>1201</v>
      </c>
      <c r="R26" s="225" t="s">
        <v>809</v>
      </c>
      <c r="S26" s="225">
        <v>35.72</v>
      </c>
    </row>
    <row r="27" spans="1:19" x14ac:dyDescent="0.2">
      <c r="A27" s="225" t="s">
        <v>223</v>
      </c>
      <c r="B27" s="225" t="s">
        <v>1080</v>
      </c>
      <c r="C27" s="225" t="s">
        <v>1199</v>
      </c>
      <c r="D27" s="225" t="s">
        <v>1199</v>
      </c>
      <c r="E27" s="225" t="e">
        <f t="shared" si="1"/>
        <v>#VALUE!</v>
      </c>
      <c r="F27" s="225" t="s">
        <v>1199</v>
      </c>
      <c r="G27" s="225" t="s">
        <v>1199</v>
      </c>
      <c r="H27" s="225" t="s">
        <v>210</v>
      </c>
      <c r="I27" s="225" t="s">
        <v>220</v>
      </c>
      <c r="K27" s="225" t="s">
        <v>235</v>
      </c>
      <c r="L27" s="225" t="s">
        <v>981</v>
      </c>
      <c r="M27" s="225" t="s">
        <v>32</v>
      </c>
      <c r="N27" s="226">
        <v>120440000.00000003</v>
      </c>
      <c r="O27" s="225">
        <f t="shared" si="0"/>
        <v>8.0807707468407219</v>
      </c>
      <c r="P27" s="225" t="s">
        <v>1204</v>
      </c>
      <c r="Q27" s="225" t="s">
        <v>1201</v>
      </c>
      <c r="R27" s="225" t="s">
        <v>809</v>
      </c>
      <c r="S27" s="225">
        <v>34.520000000000003</v>
      </c>
    </row>
    <row r="28" spans="1:19" x14ac:dyDescent="0.2">
      <c r="A28" s="225" t="s">
        <v>234</v>
      </c>
      <c r="B28" s="225" t="s">
        <v>981</v>
      </c>
      <c r="C28" s="225" t="s">
        <v>31</v>
      </c>
      <c r="D28" s="226">
        <v>1204400000.0000002</v>
      </c>
      <c r="E28" s="225">
        <f t="shared" si="1"/>
        <v>9.0807707468407219</v>
      </c>
      <c r="F28" s="225" t="s">
        <v>1200</v>
      </c>
      <c r="G28" s="225" t="s">
        <v>1201</v>
      </c>
      <c r="H28" s="225" t="s">
        <v>809</v>
      </c>
      <c r="I28" s="225">
        <v>37.81</v>
      </c>
      <c r="K28" s="225" t="s">
        <v>250</v>
      </c>
      <c r="L28" s="225" t="s">
        <v>981</v>
      </c>
      <c r="M28" s="225" t="s">
        <v>33</v>
      </c>
      <c r="N28" s="226">
        <v>12044000.000000004</v>
      </c>
      <c r="O28" s="225">
        <f t="shared" si="0"/>
        <v>7.0807707468407219</v>
      </c>
      <c r="P28" s="225" t="s">
        <v>1204</v>
      </c>
      <c r="Q28" s="225" t="s">
        <v>1201</v>
      </c>
      <c r="R28" s="225" t="s">
        <v>809</v>
      </c>
      <c r="S28" s="225">
        <v>34.67</v>
      </c>
    </row>
    <row r="29" spans="1:19" x14ac:dyDescent="0.2">
      <c r="A29" s="225" t="s">
        <v>234</v>
      </c>
      <c r="B29" s="225" t="s">
        <v>1080</v>
      </c>
      <c r="C29" s="225" t="s">
        <v>31</v>
      </c>
      <c r="D29" s="226">
        <v>1204400000.0000002</v>
      </c>
      <c r="E29" s="225">
        <f t="shared" si="1"/>
        <v>9.0807707468407219</v>
      </c>
      <c r="F29" s="225" t="s">
        <v>1200</v>
      </c>
      <c r="G29" s="225" t="s">
        <v>1201</v>
      </c>
      <c r="H29" s="225" t="s">
        <v>210</v>
      </c>
      <c r="I29" s="225">
        <v>6.63</v>
      </c>
      <c r="K29" s="225" t="s">
        <v>262</v>
      </c>
      <c r="L29" s="225" t="s">
        <v>981</v>
      </c>
      <c r="M29" s="225" t="s">
        <v>34</v>
      </c>
      <c r="N29" s="226">
        <v>1204400.0000000005</v>
      </c>
      <c r="O29" s="225">
        <f t="shared" si="0"/>
        <v>6.0807707468407219</v>
      </c>
      <c r="P29" s="225" t="s">
        <v>1204</v>
      </c>
      <c r="Q29" s="225" t="s">
        <v>1201</v>
      </c>
      <c r="R29" s="225" t="s">
        <v>809</v>
      </c>
      <c r="S29" s="225">
        <v>32.979999999999997</v>
      </c>
    </row>
    <row r="30" spans="1:19" x14ac:dyDescent="0.2">
      <c r="A30" s="225" t="s">
        <v>235</v>
      </c>
      <c r="B30" s="225" t="s">
        <v>981</v>
      </c>
      <c r="C30" s="225" t="s">
        <v>31</v>
      </c>
      <c r="D30" s="226">
        <v>1204400000.0000002</v>
      </c>
      <c r="E30" s="225">
        <f t="shared" si="1"/>
        <v>9.0807707468407219</v>
      </c>
      <c r="F30" s="225" t="s">
        <v>1200</v>
      </c>
      <c r="G30" s="225" t="s">
        <v>1202</v>
      </c>
      <c r="H30" s="225" t="s">
        <v>809</v>
      </c>
      <c r="I30" s="225">
        <v>33.85</v>
      </c>
      <c r="K30" s="225" t="s">
        <v>276</v>
      </c>
      <c r="L30" s="225" t="s">
        <v>981</v>
      </c>
      <c r="M30" s="225" t="s">
        <v>35</v>
      </c>
      <c r="N30" s="226">
        <v>120440.00000000004</v>
      </c>
      <c r="O30" s="225">
        <f t="shared" si="0"/>
        <v>5.0807707468407219</v>
      </c>
      <c r="P30" s="225" t="s">
        <v>1204</v>
      </c>
      <c r="Q30" s="225" t="s">
        <v>1201</v>
      </c>
      <c r="R30" s="225" t="s">
        <v>809</v>
      </c>
      <c r="S30" s="225">
        <v>33.64</v>
      </c>
    </row>
    <row r="31" spans="1:19" x14ac:dyDescent="0.2">
      <c r="A31" s="225" t="s">
        <v>235</v>
      </c>
      <c r="B31" s="225" t="s">
        <v>1080</v>
      </c>
      <c r="C31" s="225" t="s">
        <v>31</v>
      </c>
      <c r="D31" s="226">
        <v>1204400000.0000002</v>
      </c>
      <c r="E31" s="225">
        <f t="shared" si="1"/>
        <v>9.0807707468407219</v>
      </c>
      <c r="F31" s="225" t="s">
        <v>1200</v>
      </c>
      <c r="G31" s="225" t="s">
        <v>1202</v>
      </c>
      <c r="H31" s="225" t="s">
        <v>210</v>
      </c>
      <c r="I31" s="225">
        <v>11.5</v>
      </c>
      <c r="K31" s="225" t="s">
        <v>288</v>
      </c>
      <c r="L31" s="225" t="s">
        <v>981</v>
      </c>
      <c r="M31" s="225" t="s">
        <v>36</v>
      </c>
      <c r="N31" s="226">
        <v>12044.000000000004</v>
      </c>
      <c r="O31" s="225">
        <f t="shared" si="0"/>
        <v>4.0807707468407219</v>
      </c>
      <c r="P31" s="225" t="s">
        <v>1204</v>
      </c>
      <c r="Q31" s="225" t="s">
        <v>1201</v>
      </c>
      <c r="R31" s="225" t="s">
        <v>809</v>
      </c>
      <c r="S31" s="225">
        <v>30.4</v>
      </c>
    </row>
    <row r="32" spans="1:19" x14ac:dyDescent="0.2">
      <c r="A32" s="225" t="s">
        <v>236</v>
      </c>
      <c r="B32" s="225" t="s">
        <v>981</v>
      </c>
      <c r="C32" s="225" t="s">
        <v>31</v>
      </c>
      <c r="D32" s="226">
        <v>1204400000.0000002</v>
      </c>
      <c r="E32" s="225">
        <f t="shared" si="1"/>
        <v>9.0807707468407219</v>
      </c>
      <c r="F32" s="225" t="s">
        <v>1200</v>
      </c>
      <c r="G32" s="225" t="s">
        <v>1203</v>
      </c>
      <c r="H32" s="225" t="s">
        <v>809</v>
      </c>
      <c r="I32" s="225">
        <v>35.35</v>
      </c>
      <c r="K32" s="225" t="s">
        <v>300</v>
      </c>
      <c r="L32" s="225" t="s">
        <v>981</v>
      </c>
      <c r="M32" s="225" t="s">
        <v>37</v>
      </c>
      <c r="N32" s="226">
        <v>1204.4000000000005</v>
      </c>
      <c r="O32" s="225">
        <f t="shared" si="0"/>
        <v>3.0807707468407219</v>
      </c>
      <c r="P32" s="225" t="s">
        <v>1204</v>
      </c>
      <c r="Q32" s="225" t="s">
        <v>1201</v>
      </c>
      <c r="R32" s="225" t="s">
        <v>809</v>
      </c>
      <c r="S32" s="225">
        <v>30.52</v>
      </c>
    </row>
    <row r="33" spans="1:19" x14ac:dyDescent="0.2">
      <c r="A33" s="225" t="s">
        <v>236</v>
      </c>
      <c r="B33" s="225" t="s">
        <v>1080</v>
      </c>
      <c r="C33" s="225" t="s">
        <v>31</v>
      </c>
      <c r="D33" s="226">
        <v>1204400000.0000002</v>
      </c>
      <c r="E33" s="225">
        <f t="shared" si="1"/>
        <v>9.0807707468407219</v>
      </c>
      <c r="F33" s="225" t="s">
        <v>1200</v>
      </c>
      <c r="G33" s="225" t="s">
        <v>1203</v>
      </c>
      <c r="H33" s="225" t="s">
        <v>210</v>
      </c>
      <c r="I33" s="225">
        <v>9.4499999999999993</v>
      </c>
      <c r="K33" s="225" t="s">
        <v>312</v>
      </c>
      <c r="L33" s="225" t="s">
        <v>981</v>
      </c>
      <c r="M33" s="225" t="s">
        <v>915</v>
      </c>
      <c r="N33" s="225">
        <v>0</v>
      </c>
      <c r="O33" s="225" t="e">
        <f t="shared" si="0"/>
        <v>#NUM!</v>
      </c>
      <c r="P33" s="225" t="s">
        <v>1204</v>
      </c>
      <c r="Q33" s="225" t="s">
        <v>1201</v>
      </c>
      <c r="R33" s="225" t="s">
        <v>809</v>
      </c>
      <c r="S33" s="225">
        <v>30.55</v>
      </c>
    </row>
    <row r="34" spans="1:19" x14ac:dyDescent="0.2">
      <c r="A34" s="225" t="s">
        <v>237</v>
      </c>
      <c r="B34" s="225" t="s">
        <v>981</v>
      </c>
      <c r="C34" s="225" t="s">
        <v>32</v>
      </c>
      <c r="D34" s="226">
        <v>120440000.00000003</v>
      </c>
      <c r="E34" s="225">
        <f t="shared" si="1"/>
        <v>8.0807707468407219</v>
      </c>
      <c r="F34" s="225" t="s">
        <v>1204</v>
      </c>
      <c r="G34" s="225" t="s">
        <v>1201</v>
      </c>
      <c r="H34" s="225" t="s">
        <v>809</v>
      </c>
      <c r="I34" s="225">
        <v>34.520000000000003</v>
      </c>
      <c r="K34" s="225" t="s">
        <v>213</v>
      </c>
      <c r="L34" s="225" t="s">
        <v>981</v>
      </c>
      <c r="M34" s="225" t="s">
        <v>31</v>
      </c>
      <c r="N34" s="226">
        <v>1204400000.0000002</v>
      </c>
      <c r="O34" s="225">
        <f t="shared" ref="O34:O65" si="2">LOG(N34)</f>
        <v>9.0807707468407219</v>
      </c>
      <c r="P34" s="225" t="s">
        <v>1204</v>
      </c>
      <c r="Q34" s="225" t="s">
        <v>1202</v>
      </c>
      <c r="R34" s="225" t="s">
        <v>809</v>
      </c>
      <c r="S34" s="225">
        <v>36.950000000000003</v>
      </c>
    </row>
    <row r="35" spans="1:19" x14ac:dyDescent="0.2">
      <c r="A35" s="225" t="s">
        <v>237</v>
      </c>
      <c r="B35" s="225" t="s">
        <v>1080</v>
      </c>
      <c r="C35" s="225" t="s">
        <v>32</v>
      </c>
      <c r="D35" s="226">
        <v>120440000.00000003</v>
      </c>
      <c r="E35" s="225">
        <f t="shared" si="1"/>
        <v>8.0807707468407219</v>
      </c>
      <c r="F35" s="225" t="s">
        <v>1204</v>
      </c>
      <c r="G35" s="225" t="s">
        <v>1201</v>
      </c>
      <c r="H35" s="225" t="s">
        <v>210</v>
      </c>
      <c r="I35" s="225">
        <v>15.06</v>
      </c>
      <c r="K35" s="225" t="s">
        <v>236</v>
      </c>
      <c r="L35" s="225" t="s">
        <v>981</v>
      </c>
      <c r="M35" s="225" t="s">
        <v>32</v>
      </c>
      <c r="N35" s="226">
        <v>120440000.00000003</v>
      </c>
      <c r="O35" s="225">
        <f t="shared" si="2"/>
        <v>8.0807707468407219</v>
      </c>
      <c r="P35" s="225" t="s">
        <v>1204</v>
      </c>
      <c r="Q35" s="225" t="s">
        <v>1202</v>
      </c>
      <c r="R35" s="225" t="s">
        <v>809</v>
      </c>
      <c r="S35" s="225">
        <v>39.92</v>
      </c>
    </row>
    <row r="36" spans="1:19" x14ac:dyDescent="0.2">
      <c r="A36" s="225" t="s">
        <v>238</v>
      </c>
      <c r="B36" s="225" t="s">
        <v>981</v>
      </c>
      <c r="C36" s="225" t="s">
        <v>32</v>
      </c>
      <c r="D36" s="226">
        <v>120440000.00000003</v>
      </c>
      <c r="E36" s="225">
        <f t="shared" si="1"/>
        <v>8.0807707468407219</v>
      </c>
      <c r="F36" s="225" t="s">
        <v>1204</v>
      </c>
      <c r="G36" s="225" t="s">
        <v>1202</v>
      </c>
      <c r="H36" s="225" t="s">
        <v>809</v>
      </c>
      <c r="I36" s="225">
        <v>39.92</v>
      </c>
      <c r="K36" s="225" t="s">
        <v>251</v>
      </c>
      <c r="L36" s="225" t="s">
        <v>981</v>
      </c>
      <c r="M36" s="225" t="s">
        <v>33</v>
      </c>
      <c r="N36" s="226">
        <v>12044000.000000004</v>
      </c>
      <c r="O36" s="225">
        <f t="shared" si="2"/>
        <v>7.0807707468407219</v>
      </c>
      <c r="P36" s="225" t="s">
        <v>1204</v>
      </c>
      <c r="Q36" s="225" t="s">
        <v>1202</v>
      </c>
      <c r="R36" s="225" t="s">
        <v>809</v>
      </c>
      <c r="S36" s="225" t="s">
        <v>220</v>
      </c>
    </row>
    <row r="37" spans="1:19" x14ac:dyDescent="0.2">
      <c r="A37" s="225" t="s">
        <v>238</v>
      </c>
      <c r="B37" s="225" t="s">
        <v>1080</v>
      </c>
      <c r="C37" s="225" t="s">
        <v>32</v>
      </c>
      <c r="D37" s="226">
        <v>120440000.00000003</v>
      </c>
      <c r="E37" s="225">
        <f t="shared" si="1"/>
        <v>8.0807707468407219</v>
      </c>
      <c r="F37" s="225" t="s">
        <v>1204</v>
      </c>
      <c r="G37" s="225" t="s">
        <v>1202</v>
      </c>
      <c r="H37" s="225" t="s">
        <v>210</v>
      </c>
      <c r="I37" s="225">
        <v>14.48</v>
      </c>
      <c r="K37" s="225" t="s">
        <v>263</v>
      </c>
      <c r="L37" s="225" t="s">
        <v>981</v>
      </c>
      <c r="M37" s="225" t="s">
        <v>34</v>
      </c>
      <c r="N37" s="226">
        <v>1204400.0000000005</v>
      </c>
      <c r="O37" s="225">
        <f t="shared" si="2"/>
        <v>6.0807707468407219</v>
      </c>
      <c r="P37" s="225" t="s">
        <v>1204</v>
      </c>
      <c r="Q37" s="225" t="s">
        <v>1202</v>
      </c>
      <c r="R37" s="225" t="s">
        <v>809</v>
      </c>
      <c r="S37" s="225">
        <v>35.1</v>
      </c>
    </row>
    <row r="38" spans="1:19" x14ac:dyDescent="0.2">
      <c r="A38" s="225" t="s">
        <v>239</v>
      </c>
      <c r="B38" s="225" t="s">
        <v>981</v>
      </c>
      <c r="C38" s="225" t="s">
        <v>32</v>
      </c>
      <c r="D38" s="226">
        <v>120440000.00000003</v>
      </c>
      <c r="E38" s="225">
        <f t="shared" si="1"/>
        <v>8.0807707468407219</v>
      </c>
      <c r="F38" s="225" t="s">
        <v>1204</v>
      </c>
      <c r="G38" s="225" t="s">
        <v>1203</v>
      </c>
      <c r="H38" s="225" t="s">
        <v>809</v>
      </c>
      <c r="I38" s="225" t="s">
        <v>220</v>
      </c>
      <c r="K38" s="225" t="s">
        <v>277</v>
      </c>
      <c r="L38" s="225" t="s">
        <v>981</v>
      </c>
      <c r="M38" s="225" t="s">
        <v>35</v>
      </c>
      <c r="N38" s="226">
        <v>120440.00000000004</v>
      </c>
      <c r="O38" s="225">
        <f t="shared" si="2"/>
        <v>5.0807707468407219</v>
      </c>
      <c r="P38" s="225" t="s">
        <v>1204</v>
      </c>
      <c r="Q38" s="225" t="s">
        <v>1202</v>
      </c>
      <c r="R38" s="225" t="s">
        <v>809</v>
      </c>
      <c r="S38" s="225">
        <v>32.42</v>
      </c>
    </row>
    <row r="39" spans="1:19" x14ac:dyDescent="0.2">
      <c r="A39" s="225" t="s">
        <v>239</v>
      </c>
      <c r="B39" s="225" t="s">
        <v>1080</v>
      </c>
      <c r="C39" s="225" t="s">
        <v>32</v>
      </c>
      <c r="D39" s="226">
        <v>120440000.00000003</v>
      </c>
      <c r="E39" s="225">
        <f t="shared" si="1"/>
        <v>8.0807707468407219</v>
      </c>
      <c r="F39" s="225" t="s">
        <v>1204</v>
      </c>
      <c r="G39" s="225" t="s">
        <v>1203</v>
      </c>
      <c r="H39" s="225" t="s">
        <v>210</v>
      </c>
      <c r="I39" s="225">
        <v>15.87</v>
      </c>
      <c r="K39" s="225" t="s">
        <v>289</v>
      </c>
      <c r="L39" s="225" t="s">
        <v>981</v>
      </c>
      <c r="M39" s="225" t="s">
        <v>36</v>
      </c>
      <c r="N39" s="226">
        <v>12044.000000000004</v>
      </c>
      <c r="O39" s="225">
        <f t="shared" si="2"/>
        <v>4.0807707468407219</v>
      </c>
      <c r="P39" s="225" t="s">
        <v>1204</v>
      </c>
      <c r="Q39" s="225" t="s">
        <v>1202</v>
      </c>
      <c r="R39" s="225" t="s">
        <v>809</v>
      </c>
      <c r="S39" s="225">
        <v>30.56</v>
      </c>
    </row>
    <row r="40" spans="1:19" x14ac:dyDescent="0.2">
      <c r="A40" s="225" t="s">
        <v>242</v>
      </c>
      <c r="B40" s="225" t="s">
        <v>981</v>
      </c>
      <c r="C40" s="225" t="s">
        <v>32</v>
      </c>
      <c r="D40" s="226">
        <v>120440000.00000003</v>
      </c>
      <c r="E40" s="225">
        <f t="shared" si="1"/>
        <v>8.0807707468407219</v>
      </c>
      <c r="F40" s="225" t="s">
        <v>1204</v>
      </c>
      <c r="G40" s="225" t="s">
        <v>1205</v>
      </c>
      <c r="H40" s="225" t="s">
        <v>809</v>
      </c>
      <c r="I40" s="225">
        <v>37.880000000000003</v>
      </c>
      <c r="K40" s="225" t="s">
        <v>301</v>
      </c>
      <c r="L40" s="225" t="s">
        <v>981</v>
      </c>
      <c r="M40" s="225" t="s">
        <v>37</v>
      </c>
      <c r="N40" s="226">
        <v>1204.4000000000005</v>
      </c>
      <c r="O40" s="225">
        <f t="shared" si="2"/>
        <v>3.0807707468407219</v>
      </c>
      <c r="P40" s="225" t="s">
        <v>1204</v>
      </c>
      <c r="Q40" s="225" t="s">
        <v>1202</v>
      </c>
      <c r="R40" s="225" t="s">
        <v>809</v>
      </c>
      <c r="S40" s="225">
        <v>30.89</v>
      </c>
    </row>
    <row r="41" spans="1:19" x14ac:dyDescent="0.2">
      <c r="A41" s="225" t="s">
        <v>242</v>
      </c>
      <c r="B41" s="225" t="s">
        <v>1080</v>
      </c>
      <c r="C41" s="225" t="s">
        <v>32</v>
      </c>
      <c r="D41" s="226">
        <v>120440000.00000003</v>
      </c>
      <c r="E41" s="225">
        <f t="shared" si="1"/>
        <v>8.0807707468407219</v>
      </c>
      <c r="F41" s="225" t="s">
        <v>1204</v>
      </c>
      <c r="G41" s="225" t="s">
        <v>1205</v>
      </c>
      <c r="H41" s="225" t="s">
        <v>210</v>
      </c>
      <c r="I41" s="225">
        <v>14.32</v>
      </c>
      <c r="K41" s="225" t="s">
        <v>313</v>
      </c>
      <c r="L41" s="225" t="s">
        <v>981</v>
      </c>
      <c r="M41" s="225" t="s">
        <v>915</v>
      </c>
      <c r="N41" s="225">
        <v>0</v>
      </c>
      <c r="O41" s="225" t="e">
        <f t="shared" si="2"/>
        <v>#NUM!</v>
      </c>
      <c r="P41" s="225" t="s">
        <v>1204</v>
      </c>
      <c r="Q41" s="225" t="s">
        <v>1202</v>
      </c>
      <c r="R41" s="225" t="s">
        <v>809</v>
      </c>
      <c r="S41" s="225">
        <v>30.13</v>
      </c>
    </row>
    <row r="42" spans="1:19" x14ac:dyDescent="0.2">
      <c r="A42" s="225" t="s">
        <v>243</v>
      </c>
      <c r="B42" s="225" t="s">
        <v>981</v>
      </c>
      <c r="C42" s="225" t="s">
        <v>33</v>
      </c>
      <c r="D42" s="226">
        <v>12044000.000000004</v>
      </c>
      <c r="E42" s="225">
        <f t="shared" si="1"/>
        <v>7.0807707468407219</v>
      </c>
      <c r="F42" s="225" t="s">
        <v>1206</v>
      </c>
      <c r="G42" s="225" t="s">
        <v>1201</v>
      </c>
      <c r="H42" s="225" t="s">
        <v>809</v>
      </c>
      <c r="I42" s="225">
        <v>32.700000000000003</v>
      </c>
      <c r="K42" s="225" t="s">
        <v>214</v>
      </c>
      <c r="L42" s="225" t="s">
        <v>981</v>
      </c>
      <c r="M42" s="225" t="s">
        <v>31</v>
      </c>
      <c r="N42" s="226">
        <v>1204400000.0000002</v>
      </c>
      <c r="O42" s="225">
        <f t="shared" si="2"/>
        <v>9.0807707468407219</v>
      </c>
      <c r="P42" s="225" t="s">
        <v>1204</v>
      </c>
      <c r="Q42" s="225" t="s">
        <v>1203</v>
      </c>
      <c r="R42" s="225" t="s">
        <v>809</v>
      </c>
      <c r="S42" s="225">
        <v>40.04</v>
      </c>
    </row>
    <row r="43" spans="1:19" x14ac:dyDescent="0.2">
      <c r="A43" s="225" t="s">
        <v>243</v>
      </c>
      <c r="B43" s="225" t="s">
        <v>1080</v>
      </c>
      <c r="C43" s="225" t="s">
        <v>33</v>
      </c>
      <c r="D43" s="226">
        <v>12044000.000000004</v>
      </c>
      <c r="E43" s="225">
        <f t="shared" si="1"/>
        <v>7.0807707468407219</v>
      </c>
      <c r="F43" s="225" t="s">
        <v>1206</v>
      </c>
      <c r="G43" s="225" t="s">
        <v>1201</v>
      </c>
      <c r="H43" s="225" t="s">
        <v>210</v>
      </c>
      <c r="I43" s="225">
        <v>18.3</v>
      </c>
      <c r="K43" s="225" t="s">
        <v>237</v>
      </c>
      <c r="L43" s="225" t="s">
        <v>981</v>
      </c>
      <c r="M43" s="225" t="s">
        <v>32</v>
      </c>
      <c r="N43" s="226">
        <v>120440000.00000003</v>
      </c>
      <c r="O43" s="225">
        <f t="shared" si="2"/>
        <v>8.0807707468407219</v>
      </c>
      <c r="P43" s="225" t="s">
        <v>1204</v>
      </c>
      <c r="Q43" s="225" t="s">
        <v>1203</v>
      </c>
      <c r="R43" s="225" t="s">
        <v>809</v>
      </c>
      <c r="S43" s="225" t="s">
        <v>220</v>
      </c>
    </row>
    <row r="44" spans="1:19" x14ac:dyDescent="0.2">
      <c r="A44" s="225" t="s">
        <v>244</v>
      </c>
      <c r="B44" s="225" t="s">
        <v>981</v>
      </c>
      <c r="C44" s="225" t="s">
        <v>33</v>
      </c>
      <c r="D44" s="226">
        <v>12044000.000000004</v>
      </c>
      <c r="E44" s="225">
        <f t="shared" si="1"/>
        <v>7.0807707468407219</v>
      </c>
      <c r="F44" s="225" t="s">
        <v>1206</v>
      </c>
      <c r="G44" s="225" t="s">
        <v>1202</v>
      </c>
      <c r="H44" s="225" t="s">
        <v>809</v>
      </c>
      <c r="I44" s="225">
        <v>36.25</v>
      </c>
      <c r="K44" s="225" t="s">
        <v>252</v>
      </c>
      <c r="L44" s="225" t="s">
        <v>981</v>
      </c>
      <c r="M44" s="225" t="s">
        <v>33</v>
      </c>
      <c r="N44" s="226">
        <v>12044000.000000004</v>
      </c>
      <c r="O44" s="225">
        <f t="shared" si="2"/>
        <v>7.0807707468407219</v>
      </c>
      <c r="P44" s="225" t="s">
        <v>1204</v>
      </c>
      <c r="Q44" s="225" t="s">
        <v>1203</v>
      </c>
      <c r="R44" s="225" t="s">
        <v>809</v>
      </c>
      <c r="S44" s="225">
        <v>38.43</v>
      </c>
    </row>
    <row r="45" spans="1:19" x14ac:dyDescent="0.2">
      <c r="A45" s="225" t="s">
        <v>244</v>
      </c>
      <c r="B45" s="225" t="s">
        <v>1080</v>
      </c>
      <c r="C45" s="225" t="s">
        <v>33</v>
      </c>
      <c r="D45" s="226">
        <v>12044000.000000004</v>
      </c>
      <c r="E45" s="225">
        <f t="shared" si="1"/>
        <v>7.0807707468407219</v>
      </c>
      <c r="F45" s="225" t="s">
        <v>1206</v>
      </c>
      <c r="G45" s="225" t="s">
        <v>1202</v>
      </c>
      <c r="H45" s="225" t="s">
        <v>210</v>
      </c>
      <c r="I45" s="225">
        <v>17.260000000000002</v>
      </c>
      <c r="K45" s="225" t="s">
        <v>264</v>
      </c>
      <c r="L45" s="225" t="s">
        <v>981</v>
      </c>
      <c r="M45" s="225" t="s">
        <v>34</v>
      </c>
      <c r="N45" s="226">
        <v>1204400.0000000005</v>
      </c>
      <c r="O45" s="225">
        <f t="shared" si="2"/>
        <v>6.0807707468407219</v>
      </c>
      <c r="P45" s="225" t="s">
        <v>1204</v>
      </c>
      <c r="Q45" s="225" t="s">
        <v>1203</v>
      </c>
      <c r="R45" s="225" t="s">
        <v>809</v>
      </c>
      <c r="S45" s="225">
        <v>35.840000000000003</v>
      </c>
    </row>
    <row r="46" spans="1:19" x14ac:dyDescent="0.2">
      <c r="A46" s="225" t="s">
        <v>245</v>
      </c>
      <c r="B46" s="225" t="s">
        <v>981</v>
      </c>
      <c r="C46" s="225" t="s">
        <v>33</v>
      </c>
      <c r="D46" s="226">
        <v>12044000.000000004</v>
      </c>
      <c r="E46" s="225">
        <f t="shared" si="1"/>
        <v>7.0807707468407219</v>
      </c>
      <c r="F46" s="225" t="s">
        <v>1206</v>
      </c>
      <c r="G46" s="225" t="s">
        <v>1203</v>
      </c>
      <c r="H46" s="225" t="s">
        <v>809</v>
      </c>
      <c r="I46" s="225" t="s">
        <v>220</v>
      </c>
      <c r="K46" s="225" t="s">
        <v>278</v>
      </c>
      <c r="L46" s="225" t="s">
        <v>981</v>
      </c>
      <c r="M46" s="225" t="s">
        <v>35</v>
      </c>
      <c r="N46" s="226">
        <v>120440.00000000004</v>
      </c>
      <c r="O46" s="225">
        <f t="shared" si="2"/>
        <v>5.0807707468407219</v>
      </c>
      <c r="P46" s="225" t="s">
        <v>1204</v>
      </c>
      <c r="Q46" s="225" t="s">
        <v>1203</v>
      </c>
      <c r="R46" s="225" t="s">
        <v>809</v>
      </c>
      <c r="S46" s="225">
        <v>42.55</v>
      </c>
    </row>
    <row r="47" spans="1:19" x14ac:dyDescent="0.2">
      <c r="A47" s="225" t="s">
        <v>245</v>
      </c>
      <c r="B47" s="225" t="s">
        <v>1080</v>
      </c>
      <c r="C47" s="225" t="s">
        <v>33</v>
      </c>
      <c r="D47" s="226">
        <v>12044000.000000004</v>
      </c>
      <c r="E47" s="225">
        <f t="shared" si="1"/>
        <v>7.0807707468407219</v>
      </c>
      <c r="F47" s="225" t="s">
        <v>1206</v>
      </c>
      <c r="G47" s="225" t="s">
        <v>1203</v>
      </c>
      <c r="H47" s="225" t="s">
        <v>210</v>
      </c>
      <c r="I47" s="225">
        <v>19.43</v>
      </c>
      <c r="K47" s="225" t="s">
        <v>290</v>
      </c>
      <c r="L47" s="225" t="s">
        <v>981</v>
      </c>
      <c r="M47" s="225" t="s">
        <v>36</v>
      </c>
      <c r="N47" s="226">
        <v>12044.000000000004</v>
      </c>
      <c r="O47" s="225">
        <f t="shared" si="2"/>
        <v>4.0807707468407219</v>
      </c>
      <c r="P47" s="225" t="s">
        <v>1204</v>
      </c>
      <c r="Q47" s="225" t="s">
        <v>1203</v>
      </c>
      <c r="R47" s="225" t="s">
        <v>809</v>
      </c>
      <c r="S47" s="225">
        <v>32.67</v>
      </c>
    </row>
    <row r="48" spans="1:19" x14ac:dyDescent="0.2">
      <c r="A48" s="225" t="s">
        <v>247</v>
      </c>
      <c r="B48" s="225" t="s">
        <v>981</v>
      </c>
      <c r="C48" s="225" t="s">
        <v>1199</v>
      </c>
      <c r="D48" s="225" t="s">
        <v>1199</v>
      </c>
      <c r="E48" s="225" t="e">
        <f t="shared" si="1"/>
        <v>#VALUE!</v>
      </c>
      <c r="F48" s="225" t="s">
        <v>1199</v>
      </c>
      <c r="G48" s="225" t="s">
        <v>1199</v>
      </c>
      <c r="H48" s="225" t="s">
        <v>809</v>
      </c>
      <c r="I48" s="225" t="s">
        <v>220</v>
      </c>
      <c r="K48" s="225" t="s">
        <v>302</v>
      </c>
      <c r="L48" s="225" t="s">
        <v>981</v>
      </c>
      <c r="M48" s="225" t="s">
        <v>37</v>
      </c>
      <c r="N48" s="226">
        <v>1204.4000000000005</v>
      </c>
      <c r="O48" s="225">
        <f t="shared" si="2"/>
        <v>3.0807707468407219</v>
      </c>
      <c r="P48" s="225" t="s">
        <v>1204</v>
      </c>
      <c r="Q48" s="225" t="s">
        <v>1203</v>
      </c>
      <c r="R48" s="225" t="s">
        <v>809</v>
      </c>
      <c r="S48" s="225">
        <v>30.15</v>
      </c>
    </row>
    <row r="49" spans="1:19" x14ac:dyDescent="0.2">
      <c r="A49" s="225" t="s">
        <v>247</v>
      </c>
      <c r="B49" s="225" t="s">
        <v>1080</v>
      </c>
      <c r="C49" s="225" t="s">
        <v>1199</v>
      </c>
      <c r="D49" s="225" t="s">
        <v>1199</v>
      </c>
      <c r="E49" s="225" t="e">
        <f t="shared" si="1"/>
        <v>#VALUE!</v>
      </c>
      <c r="F49" s="225" t="s">
        <v>1199</v>
      </c>
      <c r="G49" s="225" t="s">
        <v>1199</v>
      </c>
      <c r="H49" s="225" t="s">
        <v>210</v>
      </c>
      <c r="I49" s="225" t="s">
        <v>220</v>
      </c>
      <c r="K49" s="225" t="s">
        <v>314</v>
      </c>
      <c r="L49" s="225" t="s">
        <v>981</v>
      </c>
      <c r="M49" s="225" t="s">
        <v>915</v>
      </c>
      <c r="N49" s="225">
        <v>0</v>
      </c>
      <c r="O49" s="225" t="e">
        <f t="shared" si="2"/>
        <v>#NUM!</v>
      </c>
      <c r="P49" s="225" t="s">
        <v>1204</v>
      </c>
      <c r="Q49" s="225" t="s">
        <v>1203</v>
      </c>
      <c r="R49" s="225" t="s">
        <v>809</v>
      </c>
      <c r="S49" s="225">
        <v>30.53</v>
      </c>
    </row>
    <row r="50" spans="1:19" x14ac:dyDescent="0.2">
      <c r="A50" s="225" t="s">
        <v>248</v>
      </c>
      <c r="B50" s="225" t="s">
        <v>981</v>
      </c>
      <c r="C50" s="225" t="s">
        <v>1199</v>
      </c>
      <c r="D50" s="225" t="s">
        <v>1199</v>
      </c>
      <c r="E50" s="225" t="e">
        <f t="shared" si="1"/>
        <v>#VALUE!</v>
      </c>
      <c r="F50" s="225" t="s">
        <v>1199</v>
      </c>
      <c r="G50" s="225" t="s">
        <v>1199</v>
      </c>
      <c r="H50" s="225" t="s">
        <v>809</v>
      </c>
      <c r="I50" s="225" t="s">
        <v>220</v>
      </c>
      <c r="K50" s="225" t="s">
        <v>215</v>
      </c>
      <c r="L50" s="225" t="s">
        <v>981</v>
      </c>
      <c r="M50" s="225" t="s">
        <v>31</v>
      </c>
      <c r="N50" s="226">
        <v>1204400000.0000002</v>
      </c>
      <c r="O50" s="225">
        <f t="shared" si="2"/>
        <v>9.0807707468407219</v>
      </c>
      <c r="P50" s="225" t="s">
        <v>1204</v>
      </c>
      <c r="Q50" s="225" t="s">
        <v>1205</v>
      </c>
      <c r="R50" s="225" t="s">
        <v>809</v>
      </c>
      <c r="S50" s="225">
        <v>33.76</v>
      </c>
    </row>
    <row r="51" spans="1:19" x14ac:dyDescent="0.2">
      <c r="A51" s="225" t="s">
        <v>248</v>
      </c>
      <c r="B51" s="225" t="s">
        <v>1080</v>
      </c>
      <c r="C51" s="225" t="s">
        <v>1199</v>
      </c>
      <c r="D51" s="225" t="s">
        <v>1199</v>
      </c>
      <c r="E51" s="225" t="e">
        <f t="shared" si="1"/>
        <v>#VALUE!</v>
      </c>
      <c r="F51" s="225" t="s">
        <v>1199</v>
      </c>
      <c r="G51" s="225" t="s">
        <v>1199</v>
      </c>
      <c r="H51" s="225" t="s">
        <v>210</v>
      </c>
      <c r="I51" s="225" t="s">
        <v>220</v>
      </c>
      <c r="K51" s="225" t="s">
        <v>238</v>
      </c>
      <c r="L51" s="225" t="s">
        <v>981</v>
      </c>
      <c r="M51" s="225" t="s">
        <v>32</v>
      </c>
      <c r="N51" s="226">
        <v>120440000.00000003</v>
      </c>
      <c r="O51" s="225">
        <f t="shared" si="2"/>
        <v>8.0807707468407219</v>
      </c>
      <c r="P51" s="225" t="s">
        <v>1204</v>
      </c>
      <c r="Q51" s="225" t="s">
        <v>1205</v>
      </c>
      <c r="R51" s="225" t="s">
        <v>809</v>
      </c>
      <c r="S51" s="225">
        <v>37.880000000000003</v>
      </c>
    </row>
    <row r="52" spans="1:19" x14ac:dyDescent="0.2">
      <c r="A52" s="225" t="s">
        <v>249</v>
      </c>
      <c r="B52" s="225" t="s">
        <v>981</v>
      </c>
      <c r="C52" s="225" t="s">
        <v>32</v>
      </c>
      <c r="D52" s="226">
        <v>120440000.00000003</v>
      </c>
      <c r="E52" s="225">
        <f t="shared" si="1"/>
        <v>8.0807707468407219</v>
      </c>
      <c r="F52" s="225" t="s">
        <v>1200</v>
      </c>
      <c r="G52" s="225" t="s">
        <v>1201</v>
      </c>
      <c r="H52" s="225" t="s">
        <v>809</v>
      </c>
      <c r="I52" s="225">
        <v>34.51</v>
      </c>
      <c r="K52" s="225" t="s">
        <v>253</v>
      </c>
      <c r="L52" s="225" t="s">
        <v>981</v>
      </c>
      <c r="M52" s="225" t="s">
        <v>33</v>
      </c>
      <c r="N52" s="226">
        <v>12044000.000000004</v>
      </c>
      <c r="O52" s="225">
        <f t="shared" si="2"/>
        <v>7.0807707468407219</v>
      </c>
      <c r="P52" s="225" t="s">
        <v>1204</v>
      </c>
      <c r="Q52" s="225" t="s">
        <v>1205</v>
      </c>
      <c r="R52" s="225" t="s">
        <v>809</v>
      </c>
      <c r="S52" s="225">
        <v>33.950000000000003</v>
      </c>
    </row>
    <row r="53" spans="1:19" x14ac:dyDescent="0.2">
      <c r="A53" s="225" t="s">
        <v>249</v>
      </c>
      <c r="B53" s="225" t="s">
        <v>1080</v>
      </c>
      <c r="C53" s="225" t="s">
        <v>32</v>
      </c>
      <c r="D53" s="226">
        <v>120440000.00000003</v>
      </c>
      <c r="E53" s="225">
        <f t="shared" si="1"/>
        <v>8.0807707468407219</v>
      </c>
      <c r="F53" s="225" t="s">
        <v>1200</v>
      </c>
      <c r="G53" s="225" t="s">
        <v>1201</v>
      </c>
      <c r="H53" s="225" t="s">
        <v>210</v>
      </c>
      <c r="I53" s="225">
        <v>13.22</v>
      </c>
      <c r="K53" s="225" t="s">
        <v>265</v>
      </c>
      <c r="L53" s="225" t="s">
        <v>981</v>
      </c>
      <c r="M53" s="225" t="s">
        <v>34</v>
      </c>
      <c r="N53" s="226">
        <v>1204400.0000000005</v>
      </c>
      <c r="O53" s="225">
        <f t="shared" si="2"/>
        <v>6.0807707468407219</v>
      </c>
      <c r="P53" s="225" t="s">
        <v>1204</v>
      </c>
      <c r="Q53" s="225" t="s">
        <v>1205</v>
      </c>
      <c r="R53" s="225" t="s">
        <v>809</v>
      </c>
      <c r="S53" s="225">
        <v>38.659999999999997</v>
      </c>
    </row>
    <row r="54" spans="1:19" x14ac:dyDescent="0.2">
      <c r="A54" s="225" t="s">
        <v>250</v>
      </c>
      <c r="B54" s="225" t="s">
        <v>981</v>
      </c>
      <c r="C54" s="225" t="s">
        <v>32</v>
      </c>
      <c r="D54" s="226">
        <v>120440000.00000003</v>
      </c>
      <c r="E54" s="225">
        <f t="shared" si="1"/>
        <v>8.0807707468407219</v>
      </c>
      <c r="F54" s="225" t="s">
        <v>1200</v>
      </c>
      <c r="G54" s="225" t="s">
        <v>1202</v>
      </c>
      <c r="H54" s="225" t="s">
        <v>809</v>
      </c>
      <c r="I54" s="225">
        <v>35.93</v>
      </c>
      <c r="K54" s="225" t="s">
        <v>279</v>
      </c>
      <c r="L54" s="225" t="s">
        <v>981</v>
      </c>
      <c r="M54" s="225" t="s">
        <v>35</v>
      </c>
      <c r="N54" s="226">
        <v>120440.00000000004</v>
      </c>
      <c r="O54" s="225">
        <f t="shared" si="2"/>
        <v>5.0807707468407219</v>
      </c>
      <c r="P54" s="225" t="s">
        <v>1204</v>
      </c>
      <c r="Q54" s="225" t="s">
        <v>1205</v>
      </c>
      <c r="R54" s="225" t="s">
        <v>809</v>
      </c>
      <c r="S54" s="225">
        <v>34.4</v>
      </c>
    </row>
    <row r="55" spans="1:19" x14ac:dyDescent="0.2">
      <c r="A55" s="225" t="s">
        <v>250</v>
      </c>
      <c r="B55" s="225" t="s">
        <v>1080</v>
      </c>
      <c r="C55" s="225" t="s">
        <v>32</v>
      </c>
      <c r="D55" s="226">
        <v>120440000.00000003</v>
      </c>
      <c r="E55" s="225">
        <f t="shared" si="1"/>
        <v>8.0807707468407219</v>
      </c>
      <c r="F55" s="225" t="s">
        <v>1200</v>
      </c>
      <c r="G55" s="225" t="s">
        <v>1202</v>
      </c>
      <c r="H55" s="225" t="s">
        <v>210</v>
      </c>
      <c r="I55" s="225">
        <v>13.45</v>
      </c>
      <c r="K55" s="225" t="s">
        <v>291</v>
      </c>
      <c r="L55" s="225" t="s">
        <v>981</v>
      </c>
      <c r="M55" s="225" t="s">
        <v>36</v>
      </c>
      <c r="N55" s="226">
        <v>12044.000000000004</v>
      </c>
      <c r="O55" s="225">
        <f t="shared" si="2"/>
        <v>4.0807707468407219</v>
      </c>
      <c r="P55" s="225" t="s">
        <v>1204</v>
      </c>
      <c r="Q55" s="225" t="s">
        <v>1205</v>
      </c>
      <c r="R55" s="225" t="s">
        <v>809</v>
      </c>
      <c r="S55" s="225">
        <v>31.09</v>
      </c>
    </row>
    <row r="56" spans="1:19" x14ac:dyDescent="0.2">
      <c r="A56" s="225" t="s">
        <v>251</v>
      </c>
      <c r="B56" s="225" t="s">
        <v>981</v>
      </c>
      <c r="C56" s="225" t="s">
        <v>32</v>
      </c>
      <c r="D56" s="226">
        <v>120440000.00000003</v>
      </c>
      <c r="E56" s="225">
        <f t="shared" si="1"/>
        <v>8.0807707468407219</v>
      </c>
      <c r="F56" s="225" t="s">
        <v>1200</v>
      </c>
      <c r="G56" s="225" t="s">
        <v>1203</v>
      </c>
      <c r="H56" s="225" t="s">
        <v>809</v>
      </c>
      <c r="I56" s="225">
        <v>36.35</v>
      </c>
      <c r="K56" s="225" t="s">
        <v>303</v>
      </c>
      <c r="L56" s="225" t="s">
        <v>981</v>
      </c>
      <c r="M56" s="225" t="s">
        <v>37</v>
      </c>
      <c r="N56" s="226">
        <v>1204.4000000000005</v>
      </c>
      <c r="O56" s="225">
        <f t="shared" si="2"/>
        <v>3.0807707468407219</v>
      </c>
      <c r="P56" s="225" t="s">
        <v>1204</v>
      </c>
      <c r="Q56" s="225" t="s">
        <v>1205</v>
      </c>
      <c r="R56" s="225" t="s">
        <v>809</v>
      </c>
      <c r="S56" s="225">
        <v>30.03</v>
      </c>
    </row>
    <row r="57" spans="1:19" x14ac:dyDescent="0.2">
      <c r="A57" s="225" t="s">
        <v>251</v>
      </c>
      <c r="B57" s="225" t="s">
        <v>1080</v>
      </c>
      <c r="C57" s="225" t="s">
        <v>32</v>
      </c>
      <c r="D57" s="226">
        <v>120440000.00000003</v>
      </c>
      <c r="E57" s="225">
        <f t="shared" si="1"/>
        <v>8.0807707468407219</v>
      </c>
      <c r="F57" s="225" t="s">
        <v>1200</v>
      </c>
      <c r="G57" s="225" t="s">
        <v>1203</v>
      </c>
      <c r="H57" s="225" t="s">
        <v>210</v>
      </c>
      <c r="I57" s="225">
        <v>13.49</v>
      </c>
      <c r="K57" s="225" t="s">
        <v>315</v>
      </c>
      <c r="L57" s="225" t="s">
        <v>981</v>
      </c>
      <c r="M57" s="225" t="s">
        <v>915</v>
      </c>
      <c r="N57" s="225">
        <v>0</v>
      </c>
      <c r="O57" s="225" t="e">
        <f t="shared" si="2"/>
        <v>#NUM!</v>
      </c>
      <c r="P57" s="225" t="s">
        <v>1204</v>
      </c>
      <c r="Q57" s="225" t="s">
        <v>1205</v>
      </c>
      <c r="R57" s="225" t="s">
        <v>809</v>
      </c>
      <c r="S57" s="225">
        <v>30.87</v>
      </c>
    </row>
    <row r="58" spans="1:19" x14ac:dyDescent="0.2">
      <c r="A58" s="225" t="s">
        <v>252</v>
      </c>
      <c r="B58" s="225" t="s">
        <v>981</v>
      </c>
      <c r="C58" s="225" t="s">
        <v>33</v>
      </c>
      <c r="D58" s="226">
        <v>12044000.000000004</v>
      </c>
      <c r="E58" s="225">
        <f t="shared" si="1"/>
        <v>7.0807707468407219</v>
      </c>
      <c r="F58" s="225" t="s">
        <v>1204</v>
      </c>
      <c r="G58" s="225" t="s">
        <v>1201</v>
      </c>
      <c r="H58" s="225" t="s">
        <v>809</v>
      </c>
      <c r="I58" s="225">
        <v>34.67</v>
      </c>
      <c r="K58" s="225" t="s">
        <v>216</v>
      </c>
      <c r="L58" s="225" t="s">
        <v>981</v>
      </c>
      <c r="M58" s="225" t="s">
        <v>32</v>
      </c>
      <c r="N58" s="226">
        <v>120440000.00000003</v>
      </c>
      <c r="O58" s="225">
        <f t="shared" si="2"/>
        <v>8.0807707468407219</v>
      </c>
      <c r="P58" s="225" t="s">
        <v>1206</v>
      </c>
      <c r="Q58" s="225" t="s">
        <v>1201</v>
      </c>
      <c r="R58" s="225" t="s">
        <v>809</v>
      </c>
      <c r="S58" s="225">
        <v>37.67</v>
      </c>
    </row>
    <row r="59" spans="1:19" x14ac:dyDescent="0.2">
      <c r="A59" s="225" t="s">
        <v>252</v>
      </c>
      <c r="B59" s="225" t="s">
        <v>1080</v>
      </c>
      <c r="C59" s="225" t="s">
        <v>33</v>
      </c>
      <c r="D59" s="226">
        <v>12044000.000000004</v>
      </c>
      <c r="E59" s="225">
        <f t="shared" si="1"/>
        <v>7.0807707468407219</v>
      </c>
      <c r="F59" s="225" t="s">
        <v>1204</v>
      </c>
      <c r="G59" s="225" t="s">
        <v>1201</v>
      </c>
      <c r="H59" s="225" t="s">
        <v>210</v>
      </c>
      <c r="I59" s="225">
        <v>19.420000000000002</v>
      </c>
      <c r="K59" s="225" t="s">
        <v>239</v>
      </c>
      <c r="L59" s="225" t="s">
        <v>981</v>
      </c>
      <c r="M59" s="225" t="s">
        <v>33</v>
      </c>
      <c r="N59" s="226">
        <v>12044000.000000004</v>
      </c>
      <c r="O59" s="225">
        <f t="shared" si="2"/>
        <v>7.0807707468407219</v>
      </c>
      <c r="P59" s="225" t="s">
        <v>1206</v>
      </c>
      <c r="Q59" s="225" t="s">
        <v>1201</v>
      </c>
      <c r="R59" s="225" t="s">
        <v>809</v>
      </c>
      <c r="S59" s="225">
        <v>32.700000000000003</v>
      </c>
    </row>
    <row r="60" spans="1:19" x14ac:dyDescent="0.2">
      <c r="A60" s="225" t="s">
        <v>253</v>
      </c>
      <c r="B60" s="225" t="s">
        <v>981</v>
      </c>
      <c r="C60" s="225" t="s">
        <v>33</v>
      </c>
      <c r="D60" s="226">
        <v>12044000.000000004</v>
      </c>
      <c r="E60" s="225">
        <f t="shared" si="1"/>
        <v>7.0807707468407219</v>
      </c>
      <c r="F60" s="225" t="s">
        <v>1204</v>
      </c>
      <c r="G60" s="225" t="s">
        <v>1202</v>
      </c>
      <c r="H60" s="225" t="s">
        <v>809</v>
      </c>
      <c r="I60" s="225" t="s">
        <v>220</v>
      </c>
      <c r="K60" s="225" t="s">
        <v>254</v>
      </c>
      <c r="L60" s="225" t="s">
        <v>981</v>
      </c>
      <c r="M60" s="225" t="s">
        <v>34</v>
      </c>
      <c r="N60" s="226">
        <v>1204400.0000000005</v>
      </c>
      <c r="O60" s="225">
        <f t="shared" si="2"/>
        <v>6.0807707468407219</v>
      </c>
      <c r="P60" s="225" t="s">
        <v>1206</v>
      </c>
      <c r="Q60" s="225" t="s">
        <v>1201</v>
      </c>
      <c r="R60" s="225" t="s">
        <v>809</v>
      </c>
      <c r="S60" s="225" t="s">
        <v>220</v>
      </c>
    </row>
    <row r="61" spans="1:19" x14ac:dyDescent="0.2">
      <c r="A61" s="225" t="s">
        <v>253</v>
      </c>
      <c r="B61" s="225" t="s">
        <v>1080</v>
      </c>
      <c r="C61" s="225" t="s">
        <v>33</v>
      </c>
      <c r="D61" s="226">
        <v>12044000.000000004</v>
      </c>
      <c r="E61" s="225">
        <f t="shared" si="1"/>
        <v>7.0807707468407219</v>
      </c>
      <c r="F61" s="225" t="s">
        <v>1204</v>
      </c>
      <c r="G61" s="225" t="s">
        <v>1202</v>
      </c>
      <c r="H61" s="225" t="s">
        <v>210</v>
      </c>
      <c r="I61" s="225">
        <v>16.84</v>
      </c>
      <c r="K61" s="225" t="s">
        <v>266</v>
      </c>
      <c r="L61" s="225" t="s">
        <v>981</v>
      </c>
      <c r="M61" s="225" t="s">
        <v>35</v>
      </c>
      <c r="N61" s="226">
        <v>120440.00000000004</v>
      </c>
      <c r="O61" s="225">
        <f t="shared" si="2"/>
        <v>5.0807707468407219</v>
      </c>
      <c r="P61" s="225" t="s">
        <v>1206</v>
      </c>
      <c r="Q61" s="225" t="s">
        <v>1201</v>
      </c>
      <c r="R61" s="225" t="s">
        <v>809</v>
      </c>
      <c r="S61" s="225">
        <v>31.93</v>
      </c>
    </row>
    <row r="62" spans="1:19" x14ac:dyDescent="0.2">
      <c r="A62" s="225" t="s">
        <v>254</v>
      </c>
      <c r="B62" s="225" t="s">
        <v>981</v>
      </c>
      <c r="C62" s="225" t="s">
        <v>33</v>
      </c>
      <c r="D62" s="226">
        <v>12044000.000000004</v>
      </c>
      <c r="E62" s="225">
        <f t="shared" si="1"/>
        <v>7.0807707468407219</v>
      </c>
      <c r="F62" s="225" t="s">
        <v>1204</v>
      </c>
      <c r="G62" s="225" t="s">
        <v>1203</v>
      </c>
      <c r="H62" s="225" t="s">
        <v>809</v>
      </c>
      <c r="I62" s="225">
        <v>38.43</v>
      </c>
      <c r="K62" s="225" t="s">
        <v>280</v>
      </c>
      <c r="L62" s="225" t="s">
        <v>981</v>
      </c>
      <c r="M62" s="225" t="s">
        <v>36</v>
      </c>
      <c r="N62" s="226">
        <v>12044.000000000004</v>
      </c>
      <c r="O62" s="225">
        <f t="shared" si="2"/>
        <v>4.0807707468407219</v>
      </c>
      <c r="P62" s="225" t="s">
        <v>1206</v>
      </c>
      <c r="Q62" s="225" t="s">
        <v>1201</v>
      </c>
      <c r="R62" s="225" t="s">
        <v>809</v>
      </c>
      <c r="S62" s="225">
        <v>31.2</v>
      </c>
    </row>
    <row r="63" spans="1:19" x14ac:dyDescent="0.2">
      <c r="A63" s="225" t="s">
        <v>254</v>
      </c>
      <c r="B63" s="225" t="s">
        <v>1080</v>
      </c>
      <c r="C63" s="225" t="s">
        <v>33</v>
      </c>
      <c r="D63" s="226">
        <v>12044000.000000004</v>
      </c>
      <c r="E63" s="225">
        <f t="shared" si="1"/>
        <v>7.0807707468407219</v>
      </c>
      <c r="F63" s="225" t="s">
        <v>1204</v>
      </c>
      <c r="G63" s="225" t="s">
        <v>1203</v>
      </c>
      <c r="H63" s="225" t="s">
        <v>210</v>
      </c>
      <c r="I63" s="225">
        <v>19.23</v>
      </c>
      <c r="K63" s="225" t="s">
        <v>292</v>
      </c>
      <c r="L63" s="225" t="s">
        <v>981</v>
      </c>
      <c r="M63" s="225" t="s">
        <v>37</v>
      </c>
      <c r="N63" s="226">
        <v>1204.4000000000005</v>
      </c>
      <c r="O63" s="225">
        <f t="shared" si="2"/>
        <v>3.0807707468407219</v>
      </c>
      <c r="P63" s="225" t="s">
        <v>1206</v>
      </c>
      <c r="Q63" s="225" t="s">
        <v>1201</v>
      </c>
      <c r="R63" s="225" t="s">
        <v>809</v>
      </c>
      <c r="S63" s="225">
        <v>30.94</v>
      </c>
    </row>
    <row r="64" spans="1:19" x14ac:dyDescent="0.2">
      <c r="A64" s="225" t="s">
        <v>255</v>
      </c>
      <c r="B64" s="225" t="s">
        <v>981</v>
      </c>
      <c r="C64" s="225" t="s">
        <v>33</v>
      </c>
      <c r="D64" s="226">
        <v>12044000.000000004</v>
      </c>
      <c r="E64" s="225">
        <f t="shared" si="1"/>
        <v>7.0807707468407219</v>
      </c>
      <c r="F64" s="225" t="s">
        <v>1204</v>
      </c>
      <c r="G64" s="225" t="s">
        <v>1205</v>
      </c>
      <c r="H64" s="225" t="s">
        <v>809</v>
      </c>
      <c r="I64" s="225">
        <v>33.950000000000003</v>
      </c>
      <c r="K64" s="225" t="s">
        <v>304</v>
      </c>
      <c r="L64" s="225" t="s">
        <v>981</v>
      </c>
      <c r="M64" s="225" t="s">
        <v>38</v>
      </c>
      <c r="N64" s="226">
        <v>120.44000000000004</v>
      </c>
      <c r="O64" s="225">
        <f t="shared" si="2"/>
        <v>2.0807707468407219</v>
      </c>
      <c r="P64" s="225" t="s">
        <v>1206</v>
      </c>
      <c r="Q64" s="225" t="s">
        <v>1201</v>
      </c>
      <c r="R64" s="225" t="s">
        <v>809</v>
      </c>
      <c r="S64" s="225">
        <v>31.36</v>
      </c>
    </row>
    <row r="65" spans="1:19" x14ac:dyDescent="0.2">
      <c r="A65" s="225" t="s">
        <v>255</v>
      </c>
      <c r="B65" s="225" t="s">
        <v>1080</v>
      </c>
      <c r="C65" s="225" t="s">
        <v>33</v>
      </c>
      <c r="D65" s="226">
        <v>12044000.000000004</v>
      </c>
      <c r="E65" s="225">
        <f t="shared" si="1"/>
        <v>7.0807707468407219</v>
      </c>
      <c r="F65" s="225" t="s">
        <v>1204</v>
      </c>
      <c r="G65" s="225" t="s">
        <v>1205</v>
      </c>
      <c r="H65" s="225" t="s">
        <v>210</v>
      </c>
      <c r="I65" s="225">
        <v>19.079999999999998</v>
      </c>
      <c r="K65" s="225" t="s">
        <v>316</v>
      </c>
      <c r="L65" s="225" t="s">
        <v>981</v>
      </c>
      <c r="M65" s="225" t="s">
        <v>915</v>
      </c>
      <c r="N65" s="225">
        <v>0</v>
      </c>
      <c r="O65" s="225" t="e">
        <f t="shared" si="2"/>
        <v>#NUM!</v>
      </c>
      <c r="P65" s="225" t="s">
        <v>1206</v>
      </c>
      <c r="Q65" s="225" t="s">
        <v>1201</v>
      </c>
      <c r="R65" s="225" t="s">
        <v>809</v>
      </c>
      <c r="S65" s="225">
        <v>30.14</v>
      </c>
    </row>
    <row r="66" spans="1:19" x14ac:dyDescent="0.2">
      <c r="A66" s="225" t="s">
        <v>256</v>
      </c>
      <c r="B66" s="225" t="s">
        <v>981</v>
      </c>
      <c r="C66" s="225" t="s">
        <v>34</v>
      </c>
      <c r="D66" s="226">
        <v>1204400.0000000005</v>
      </c>
      <c r="E66" s="225">
        <f t="shared" si="1"/>
        <v>6.0807707468407219</v>
      </c>
      <c r="F66" s="225" t="s">
        <v>1206</v>
      </c>
      <c r="G66" s="225" t="s">
        <v>1201</v>
      </c>
      <c r="H66" s="225" t="s">
        <v>809</v>
      </c>
      <c r="I66" s="225" t="s">
        <v>220</v>
      </c>
      <c r="K66" s="225" t="s">
        <v>217</v>
      </c>
      <c r="L66" s="225" t="s">
        <v>981</v>
      </c>
      <c r="M66" s="225" t="s">
        <v>32</v>
      </c>
      <c r="N66" s="226">
        <v>120440000.00000003</v>
      </c>
      <c r="O66" s="225">
        <f t="shared" ref="O66:O97" si="3">LOG(N66)</f>
        <v>8.0807707468407219</v>
      </c>
      <c r="P66" s="225" t="s">
        <v>1206</v>
      </c>
      <c r="Q66" s="225" t="s">
        <v>1202</v>
      </c>
      <c r="R66" s="225" t="s">
        <v>809</v>
      </c>
      <c r="S66" s="225" t="s">
        <v>220</v>
      </c>
    </row>
    <row r="67" spans="1:19" x14ac:dyDescent="0.2">
      <c r="A67" s="225" t="s">
        <v>256</v>
      </c>
      <c r="B67" s="225" t="s">
        <v>1080</v>
      </c>
      <c r="C67" s="225" t="s">
        <v>34</v>
      </c>
      <c r="D67" s="226">
        <v>1204400.0000000005</v>
      </c>
      <c r="E67" s="225">
        <f t="shared" ref="E67:E130" si="4">LOG(D67)</f>
        <v>6.0807707468407219</v>
      </c>
      <c r="F67" s="225" t="s">
        <v>1206</v>
      </c>
      <c r="G67" s="225" t="s">
        <v>1201</v>
      </c>
      <c r="H67" s="225" t="s">
        <v>210</v>
      </c>
      <c r="I67" s="225">
        <v>21.87</v>
      </c>
      <c r="K67" s="225" t="s">
        <v>242</v>
      </c>
      <c r="L67" s="225" t="s">
        <v>981</v>
      </c>
      <c r="M67" s="225" t="s">
        <v>33</v>
      </c>
      <c r="N67" s="226">
        <v>12044000.000000004</v>
      </c>
      <c r="O67" s="225">
        <f t="shared" si="3"/>
        <v>7.0807707468407219</v>
      </c>
      <c r="P67" s="225" t="s">
        <v>1206</v>
      </c>
      <c r="Q67" s="225" t="s">
        <v>1202</v>
      </c>
      <c r="R67" s="225" t="s">
        <v>809</v>
      </c>
      <c r="S67" s="225">
        <v>36.25</v>
      </c>
    </row>
    <row r="68" spans="1:19" x14ac:dyDescent="0.2">
      <c r="A68" s="225" t="s">
        <v>257</v>
      </c>
      <c r="B68" s="225" t="s">
        <v>981</v>
      </c>
      <c r="C68" s="225" t="s">
        <v>34</v>
      </c>
      <c r="D68" s="226">
        <v>1204400.0000000005</v>
      </c>
      <c r="E68" s="225">
        <f t="shared" si="4"/>
        <v>6.0807707468407219</v>
      </c>
      <c r="F68" s="225" t="s">
        <v>1206</v>
      </c>
      <c r="G68" s="225" t="s">
        <v>1202</v>
      </c>
      <c r="H68" s="225" t="s">
        <v>809</v>
      </c>
      <c r="I68" s="225">
        <v>34.99</v>
      </c>
      <c r="K68" s="225" t="s">
        <v>255</v>
      </c>
      <c r="L68" s="225" t="s">
        <v>981</v>
      </c>
      <c r="M68" s="225" t="s">
        <v>34</v>
      </c>
      <c r="N68" s="226">
        <v>1204400.0000000005</v>
      </c>
      <c r="O68" s="225">
        <f t="shared" si="3"/>
        <v>6.0807707468407219</v>
      </c>
      <c r="P68" s="225" t="s">
        <v>1206</v>
      </c>
      <c r="Q68" s="225" t="s">
        <v>1202</v>
      </c>
      <c r="R68" s="225" t="s">
        <v>809</v>
      </c>
      <c r="S68" s="225">
        <v>34.99</v>
      </c>
    </row>
    <row r="69" spans="1:19" x14ac:dyDescent="0.2">
      <c r="A69" s="225" t="s">
        <v>257</v>
      </c>
      <c r="B69" s="225" t="s">
        <v>1080</v>
      </c>
      <c r="C69" s="225" t="s">
        <v>34</v>
      </c>
      <c r="D69" s="226">
        <v>1204400.0000000005</v>
      </c>
      <c r="E69" s="225">
        <f t="shared" si="4"/>
        <v>6.0807707468407219</v>
      </c>
      <c r="F69" s="225" t="s">
        <v>1206</v>
      </c>
      <c r="G69" s="225" t="s">
        <v>1202</v>
      </c>
      <c r="H69" s="225" t="s">
        <v>210</v>
      </c>
      <c r="I69" s="225">
        <v>20.7</v>
      </c>
      <c r="K69" s="225" t="s">
        <v>267</v>
      </c>
      <c r="L69" s="225" t="s">
        <v>981</v>
      </c>
      <c r="M69" s="225" t="s">
        <v>35</v>
      </c>
      <c r="N69" s="226">
        <v>120440.00000000004</v>
      </c>
      <c r="O69" s="225">
        <f t="shared" si="3"/>
        <v>5.0807707468407219</v>
      </c>
      <c r="P69" s="225" t="s">
        <v>1206</v>
      </c>
      <c r="Q69" s="225" t="s">
        <v>1202</v>
      </c>
      <c r="R69" s="225" t="s">
        <v>809</v>
      </c>
      <c r="S69" s="225">
        <v>36.119999999999997</v>
      </c>
    </row>
    <row r="70" spans="1:19" x14ac:dyDescent="0.2">
      <c r="A70" s="225" t="s">
        <v>258</v>
      </c>
      <c r="B70" s="225" t="s">
        <v>981</v>
      </c>
      <c r="C70" s="225" t="s">
        <v>34</v>
      </c>
      <c r="D70" s="226">
        <v>1204400.0000000005</v>
      </c>
      <c r="E70" s="225">
        <f t="shared" si="4"/>
        <v>6.0807707468407219</v>
      </c>
      <c r="F70" s="225" t="s">
        <v>1206</v>
      </c>
      <c r="G70" s="225" t="s">
        <v>1203</v>
      </c>
      <c r="H70" s="225" t="s">
        <v>809</v>
      </c>
      <c r="I70" s="225">
        <v>36.94</v>
      </c>
      <c r="K70" s="225" t="s">
        <v>281</v>
      </c>
      <c r="L70" s="225" t="s">
        <v>981</v>
      </c>
      <c r="M70" s="225" t="s">
        <v>36</v>
      </c>
      <c r="N70" s="226">
        <v>12044.000000000004</v>
      </c>
      <c r="O70" s="225">
        <f t="shared" si="3"/>
        <v>4.0807707468407219</v>
      </c>
      <c r="P70" s="225" t="s">
        <v>1206</v>
      </c>
      <c r="Q70" s="225" t="s">
        <v>1202</v>
      </c>
      <c r="R70" s="225" t="s">
        <v>809</v>
      </c>
      <c r="S70" s="225">
        <v>31.36</v>
      </c>
    </row>
    <row r="71" spans="1:19" x14ac:dyDescent="0.2">
      <c r="A71" s="225" t="s">
        <v>258</v>
      </c>
      <c r="B71" s="225" t="s">
        <v>1080</v>
      </c>
      <c r="C71" s="225" t="s">
        <v>34</v>
      </c>
      <c r="D71" s="226">
        <v>1204400.0000000005</v>
      </c>
      <c r="E71" s="225">
        <f t="shared" si="4"/>
        <v>6.0807707468407219</v>
      </c>
      <c r="F71" s="225" t="s">
        <v>1206</v>
      </c>
      <c r="G71" s="225" t="s">
        <v>1203</v>
      </c>
      <c r="H71" s="225" t="s">
        <v>210</v>
      </c>
      <c r="I71" s="225">
        <v>21.93</v>
      </c>
      <c r="K71" s="225" t="s">
        <v>293</v>
      </c>
      <c r="L71" s="225" t="s">
        <v>981</v>
      </c>
      <c r="M71" s="225" t="s">
        <v>37</v>
      </c>
      <c r="N71" s="226">
        <v>1204.4000000000005</v>
      </c>
      <c r="O71" s="225">
        <f t="shared" si="3"/>
        <v>3.0807707468407219</v>
      </c>
      <c r="P71" s="225" t="s">
        <v>1206</v>
      </c>
      <c r="Q71" s="225" t="s">
        <v>1202</v>
      </c>
      <c r="R71" s="225" t="s">
        <v>809</v>
      </c>
      <c r="S71" s="225">
        <v>30.36</v>
      </c>
    </row>
    <row r="72" spans="1:19" x14ac:dyDescent="0.2">
      <c r="A72" s="225" t="s">
        <v>259</v>
      </c>
      <c r="B72" s="225" t="s">
        <v>981</v>
      </c>
      <c r="C72" s="225" t="s">
        <v>1199</v>
      </c>
      <c r="D72" s="225" t="s">
        <v>1199</v>
      </c>
      <c r="E72" s="225" t="e">
        <f t="shared" si="4"/>
        <v>#VALUE!</v>
      </c>
      <c r="F72" s="225" t="s">
        <v>1199</v>
      </c>
      <c r="G72" s="225" t="s">
        <v>1199</v>
      </c>
      <c r="H72" s="225" t="s">
        <v>809</v>
      </c>
      <c r="I72" s="225" t="s">
        <v>220</v>
      </c>
      <c r="K72" s="225" t="s">
        <v>305</v>
      </c>
      <c r="L72" s="225" t="s">
        <v>981</v>
      </c>
      <c r="M72" s="225" t="s">
        <v>38</v>
      </c>
      <c r="N72" s="226">
        <v>120.44000000000004</v>
      </c>
      <c r="O72" s="225">
        <f t="shared" si="3"/>
        <v>2.0807707468407219</v>
      </c>
      <c r="P72" s="225" t="s">
        <v>1206</v>
      </c>
      <c r="Q72" s="225" t="s">
        <v>1202</v>
      </c>
      <c r="R72" s="225" t="s">
        <v>809</v>
      </c>
      <c r="S72" s="225">
        <v>32.07</v>
      </c>
    </row>
    <row r="73" spans="1:19" x14ac:dyDescent="0.2">
      <c r="A73" s="225" t="s">
        <v>259</v>
      </c>
      <c r="B73" s="225" t="s">
        <v>1080</v>
      </c>
      <c r="C73" s="225" t="s">
        <v>1199</v>
      </c>
      <c r="D73" s="225" t="s">
        <v>1199</v>
      </c>
      <c r="E73" s="225" t="e">
        <f t="shared" si="4"/>
        <v>#VALUE!</v>
      </c>
      <c r="F73" s="225" t="s">
        <v>1199</v>
      </c>
      <c r="G73" s="225" t="s">
        <v>1199</v>
      </c>
      <c r="H73" s="225" t="s">
        <v>210</v>
      </c>
      <c r="I73" s="225" t="s">
        <v>220</v>
      </c>
      <c r="K73" s="225" t="s">
        <v>317</v>
      </c>
      <c r="L73" s="225" t="s">
        <v>981</v>
      </c>
      <c r="M73" s="225" t="s">
        <v>915</v>
      </c>
      <c r="N73" s="225">
        <v>0</v>
      </c>
      <c r="O73" s="225" t="e">
        <f t="shared" si="3"/>
        <v>#NUM!</v>
      </c>
      <c r="P73" s="225" t="s">
        <v>1206</v>
      </c>
      <c r="Q73" s="225" t="s">
        <v>1202</v>
      </c>
      <c r="R73" s="225" t="s">
        <v>809</v>
      </c>
      <c r="S73" s="225">
        <v>30.19</v>
      </c>
    </row>
    <row r="74" spans="1:19" x14ac:dyDescent="0.2">
      <c r="A74" s="225" t="s">
        <v>260</v>
      </c>
      <c r="B74" s="225" t="s">
        <v>981</v>
      </c>
      <c r="C74" s="225" t="s">
        <v>1199</v>
      </c>
      <c r="D74" s="225" t="s">
        <v>1199</v>
      </c>
      <c r="E74" s="225" t="e">
        <f t="shared" si="4"/>
        <v>#VALUE!</v>
      </c>
      <c r="F74" s="225" t="s">
        <v>1199</v>
      </c>
      <c r="G74" s="225" t="s">
        <v>1199</v>
      </c>
      <c r="H74" s="225" t="s">
        <v>809</v>
      </c>
      <c r="I74" s="225" t="s">
        <v>220</v>
      </c>
      <c r="K74" s="225" t="s">
        <v>218</v>
      </c>
      <c r="L74" s="225" t="s">
        <v>981</v>
      </c>
      <c r="M74" s="225" t="s">
        <v>32</v>
      </c>
      <c r="N74" s="226">
        <v>120440000.00000003</v>
      </c>
      <c r="O74" s="225">
        <f t="shared" si="3"/>
        <v>8.0807707468407219</v>
      </c>
      <c r="P74" s="225" t="s">
        <v>1206</v>
      </c>
      <c r="Q74" s="225" t="s">
        <v>1203</v>
      </c>
      <c r="R74" s="225" t="s">
        <v>809</v>
      </c>
      <c r="S74" s="225">
        <v>38.200000000000003</v>
      </c>
    </row>
    <row r="75" spans="1:19" x14ac:dyDescent="0.2">
      <c r="A75" s="225" t="s">
        <v>260</v>
      </c>
      <c r="B75" s="225" t="s">
        <v>1080</v>
      </c>
      <c r="C75" s="225" t="s">
        <v>1199</v>
      </c>
      <c r="D75" s="225" t="s">
        <v>1199</v>
      </c>
      <c r="E75" s="225" t="e">
        <f t="shared" si="4"/>
        <v>#VALUE!</v>
      </c>
      <c r="F75" s="225" t="s">
        <v>1199</v>
      </c>
      <c r="G75" s="225" t="s">
        <v>1199</v>
      </c>
      <c r="H75" s="225" t="s">
        <v>210</v>
      </c>
      <c r="I75" s="225" t="s">
        <v>220</v>
      </c>
      <c r="K75" s="225" t="s">
        <v>243</v>
      </c>
      <c r="L75" s="225" t="s">
        <v>981</v>
      </c>
      <c r="M75" s="225" t="s">
        <v>33</v>
      </c>
      <c r="N75" s="226">
        <v>12044000.000000004</v>
      </c>
      <c r="O75" s="225">
        <f t="shared" si="3"/>
        <v>7.0807707468407219</v>
      </c>
      <c r="P75" s="225" t="s">
        <v>1206</v>
      </c>
      <c r="Q75" s="225" t="s">
        <v>1203</v>
      </c>
      <c r="R75" s="225" t="s">
        <v>809</v>
      </c>
      <c r="S75" s="225" t="s">
        <v>220</v>
      </c>
    </row>
    <row r="76" spans="1:19" x14ac:dyDescent="0.2">
      <c r="A76" s="225" t="s">
        <v>261</v>
      </c>
      <c r="B76" s="225" t="s">
        <v>981</v>
      </c>
      <c r="C76" s="225" t="s">
        <v>33</v>
      </c>
      <c r="D76" s="226">
        <v>12044000.000000004</v>
      </c>
      <c r="E76" s="225">
        <f t="shared" si="4"/>
        <v>7.0807707468407219</v>
      </c>
      <c r="F76" s="225" t="s">
        <v>1200</v>
      </c>
      <c r="G76" s="225" t="s">
        <v>1201</v>
      </c>
      <c r="H76" s="225" t="s">
        <v>809</v>
      </c>
      <c r="I76" s="225">
        <v>33.81</v>
      </c>
      <c r="K76" s="225" t="s">
        <v>256</v>
      </c>
      <c r="L76" s="225" t="s">
        <v>981</v>
      </c>
      <c r="M76" s="225" t="s">
        <v>34</v>
      </c>
      <c r="N76" s="226">
        <v>1204400.0000000005</v>
      </c>
      <c r="O76" s="225">
        <f t="shared" si="3"/>
        <v>6.0807707468407219</v>
      </c>
      <c r="P76" s="225" t="s">
        <v>1206</v>
      </c>
      <c r="Q76" s="225" t="s">
        <v>1203</v>
      </c>
      <c r="R76" s="225" t="s">
        <v>809</v>
      </c>
      <c r="S76" s="225">
        <v>36.94</v>
      </c>
    </row>
    <row r="77" spans="1:19" x14ac:dyDescent="0.2">
      <c r="A77" s="225" t="s">
        <v>261</v>
      </c>
      <c r="B77" s="225" t="s">
        <v>1080</v>
      </c>
      <c r="C77" s="225" t="s">
        <v>33</v>
      </c>
      <c r="D77" s="226">
        <v>12044000.000000004</v>
      </c>
      <c r="E77" s="225">
        <f t="shared" si="4"/>
        <v>7.0807707468407219</v>
      </c>
      <c r="F77" s="225" t="s">
        <v>1200</v>
      </c>
      <c r="G77" s="225" t="s">
        <v>1201</v>
      </c>
      <c r="H77" s="225" t="s">
        <v>210</v>
      </c>
      <c r="I77" s="225">
        <v>17.21</v>
      </c>
      <c r="K77" s="225" t="s">
        <v>268</v>
      </c>
      <c r="L77" s="225" t="s">
        <v>981</v>
      </c>
      <c r="M77" s="225" t="s">
        <v>35</v>
      </c>
      <c r="N77" s="226">
        <v>120440.00000000004</v>
      </c>
      <c r="O77" s="225">
        <f t="shared" si="3"/>
        <v>5.0807707468407219</v>
      </c>
      <c r="P77" s="225" t="s">
        <v>1206</v>
      </c>
      <c r="Q77" s="225" t="s">
        <v>1203</v>
      </c>
      <c r="R77" s="225" t="s">
        <v>809</v>
      </c>
      <c r="S77" s="225">
        <v>32.61</v>
      </c>
    </row>
    <row r="78" spans="1:19" x14ac:dyDescent="0.2">
      <c r="A78" s="225" t="s">
        <v>262</v>
      </c>
      <c r="B78" s="225" t="s">
        <v>981</v>
      </c>
      <c r="C78" s="225" t="s">
        <v>33</v>
      </c>
      <c r="D78" s="226">
        <v>12044000.000000004</v>
      </c>
      <c r="E78" s="225">
        <f t="shared" si="4"/>
        <v>7.0807707468407219</v>
      </c>
      <c r="F78" s="225" t="s">
        <v>1200</v>
      </c>
      <c r="G78" s="225" t="s">
        <v>1202</v>
      </c>
      <c r="H78" s="225" t="s">
        <v>809</v>
      </c>
      <c r="I78" s="225">
        <v>34.89</v>
      </c>
      <c r="K78" s="225" t="s">
        <v>282</v>
      </c>
      <c r="L78" s="225" t="s">
        <v>981</v>
      </c>
      <c r="M78" s="225" t="s">
        <v>36</v>
      </c>
      <c r="N78" s="226">
        <v>12044.000000000004</v>
      </c>
      <c r="O78" s="225">
        <f t="shared" si="3"/>
        <v>4.0807707468407219</v>
      </c>
      <c r="P78" s="225" t="s">
        <v>1206</v>
      </c>
      <c r="Q78" s="225" t="s">
        <v>1203</v>
      </c>
      <c r="R78" s="225" t="s">
        <v>809</v>
      </c>
      <c r="S78" s="225">
        <v>33.020000000000003</v>
      </c>
    </row>
    <row r="79" spans="1:19" x14ac:dyDescent="0.2">
      <c r="A79" s="225" t="s">
        <v>262</v>
      </c>
      <c r="B79" s="225" t="s">
        <v>1080</v>
      </c>
      <c r="C79" s="225" t="s">
        <v>33</v>
      </c>
      <c r="D79" s="226">
        <v>12044000.000000004</v>
      </c>
      <c r="E79" s="225">
        <f t="shared" si="4"/>
        <v>7.0807707468407219</v>
      </c>
      <c r="F79" s="225" t="s">
        <v>1200</v>
      </c>
      <c r="G79" s="225" t="s">
        <v>1202</v>
      </c>
      <c r="H79" s="225" t="s">
        <v>210</v>
      </c>
      <c r="I79" s="225">
        <v>16.96</v>
      </c>
      <c r="K79" s="225" t="s">
        <v>294</v>
      </c>
      <c r="L79" s="225" t="s">
        <v>981</v>
      </c>
      <c r="M79" s="225" t="s">
        <v>37</v>
      </c>
      <c r="N79" s="226">
        <v>1204.4000000000005</v>
      </c>
      <c r="O79" s="225">
        <f t="shared" si="3"/>
        <v>3.0807707468407219</v>
      </c>
      <c r="P79" s="225" t="s">
        <v>1206</v>
      </c>
      <c r="Q79" s="225" t="s">
        <v>1203</v>
      </c>
      <c r="R79" s="225" t="s">
        <v>809</v>
      </c>
      <c r="S79" s="225">
        <v>31.28</v>
      </c>
    </row>
    <row r="80" spans="1:19" x14ac:dyDescent="0.2">
      <c r="A80" s="225" t="s">
        <v>263</v>
      </c>
      <c r="B80" s="225" t="s">
        <v>981</v>
      </c>
      <c r="C80" s="225" t="s">
        <v>33</v>
      </c>
      <c r="D80" s="226">
        <v>12044000.000000004</v>
      </c>
      <c r="E80" s="225">
        <f t="shared" si="4"/>
        <v>7.0807707468407219</v>
      </c>
      <c r="F80" s="225" t="s">
        <v>1200</v>
      </c>
      <c r="G80" s="225" t="s">
        <v>1203</v>
      </c>
      <c r="H80" s="225" t="s">
        <v>809</v>
      </c>
      <c r="I80" s="225">
        <v>35.130000000000003</v>
      </c>
      <c r="K80" s="225" t="s">
        <v>306</v>
      </c>
      <c r="L80" s="225" t="s">
        <v>981</v>
      </c>
      <c r="M80" s="225" t="s">
        <v>38</v>
      </c>
      <c r="N80" s="226">
        <v>120.44000000000004</v>
      </c>
      <c r="O80" s="225">
        <f t="shared" si="3"/>
        <v>2.0807707468407219</v>
      </c>
      <c r="P80" s="225" t="s">
        <v>1206</v>
      </c>
      <c r="Q80" s="225" t="s">
        <v>1203</v>
      </c>
      <c r="R80" s="225" t="s">
        <v>809</v>
      </c>
      <c r="S80" s="225">
        <v>32.799999999999997</v>
      </c>
    </row>
    <row r="81" spans="1:30" x14ac:dyDescent="0.2">
      <c r="A81" s="225" t="s">
        <v>263</v>
      </c>
      <c r="B81" s="225" t="s">
        <v>1080</v>
      </c>
      <c r="C81" s="225" t="s">
        <v>33</v>
      </c>
      <c r="D81" s="226">
        <v>12044000.000000004</v>
      </c>
      <c r="E81" s="225">
        <f t="shared" si="4"/>
        <v>7.0807707468407219</v>
      </c>
      <c r="F81" s="225" t="s">
        <v>1200</v>
      </c>
      <c r="G81" s="225" t="s">
        <v>1203</v>
      </c>
      <c r="H81" s="225" t="s">
        <v>210</v>
      </c>
      <c r="I81" s="225">
        <v>17.440000000000001</v>
      </c>
      <c r="K81" s="225" t="s">
        <v>318</v>
      </c>
      <c r="L81" s="225" t="s">
        <v>981</v>
      </c>
      <c r="M81" s="225" t="s">
        <v>915</v>
      </c>
      <c r="N81" s="225">
        <v>0</v>
      </c>
      <c r="O81" s="225" t="e">
        <f t="shared" si="3"/>
        <v>#NUM!</v>
      </c>
      <c r="P81" s="225" t="s">
        <v>1206</v>
      </c>
      <c r="Q81" s="225" t="s">
        <v>1203</v>
      </c>
      <c r="R81" s="225" t="s">
        <v>809</v>
      </c>
      <c r="S81" s="225">
        <v>29.94</v>
      </c>
    </row>
    <row r="82" spans="1:30" x14ac:dyDescent="0.2">
      <c r="A82" s="225" t="s">
        <v>264</v>
      </c>
      <c r="B82" s="225" t="s">
        <v>981</v>
      </c>
      <c r="C82" s="225" t="s">
        <v>34</v>
      </c>
      <c r="D82" s="226">
        <v>1204400.0000000005</v>
      </c>
      <c r="E82" s="225">
        <f t="shared" si="4"/>
        <v>6.0807707468407219</v>
      </c>
      <c r="F82" s="225" t="s">
        <v>1204</v>
      </c>
      <c r="G82" s="225" t="s">
        <v>1201</v>
      </c>
      <c r="H82" s="225" t="s">
        <v>809</v>
      </c>
      <c r="I82" s="225">
        <v>32.979999999999997</v>
      </c>
      <c r="K82" s="225" t="s">
        <v>204</v>
      </c>
      <c r="L82" s="225" t="s">
        <v>1080</v>
      </c>
      <c r="M82" s="225" t="s">
        <v>30</v>
      </c>
      <c r="N82" s="226">
        <v>12044000000.000002</v>
      </c>
      <c r="O82" s="225">
        <f t="shared" si="3"/>
        <v>10.080770746840722</v>
      </c>
      <c r="P82" s="225" t="s">
        <v>1200</v>
      </c>
      <c r="Q82" s="225" t="s">
        <v>1201</v>
      </c>
      <c r="R82" s="225" t="s">
        <v>210</v>
      </c>
      <c r="S82" s="225" t="s">
        <v>220</v>
      </c>
      <c r="T82" s="225" t="s">
        <v>1207</v>
      </c>
      <c r="U82" s="225" t="s">
        <v>1197</v>
      </c>
      <c r="V82" s="225" t="s">
        <v>1208</v>
      </c>
      <c r="W82" s="225" t="s">
        <v>1115</v>
      </c>
      <c r="X82" s="225" t="s">
        <v>1201</v>
      </c>
      <c r="Y82" s="225" t="s">
        <v>1202</v>
      </c>
      <c r="Z82" s="225" t="s">
        <v>1203</v>
      </c>
      <c r="AB82" s="225" t="s">
        <v>1209</v>
      </c>
      <c r="AC82" s="225" t="s">
        <v>1210</v>
      </c>
      <c r="AD82" s="225" t="s">
        <v>1211</v>
      </c>
    </row>
    <row r="83" spans="1:30" x14ac:dyDescent="0.2">
      <c r="A83" s="225" t="s">
        <v>264</v>
      </c>
      <c r="B83" s="225" t="s">
        <v>1080</v>
      </c>
      <c r="C83" s="225" t="s">
        <v>34</v>
      </c>
      <c r="D83" s="226">
        <v>1204400.0000000005</v>
      </c>
      <c r="E83" s="225">
        <f t="shared" si="4"/>
        <v>6.0807707468407219</v>
      </c>
      <c r="F83" s="225" t="s">
        <v>1204</v>
      </c>
      <c r="G83" s="225" t="s">
        <v>1201</v>
      </c>
      <c r="H83" s="225" t="s">
        <v>210</v>
      </c>
      <c r="I83" s="225">
        <v>22.36</v>
      </c>
      <c r="K83" s="225" t="s">
        <v>222</v>
      </c>
      <c r="L83" s="225" t="s">
        <v>1080</v>
      </c>
      <c r="M83" s="225" t="s">
        <v>31</v>
      </c>
      <c r="N83" s="226">
        <v>1204400000.0000002</v>
      </c>
      <c r="O83" s="225">
        <f t="shared" si="3"/>
        <v>9.0807707468407219</v>
      </c>
      <c r="P83" s="225" t="s">
        <v>1200</v>
      </c>
      <c r="Q83" s="225" t="s">
        <v>1201</v>
      </c>
      <c r="R83" s="225" t="s">
        <v>210</v>
      </c>
      <c r="S83" s="225">
        <v>6.63</v>
      </c>
      <c r="T83" s="225" t="s">
        <v>30</v>
      </c>
      <c r="U83" s="225" t="s">
        <v>1200</v>
      </c>
      <c r="V83" s="226">
        <v>12044000000.000002</v>
      </c>
      <c r="W83" s="225">
        <f>LOG(V83)</f>
        <v>10.080770746840722</v>
      </c>
      <c r="X83" s="225" t="s">
        <v>220</v>
      </c>
      <c r="Y83" s="225" t="s">
        <v>220</v>
      </c>
      <c r="Z83" s="225" t="s">
        <v>220</v>
      </c>
      <c r="AB83" s="225" t="e">
        <f>AVERAGE(X83:AA83)</f>
        <v>#DIV/0!</v>
      </c>
      <c r="AC83" s="225" t="e">
        <f>STDEV(X83:AA83)</f>
        <v>#DIV/0!</v>
      </c>
      <c r="AD83" s="225" t="e">
        <f>2*AC83</f>
        <v>#DIV/0!</v>
      </c>
    </row>
    <row r="84" spans="1:30" x14ac:dyDescent="0.2">
      <c r="A84" s="225" t="s">
        <v>265</v>
      </c>
      <c r="B84" s="225" t="s">
        <v>981</v>
      </c>
      <c r="C84" s="225" t="s">
        <v>34</v>
      </c>
      <c r="D84" s="226">
        <v>1204400.0000000005</v>
      </c>
      <c r="E84" s="225">
        <f t="shared" si="4"/>
        <v>6.0807707468407219</v>
      </c>
      <c r="F84" s="225" t="s">
        <v>1204</v>
      </c>
      <c r="G84" s="225" t="s">
        <v>1202</v>
      </c>
      <c r="H84" s="225" t="s">
        <v>809</v>
      </c>
      <c r="I84" s="225">
        <v>35.1</v>
      </c>
      <c r="K84" s="225" t="s">
        <v>223</v>
      </c>
      <c r="L84" s="225" t="s">
        <v>1080</v>
      </c>
      <c r="M84" s="225" t="s">
        <v>32</v>
      </c>
      <c r="N84" s="226">
        <v>120440000.00000003</v>
      </c>
      <c r="O84" s="225">
        <f t="shared" si="3"/>
        <v>8.0807707468407219</v>
      </c>
      <c r="P84" s="225" t="s">
        <v>1200</v>
      </c>
      <c r="Q84" s="225" t="s">
        <v>1201</v>
      </c>
      <c r="R84" s="225" t="s">
        <v>210</v>
      </c>
      <c r="S84" s="225">
        <v>13.22</v>
      </c>
      <c r="T84" s="225" t="s">
        <v>31</v>
      </c>
      <c r="U84" s="225" t="s">
        <v>1200</v>
      </c>
      <c r="V84" s="226">
        <v>1204400000.0000002</v>
      </c>
      <c r="W84" s="225">
        <f t="shared" ref="W84:W89" si="5">LOG(V84)</f>
        <v>9.0807707468407219</v>
      </c>
      <c r="X84" s="225">
        <v>6.63</v>
      </c>
      <c r="Y84" s="225">
        <v>11.5</v>
      </c>
      <c r="Z84" s="225">
        <v>9.4499999999999993</v>
      </c>
      <c r="AB84" s="225">
        <f t="shared" ref="AB84:AB89" si="6">AVERAGE(X84:AA84)</f>
        <v>9.1933333333333334</v>
      </c>
      <c r="AC84" s="225">
        <f t="shared" ref="AC84:AC89" si="7">STDEV(X84:AA84)</f>
        <v>2.4451244003799317</v>
      </c>
      <c r="AD84" s="225">
        <f t="shared" ref="AD84:AD89" si="8">2*AC84</f>
        <v>4.8902488007598635</v>
      </c>
    </row>
    <row r="85" spans="1:30" x14ac:dyDescent="0.2">
      <c r="A85" s="225" t="s">
        <v>265</v>
      </c>
      <c r="B85" s="225" t="s">
        <v>1080</v>
      </c>
      <c r="C85" s="225" t="s">
        <v>34</v>
      </c>
      <c r="D85" s="226">
        <v>1204400.0000000005</v>
      </c>
      <c r="E85" s="225">
        <f t="shared" si="4"/>
        <v>6.0807707468407219</v>
      </c>
      <c r="F85" s="225" t="s">
        <v>1204</v>
      </c>
      <c r="G85" s="225" t="s">
        <v>1202</v>
      </c>
      <c r="H85" s="225" t="s">
        <v>210</v>
      </c>
      <c r="I85" s="225">
        <v>22.58</v>
      </c>
      <c r="K85" s="225" t="s">
        <v>247</v>
      </c>
      <c r="L85" s="225" t="s">
        <v>1080</v>
      </c>
      <c r="M85" s="225" t="s">
        <v>33</v>
      </c>
      <c r="N85" s="226">
        <v>12044000.000000004</v>
      </c>
      <c r="O85" s="225">
        <f t="shared" si="3"/>
        <v>7.0807707468407219</v>
      </c>
      <c r="P85" s="225" t="s">
        <v>1200</v>
      </c>
      <c r="Q85" s="225" t="s">
        <v>1201</v>
      </c>
      <c r="R85" s="225" t="s">
        <v>210</v>
      </c>
      <c r="S85" s="225">
        <v>17.21</v>
      </c>
      <c r="T85" s="225" t="s">
        <v>32</v>
      </c>
      <c r="U85" s="225" t="s">
        <v>1200</v>
      </c>
      <c r="V85" s="226">
        <v>120440000.00000003</v>
      </c>
      <c r="W85" s="225">
        <f t="shared" si="5"/>
        <v>8.0807707468407219</v>
      </c>
      <c r="X85" s="225">
        <v>13.22</v>
      </c>
      <c r="Y85" s="225">
        <v>13.45</v>
      </c>
      <c r="Z85" s="225">
        <v>13.49</v>
      </c>
      <c r="AB85" s="225">
        <f t="shared" si="6"/>
        <v>13.386666666666668</v>
      </c>
      <c r="AC85" s="225">
        <f t="shared" si="7"/>
        <v>0.14571661996262886</v>
      </c>
      <c r="AD85" s="225">
        <f t="shared" si="8"/>
        <v>0.29143323992525771</v>
      </c>
    </row>
    <row r="86" spans="1:30" x14ac:dyDescent="0.2">
      <c r="A86" s="225" t="s">
        <v>266</v>
      </c>
      <c r="B86" s="225" t="s">
        <v>981</v>
      </c>
      <c r="C86" s="225" t="s">
        <v>34</v>
      </c>
      <c r="D86" s="226">
        <v>1204400.0000000005</v>
      </c>
      <c r="E86" s="225">
        <f t="shared" si="4"/>
        <v>6.0807707468407219</v>
      </c>
      <c r="F86" s="225" t="s">
        <v>1204</v>
      </c>
      <c r="G86" s="225" t="s">
        <v>1203</v>
      </c>
      <c r="H86" s="225" t="s">
        <v>809</v>
      </c>
      <c r="I86" s="225">
        <v>35.840000000000003</v>
      </c>
      <c r="K86" s="225" t="s">
        <v>248</v>
      </c>
      <c r="L86" s="225" t="s">
        <v>1080</v>
      </c>
      <c r="M86" s="225" t="s">
        <v>34</v>
      </c>
      <c r="N86" s="226">
        <v>1204400.0000000005</v>
      </c>
      <c r="O86" s="225">
        <f t="shared" si="3"/>
        <v>6.0807707468407219</v>
      </c>
      <c r="P86" s="225" t="s">
        <v>1200</v>
      </c>
      <c r="Q86" s="225" t="s">
        <v>1201</v>
      </c>
      <c r="R86" s="225" t="s">
        <v>210</v>
      </c>
      <c r="S86" s="225">
        <v>20.8</v>
      </c>
      <c r="T86" s="225" t="s">
        <v>33</v>
      </c>
      <c r="U86" s="225" t="s">
        <v>1200</v>
      </c>
      <c r="V86" s="226">
        <v>12044000.000000004</v>
      </c>
      <c r="W86" s="225">
        <f t="shared" si="5"/>
        <v>7.0807707468407219</v>
      </c>
      <c r="X86" s="225">
        <v>17.21</v>
      </c>
      <c r="Y86" s="225">
        <v>16.96</v>
      </c>
      <c r="Z86" s="225">
        <v>17.440000000000001</v>
      </c>
      <c r="AB86" s="225">
        <f t="shared" si="6"/>
        <v>17.203333333333333</v>
      </c>
      <c r="AC86" s="225">
        <f t="shared" si="7"/>
        <v>0.24006943440041142</v>
      </c>
      <c r="AD86" s="225">
        <f t="shared" si="8"/>
        <v>0.48013886880082285</v>
      </c>
    </row>
    <row r="87" spans="1:30" x14ac:dyDescent="0.2">
      <c r="A87" s="225" t="s">
        <v>266</v>
      </c>
      <c r="B87" s="225" t="s">
        <v>1080</v>
      </c>
      <c r="C87" s="225" t="s">
        <v>34</v>
      </c>
      <c r="D87" s="226">
        <v>1204400.0000000005</v>
      </c>
      <c r="E87" s="225">
        <f t="shared" si="4"/>
        <v>6.0807707468407219</v>
      </c>
      <c r="F87" s="225" t="s">
        <v>1204</v>
      </c>
      <c r="G87" s="225" t="s">
        <v>1203</v>
      </c>
      <c r="H87" s="225" t="s">
        <v>210</v>
      </c>
      <c r="I87" s="225">
        <v>21.01</v>
      </c>
      <c r="K87" s="225" t="s">
        <v>259</v>
      </c>
      <c r="L87" s="225" t="s">
        <v>1080</v>
      </c>
      <c r="M87" s="225" t="s">
        <v>35</v>
      </c>
      <c r="N87" s="226">
        <v>120440.00000000004</v>
      </c>
      <c r="O87" s="225">
        <f t="shared" si="3"/>
        <v>5.0807707468407219</v>
      </c>
      <c r="P87" s="225" t="s">
        <v>1200</v>
      </c>
      <c r="Q87" s="225" t="s">
        <v>1201</v>
      </c>
      <c r="R87" s="225" t="s">
        <v>210</v>
      </c>
      <c r="S87" s="225">
        <v>24.08</v>
      </c>
      <c r="T87" s="225" t="s">
        <v>34</v>
      </c>
      <c r="U87" s="225" t="s">
        <v>1200</v>
      </c>
      <c r="V87" s="226">
        <v>1204400.0000000005</v>
      </c>
      <c r="W87" s="225">
        <f t="shared" si="5"/>
        <v>6.0807707468407219</v>
      </c>
      <c r="X87" s="225">
        <v>20.8</v>
      </c>
      <c r="Y87" s="225">
        <v>21.38</v>
      </c>
      <c r="Z87" s="225">
        <v>20.89</v>
      </c>
      <c r="AB87" s="225">
        <f t="shared" si="6"/>
        <v>21.023333333333333</v>
      </c>
      <c r="AC87" s="225">
        <f t="shared" si="7"/>
        <v>0.31214312956291818</v>
      </c>
      <c r="AD87" s="225">
        <f t="shared" si="8"/>
        <v>0.62428625912583635</v>
      </c>
    </row>
    <row r="88" spans="1:30" x14ac:dyDescent="0.2">
      <c r="A88" s="225" t="s">
        <v>267</v>
      </c>
      <c r="B88" s="225" t="s">
        <v>981</v>
      </c>
      <c r="C88" s="225" t="s">
        <v>34</v>
      </c>
      <c r="D88" s="226">
        <v>1204400.0000000005</v>
      </c>
      <c r="E88" s="225">
        <f t="shared" si="4"/>
        <v>6.0807707468407219</v>
      </c>
      <c r="F88" s="225" t="s">
        <v>1204</v>
      </c>
      <c r="G88" s="225" t="s">
        <v>1205</v>
      </c>
      <c r="H88" s="225" t="s">
        <v>809</v>
      </c>
      <c r="I88" s="225">
        <v>38.659999999999997</v>
      </c>
      <c r="K88" s="225" t="s">
        <v>260</v>
      </c>
      <c r="L88" s="225" t="s">
        <v>1080</v>
      </c>
      <c r="M88" s="225" t="s">
        <v>36</v>
      </c>
      <c r="N88" s="226">
        <v>12044.000000000004</v>
      </c>
      <c r="O88" s="225">
        <f t="shared" si="3"/>
        <v>4.0807707468407219</v>
      </c>
      <c r="P88" s="225" t="s">
        <v>1200</v>
      </c>
      <c r="Q88" s="225" t="s">
        <v>1201</v>
      </c>
      <c r="R88" s="225" t="s">
        <v>210</v>
      </c>
      <c r="S88" s="225">
        <v>29.08</v>
      </c>
      <c r="T88" s="225" t="s">
        <v>35</v>
      </c>
      <c r="U88" s="225" t="s">
        <v>1200</v>
      </c>
      <c r="V88" s="226">
        <v>120440.00000000004</v>
      </c>
      <c r="W88" s="225">
        <f t="shared" si="5"/>
        <v>5.0807707468407219</v>
      </c>
      <c r="X88" s="225">
        <v>24.08</v>
      </c>
      <c r="Y88" s="225">
        <v>24.46</v>
      </c>
      <c r="Z88" s="225">
        <v>24.18</v>
      </c>
      <c r="AB88" s="225">
        <f t="shared" si="6"/>
        <v>24.24</v>
      </c>
      <c r="AC88" s="225">
        <f t="shared" si="7"/>
        <v>0.19697715603592331</v>
      </c>
      <c r="AD88" s="225">
        <f t="shared" si="8"/>
        <v>0.39395431207184661</v>
      </c>
    </row>
    <row r="89" spans="1:30" x14ac:dyDescent="0.2">
      <c r="A89" s="225" t="s">
        <v>267</v>
      </c>
      <c r="B89" s="225" t="s">
        <v>1080</v>
      </c>
      <c r="C89" s="225" t="s">
        <v>34</v>
      </c>
      <c r="D89" s="226">
        <v>1204400.0000000005</v>
      </c>
      <c r="E89" s="225">
        <f t="shared" si="4"/>
        <v>6.0807707468407219</v>
      </c>
      <c r="F89" s="225" t="s">
        <v>1204</v>
      </c>
      <c r="G89" s="225" t="s">
        <v>1205</v>
      </c>
      <c r="H89" s="225" t="s">
        <v>210</v>
      </c>
      <c r="I89" s="225">
        <v>22.73</v>
      </c>
      <c r="K89" s="225" t="s">
        <v>273</v>
      </c>
      <c r="L89" s="225" t="s">
        <v>1080</v>
      </c>
      <c r="M89" s="225" t="s">
        <v>915</v>
      </c>
      <c r="N89" s="225">
        <v>0</v>
      </c>
      <c r="O89" s="225" t="e">
        <f t="shared" si="3"/>
        <v>#NUM!</v>
      </c>
      <c r="P89" s="225" t="s">
        <v>1200</v>
      </c>
      <c r="Q89" s="225" t="s">
        <v>1201</v>
      </c>
      <c r="R89" s="225" t="s">
        <v>210</v>
      </c>
      <c r="S89" s="225">
        <v>37.880000000000003</v>
      </c>
      <c r="T89" s="225" t="s">
        <v>36</v>
      </c>
      <c r="U89" s="225" t="s">
        <v>1200</v>
      </c>
      <c r="V89" s="226">
        <v>12044.000000000004</v>
      </c>
      <c r="W89" s="225">
        <f t="shared" si="5"/>
        <v>4.0807707468407219</v>
      </c>
      <c r="X89" s="225">
        <v>29.08</v>
      </c>
      <c r="Y89" s="225">
        <v>28.12</v>
      </c>
      <c r="Z89" s="225">
        <v>29.38</v>
      </c>
      <c r="AB89" s="225">
        <f t="shared" si="6"/>
        <v>28.86</v>
      </c>
      <c r="AC89" s="225">
        <f t="shared" si="7"/>
        <v>0.6581793068761721</v>
      </c>
      <c r="AD89" s="225">
        <f t="shared" si="8"/>
        <v>1.3163586137523442</v>
      </c>
    </row>
    <row r="90" spans="1:30" x14ac:dyDescent="0.2">
      <c r="A90" s="225" t="s">
        <v>268</v>
      </c>
      <c r="B90" s="225" t="s">
        <v>981</v>
      </c>
      <c r="C90" s="225" t="s">
        <v>35</v>
      </c>
      <c r="D90" s="226">
        <v>120440.00000000004</v>
      </c>
      <c r="E90" s="225">
        <f t="shared" si="4"/>
        <v>5.0807707468407219</v>
      </c>
      <c r="F90" s="225" t="s">
        <v>1206</v>
      </c>
      <c r="G90" s="225" t="s">
        <v>1201</v>
      </c>
      <c r="H90" s="225" t="s">
        <v>809</v>
      </c>
      <c r="I90" s="225">
        <v>31.93</v>
      </c>
      <c r="K90" s="225" t="s">
        <v>274</v>
      </c>
      <c r="L90" s="225" t="s">
        <v>1080</v>
      </c>
      <c r="M90" s="225" t="s">
        <v>30</v>
      </c>
      <c r="N90" s="226">
        <v>12044000000.000002</v>
      </c>
      <c r="O90" s="225">
        <f t="shared" si="3"/>
        <v>10.080770746840722</v>
      </c>
      <c r="P90" s="225" t="s">
        <v>1200</v>
      </c>
      <c r="Q90" s="225" t="s">
        <v>1202</v>
      </c>
      <c r="R90" s="225" t="s">
        <v>210</v>
      </c>
      <c r="S90" s="225" t="s">
        <v>220</v>
      </c>
    </row>
    <row r="91" spans="1:30" x14ac:dyDescent="0.2">
      <c r="A91" s="225" t="s">
        <v>268</v>
      </c>
      <c r="B91" s="225" t="s">
        <v>1080</v>
      </c>
      <c r="C91" s="225" t="s">
        <v>35</v>
      </c>
      <c r="D91" s="226">
        <v>120440.00000000004</v>
      </c>
      <c r="E91" s="225">
        <f t="shared" si="4"/>
        <v>5.0807707468407219</v>
      </c>
      <c r="F91" s="225" t="s">
        <v>1206</v>
      </c>
      <c r="G91" s="225" t="s">
        <v>1201</v>
      </c>
      <c r="H91" s="225" t="s">
        <v>210</v>
      </c>
      <c r="I91" s="225">
        <v>24.85</v>
      </c>
      <c r="K91" s="225" t="s">
        <v>285</v>
      </c>
      <c r="L91" s="225" t="s">
        <v>1080</v>
      </c>
      <c r="M91" s="225" t="s">
        <v>31</v>
      </c>
      <c r="N91" s="226">
        <v>1204400000.0000002</v>
      </c>
      <c r="O91" s="225">
        <f t="shared" si="3"/>
        <v>9.0807707468407219</v>
      </c>
      <c r="P91" s="225" t="s">
        <v>1200</v>
      </c>
      <c r="Q91" s="225" t="s">
        <v>1202</v>
      </c>
      <c r="R91" s="225" t="s">
        <v>210</v>
      </c>
      <c r="S91" s="225">
        <v>11.5</v>
      </c>
    </row>
    <row r="92" spans="1:30" x14ac:dyDescent="0.2">
      <c r="A92" s="225" t="s">
        <v>270</v>
      </c>
      <c r="B92" s="225" t="s">
        <v>981</v>
      </c>
      <c r="C92" s="225" t="s">
        <v>35</v>
      </c>
      <c r="D92" s="226">
        <v>120440.00000000004</v>
      </c>
      <c r="E92" s="225">
        <f t="shared" si="4"/>
        <v>5.0807707468407219</v>
      </c>
      <c r="F92" s="225" t="s">
        <v>1206</v>
      </c>
      <c r="G92" s="225" t="s">
        <v>1202</v>
      </c>
      <c r="H92" s="225" t="s">
        <v>809</v>
      </c>
      <c r="I92" s="225">
        <v>36.119999999999997</v>
      </c>
      <c r="K92" s="225" t="s">
        <v>286</v>
      </c>
      <c r="L92" s="225" t="s">
        <v>1080</v>
      </c>
      <c r="M92" s="225" t="s">
        <v>32</v>
      </c>
      <c r="N92" s="226">
        <v>120440000.00000003</v>
      </c>
      <c r="O92" s="225">
        <f t="shared" si="3"/>
        <v>8.0807707468407219</v>
      </c>
      <c r="P92" s="225" t="s">
        <v>1200</v>
      </c>
      <c r="Q92" s="225" t="s">
        <v>1202</v>
      </c>
      <c r="R92" s="225" t="s">
        <v>210</v>
      </c>
      <c r="S92" s="225">
        <v>13.45</v>
      </c>
    </row>
    <row r="93" spans="1:30" x14ac:dyDescent="0.2">
      <c r="A93" s="225" t="s">
        <v>270</v>
      </c>
      <c r="B93" s="225" t="s">
        <v>1080</v>
      </c>
      <c r="C93" s="225" t="s">
        <v>35</v>
      </c>
      <c r="D93" s="226">
        <v>120440.00000000004</v>
      </c>
      <c r="E93" s="225">
        <f t="shared" si="4"/>
        <v>5.0807707468407219</v>
      </c>
      <c r="F93" s="225" t="s">
        <v>1206</v>
      </c>
      <c r="G93" s="225" t="s">
        <v>1202</v>
      </c>
      <c r="H93" s="225" t="s">
        <v>210</v>
      </c>
      <c r="I93" s="225">
        <v>24.71</v>
      </c>
      <c r="K93" s="225" t="s">
        <v>297</v>
      </c>
      <c r="L93" s="225" t="s">
        <v>1080</v>
      </c>
      <c r="M93" s="225" t="s">
        <v>33</v>
      </c>
      <c r="N93" s="226">
        <v>12044000.000000004</v>
      </c>
      <c r="O93" s="225">
        <f t="shared" si="3"/>
        <v>7.0807707468407219</v>
      </c>
      <c r="P93" s="225" t="s">
        <v>1200</v>
      </c>
      <c r="Q93" s="225" t="s">
        <v>1202</v>
      </c>
      <c r="R93" s="225" t="s">
        <v>210</v>
      </c>
      <c r="S93" s="225">
        <v>16.96</v>
      </c>
    </row>
    <row r="94" spans="1:30" x14ac:dyDescent="0.2">
      <c r="A94" s="225" t="s">
        <v>272</v>
      </c>
      <c r="B94" s="225" t="s">
        <v>981</v>
      </c>
      <c r="C94" s="225" t="s">
        <v>35</v>
      </c>
      <c r="D94" s="226">
        <v>120440.00000000004</v>
      </c>
      <c r="E94" s="225">
        <f t="shared" si="4"/>
        <v>5.0807707468407219</v>
      </c>
      <c r="F94" s="225" t="s">
        <v>1206</v>
      </c>
      <c r="G94" s="225" t="s">
        <v>1203</v>
      </c>
      <c r="H94" s="225" t="s">
        <v>809</v>
      </c>
      <c r="I94" s="225">
        <v>32.61</v>
      </c>
      <c r="K94" s="225" t="s">
        <v>298</v>
      </c>
      <c r="L94" s="225" t="s">
        <v>1080</v>
      </c>
      <c r="M94" s="225" t="s">
        <v>34</v>
      </c>
      <c r="N94" s="226">
        <v>1204400.0000000005</v>
      </c>
      <c r="O94" s="225">
        <f t="shared" si="3"/>
        <v>6.0807707468407219</v>
      </c>
      <c r="P94" s="225" t="s">
        <v>1200</v>
      </c>
      <c r="Q94" s="225" t="s">
        <v>1202</v>
      </c>
      <c r="R94" s="225" t="s">
        <v>210</v>
      </c>
      <c r="S94" s="225">
        <v>21.38</v>
      </c>
    </row>
    <row r="95" spans="1:30" x14ac:dyDescent="0.2">
      <c r="A95" s="225" t="s">
        <v>272</v>
      </c>
      <c r="B95" s="225" t="s">
        <v>1080</v>
      </c>
      <c r="C95" s="225" t="s">
        <v>35</v>
      </c>
      <c r="D95" s="226">
        <v>120440.00000000004</v>
      </c>
      <c r="E95" s="225">
        <f t="shared" si="4"/>
        <v>5.0807707468407219</v>
      </c>
      <c r="F95" s="225" t="s">
        <v>1206</v>
      </c>
      <c r="G95" s="225" t="s">
        <v>1203</v>
      </c>
      <c r="H95" s="225" t="s">
        <v>210</v>
      </c>
      <c r="I95" s="225">
        <v>24.11</v>
      </c>
      <c r="K95" s="225" t="s">
        <v>309</v>
      </c>
      <c r="L95" s="225" t="s">
        <v>1080</v>
      </c>
      <c r="M95" s="225" t="s">
        <v>35</v>
      </c>
      <c r="N95" s="226">
        <v>120440.00000000004</v>
      </c>
      <c r="O95" s="225">
        <f t="shared" si="3"/>
        <v>5.0807707468407219</v>
      </c>
      <c r="P95" s="225" t="s">
        <v>1200</v>
      </c>
      <c r="Q95" s="225" t="s">
        <v>1202</v>
      </c>
      <c r="R95" s="225" t="s">
        <v>210</v>
      </c>
      <c r="S95" s="225">
        <v>24.46</v>
      </c>
    </row>
    <row r="96" spans="1:30" x14ac:dyDescent="0.2">
      <c r="A96" s="225" t="s">
        <v>273</v>
      </c>
      <c r="B96" s="225" t="s">
        <v>981</v>
      </c>
      <c r="C96" s="225" t="s">
        <v>1199</v>
      </c>
      <c r="D96" s="225" t="s">
        <v>1199</v>
      </c>
      <c r="E96" s="225" t="e">
        <f t="shared" si="4"/>
        <v>#VALUE!</v>
      </c>
      <c r="F96" s="225" t="s">
        <v>1199</v>
      </c>
      <c r="G96" s="225" t="s">
        <v>1199</v>
      </c>
      <c r="H96" s="225" t="s">
        <v>809</v>
      </c>
      <c r="I96" s="225" t="s">
        <v>220</v>
      </c>
      <c r="K96" s="225" t="s">
        <v>310</v>
      </c>
      <c r="L96" s="225" t="s">
        <v>1080</v>
      </c>
      <c r="M96" s="225" t="s">
        <v>36</v>
      </c>
      <c r="N96" s="226">
        <v>12044.000000000004</v>
      </c>
      <c r="O96" s="225">
        <f t="shared" si="3"/>
        <v>4.0807707468407219</v>
      </c>
      <c r="P96" s="225" t="s">
        <v>1200</v>
      </c>
      <c r="Q96" s="225" t="s">
        <v>1202</v>
      </c>
      <c r="R96" s="225" t="s">
        <v>210</v>
      </c>
      <c r="S96" s="225">
        <v>28.12</v>
      </c>
    </row>
    <row r="97" spans="1:54" x14ac:dyDescent="0.2">
      <c r="A97" s="225" t="s">
        <v>273</v>
      </c>
      <c r="B97" s="225" t="s">
        <v>1080</v>
      </c>
      <c r="C97" s="225" t="s">
        <v>1199</v>
      </c>
      <c r="D97" s="225" t="s">
        <v>1199</v>
      </c>
      <c r="E97" s="225" t="e">
        <f t="shared" si="4"/>
        <v>#VALUE!</v>
      </c>
      <c r="F97" s="225" t="s">
        <v>1199</v>
      </c>
      <c r="G97" s="225" t="s">
        <v>1199</v>
      </c>
      <c r="H97" s="225" t="s">
        <v>210</v>
      </c>
      <c r="I97" s="225" t="s">
        <v>220</v>
      </c>
      <c r="K97" s="225" t="s">
        <v>322</v>
      </c>
      <c r="L97" s="225" t="s">
        <v>1080</v>
      </c>
      <c r="M97" s="225" t="s">
        <v>915</v>
      </c>
      <c r="N97" s="225">
        <v>0</v>
      </c>
      <c r="O97" s="225" t="e">
        <f t="shared" si="3"/>
        <v>#NUM!</v>
      </c>
      <c r="P97" s="225" t="s">
        <v>1200</v>
      </c>
      <c r="Q97" s="225" t="s">
        <v>1202</v>
      </c>
      <c r="R97" s="225" t="s">
        <v>210</v>
      </c>
      <c r="S97" s="225" t="s">
        <v>220</v>
      </c>
    </row>
    <row r="98" spans="1:54" x14ac:dyDescent="0.2">
      <c r="A98" s="225" t="s">
        <v>274</v>
      </c>
      <c r="B98" s="225" t="s">
        <v>981</v>
      </c>
      <c r="C98" s="225" t="s">
        <v>1199</v>
      </c>
      <c r="D98" s="225" t="s">
        <v>1199</v>
      </c>
      <c r="E98" s="225" t="e">
        <f t="shared" si="4"/>
        <v>#VALUE!</v>
      </c>
      <c r="F98" s="225" t="s">
        <v>1199</v>
      </c>
      <c r="G98" s="225" t="s">
        <v>1199</v>
      </c>
      <c r="H98" s="225" t="s">
        <v>809</v>
      </c>
      <c r="I98" s="225" t="s">
        <v>220</v>
      </c>
      <c r="K98" s="225" t="s">
        <v>211</v>
      </c>
      <c r="L98" s="225" t="s">
        <v>1080</v>
      </c>
      <c r="M98" s="225" t="s">
        <v>30</v>
      </c>
      <c r="N98" s="226">
        <v>12044000000.000002</v>
      </c>
      <c r="O98" s="225">
        <f t="shared" ref="O98:O129" si="9">LOG(N98)</f>
        <v>10.080770746840722</v>
      </c>
      <c r="P98" s="225" t="s">
        <v>1200</v>
      </c>
      <c r="Q98" s="225" t="s">
        <v>1203</v>
      </c>
      <c r="R98" s="225" t="s">
        <v>210</v>
      </c>
      <c r="S98" s="225" t="s">
        <v>220</v>
      </c>
      <c r="AP98" s="239" t="s">
        <v>1217</v>
      </c>
    </row>
    <row r="99" spans="1:54" ht="16.5" x14ac:dyDescent="0.2">
      <c r="A99" s="225" t="s">
        <v>274</v>
      </c>
      <c r="B99" s="225" t="s">
        <v>1080</v>
      </c>
      <c r="C99" s="225" t="s">
        <v>1199</v>
      </c>
      <c r="D99" s="225" t="s">
        <v>1199</v>
      </c>
      <c r="E99" s="225" t="e">
        <f t="shared" si="4"/>
        <v>#VALUE!</v>
      </c>
      <c r="F99" s="225" t="s">
        <v>1199</v>
      </c>
      <c r="G99" s="225" t="s">
        <v>1199</v>
      </c>
      <c r="H99" s="225" t="s">
        <v>210</v>
      </c>
      <c r="I99" s="225" t="s">
        <v>220</v>
      </c>
      <c r="K99" s="225" t="s">
        <v>234</v>
      </c>
      <c r="L99" s="225" t="s">
        <v>1080</v>
      </c>
      <c r="M99" s="225" t="s">
        <v>31</v>
      </c>
      <c r="N99" s="226">
        <v>1204400000.0000002</v>
      </c>
      <c r="O99" s="225">
        <f t="shared" si="9"/>
        <v>9.0807707468407219</v>
      </c>
      <c r="P99" s="225" t="s">
        <v>1200</v>
      </c>
      <c r="Q99" s="225" t="s">
        <v>1203</v>
      </c>
      <c r="R99" s="225" t="s">
        <v>210</v>
      </c>
      <c r="S99" s="225">
        <v>9.4499999999999993</v>
      </c>
      <c r="AP99" s="304" t="s">
        <v>174</v>
      </c>
      <c r="AQ99" s="304"/>
      <c r="AR99" s="304"/>
      <c r="AS99" s="304"/>
      <c r="AT99" s="304"/>
      <c r="AU99" s="304"/>
      <c r="AV99" s="304"/>
      <c r="AW99" s="304"/>
      <c r="AX99" s="304"/>
      <c r="AY99" s="304"/>
      <c r="AZ99" s="304"/>
      <c r="BA99" s="304"/>
      <c r="BB99" s="304"/>
    </row>
    <row r="100" spans="1:54" x14ac:dyDescent="0.2">
      <c r="A100" s="225" t="s">
        <v>275</v>
      </c>
      <c r="B100" s="225" t="s">
        <v>981</v>
      </c>
      <c r="C100" s="225" t="s">
        <v>34</v>
      </c>
      <c r="D100" s="226">
        <v>1204400.0000000005</v>
      </c>
      <c r="E100" s="225">
        <f t="shared" si="4"/>
        <v>6.0807707468407219</v>
      </c>
      <c r="F100" s="225" t="s">
        <v>1200</v>
      </c>
      <c r="G100" s="225" t="s">
        <v>1201</v>
      </c>
      <c r="H100" s="225" t="s">
        <v>809</v>
      </c>
      <c r="I100" s="225">
        <v>35.33</v>
      </c>
      <c r="K100" s="225" t="s">
        <v>249</v>
      </c>
      <c r="L100" s="225" t="s">
        <v>1080</v>
      </c>
      <c r="M100" s="225" t="s">
        <v>32</v>
      </c>
      <c r="N100" s="226">
        <v>120440000.00000003</v>
      </c>
      <c r="O100" s="225">
        <f t="shared" si="9"/>
        <v>8.0807707468407219</v>
      </c>
      <c r="P100" s="225" t="s">
        <v>1200</v>
      </c>
      <c r="Q100" s="225" t="s">
        <v>1203</v>
      </c>
      <c r="R100" s="225" t="s">
        <v>210</v>
      </c>
      <c r="S100" s="225">
        <v>13.49</v>
      </c>
      <c r="AP100" s="239" t="s">
        <v>1214</v>
      </c>
    </row>
    <row r="101" spans="1:54" ht="15" x14ac:dyDescent="0.25">
      <c r="A101" s="225" t="s">
        <v>275</v>
      </c>
      <c r="B101" s="225" t="s">
        <v>1080</v>
      </c>
      <c r="C101" s="225" t="s">
        <v>34</v>
      </c>
      <c r="D101" s="226">
        <v>1204400.0000000005</v>
      </c>
      <c r="E101" s="225">
        <f t="shared" si="4"/>
        <v>6.0807707468407219</v>
      </c>
      <c r="F101" s="225" t="s">
        <v>1200</v>
      </c>
      <c r="G101" s="225" t="s">
        <v>1201</v>
      </c>
      <c r="H101" s="225" t="s">
        <v>210</v>
      </c>
      <c r="I101" s="225">
        <v>20.8</v>
      </c>
      <c r="K101" s="225" t="s">
        <v>261</v>
      </c>
      <c r="L101" s="225" t="s">
        <v>1080</v>
      </c>
      <c r="M101" s="225" t="s">
        <v>33</v>
      </c>
      <c r="N101" s="226">
        <v>12044000.000000004</v>
      </c>
      <c r="O101" s="225">
        <f t="shared" si="9"/>
        <v>7.0807707468407219</v>
      </c>
      <c r="P101" s="225" t="s">
        <v>1200</v>
      </c>
      <c r="Q101" s="225" t="s">
        <v>1203</v>
      </c>
      <c r="R101" s="225" t="s">
        <v>210</v>
      </c>
      <c r="S101" s="225">
        <v>17.440000000000001</v>
      </c>
      <c r="AQ101" s="14" t="s">
        <v>19</v>
      </c>
      <c r="AR101" s="239" t="s">
        <v>1215</v>
      </c>
      <c r="AS101" s="239" t="s">
        <v>1216</v>
      </c>
      <c r="AT101" s="239" t="s">
        <v>1218</v>
      </c>
    </row>
    <row r="102" spans="1:54" x14ac:dyDescent="0.2">
      <c r="A102" s="225" t="s">
        <v>276</v>
      </c>
      <c r="B102" s="225" t="s">
        <v>981</v>
      </c>
      <c r="C102" s="225" t="s">
        <v>34</v>
      </c>
      <c r="D102" s="226">
        <v>1204400.0000000005</v>
      </c>
      <c r="E102" s="225">
        <f t="shared" si="4"/>
        <v>6.0807707468407219</v>
      </c>
      <c r="F102" s="225" t="s">
        <v>1200</v>
      </c>
      <c r="G102" s="225" t="s">
        <v>1202</v>
      </c>
      <c r="H102" s="225" t="s">
        <v>809</v>
      </c>
      <c r="I102" s="225">
        <v>33.51</v>
      </c>
      <c r="K102" s="225" t="s">
        <v>275</v>
      </c>
      <c r="L102" s="225" t="s">
        <v>1080</v>
      </c>
      <c r="M102" s="225" t="s">
        <v>34</v>
      </c>
      <c r="N102" s="226">
        <v>1204400.0000000005</v>
      </c>
      <c r="O102" s="225">
        <f t="shared" si="9"/>
        <v>6.0807707468407219</v>
      </c>
      <c r="P102" s="225" t="s">
        <v>1200</v>
      </c>
      <c r="Q102" s="225" t="s">
        <v>1203</v>
      </c>
      <c r="R102" s="225" t="s">
        <v>210</v>
      </c>
      <c r="S102" s="225">
        <v>20.89</v>
      </c>
      <c r="AP102" s="239" t="s">
        <v>1213</v>
      </c>
      <c r="AQ102" s="225">
        <v>69.894400000000005</v>
      </c>
      <c r="AR102" s="225">
        <v>779300</v>
      </c>
      <c r="AS102" s="241">
        <f>AQ102/AR102*1000000</f>
        <v>89.688694982676765</v>
      </c>
      <c r="AV102" s="240">
        <f>AVERAGE(AS102,AT103)</f>
        <v>92.354933915051973</v>
      </c>
    </row>
    <row r="103" spans="1:54" x14ac:dyDescent="0.2">
      <c r="A103" s="225" t="s">
        <v>276</v>
      </c>
      <c r="B103" s="225" t="s">
        <v>1080</v>
      </c>
      <c r="C103" s="225" t="s">
        <v>34</v>
      </c>
      <c r="D103" s="226">
        <v>1204400.0000000005</v>
      </c>
      <c r="E103" s="225">
        <f t="shared" si="4"/>
        <v>6.0807707468407219</v>
      </c>
      <c r="F103" s="225" t="s">
        <v>1200</v>
      </c>
      <c r="G103" s="225" t="s">
        <v>1202</v>
      </c>
      <c r="H103" s="225" t="s">
        <v>210</v>
      </c>
      <c r="I103" s="225">
        <v>21.38</v>
      </c>
      <c r="K103" s="225" t="s">
        <v>287</v>
      </c>
      <c r="L103" s="225" t="s">
        <v>1080</v>
      </c>
      <c r="M103" s="225" t="s">
        <v>35</v>
      </c>
      <c r="N103" s="226">
        <v>120440.00000000004</v>
      </c>
      <c r="O103" s="225">
        <f t="shared" si="9"/>
        <v>5.0807707468407219</v>
      </c>
      <c r="P103" s="225" t="s">
        <v>1200</v>
      </c>
      <c r="Q103" s="225" t="s">
        <v>1203</v>
      </c>
      <c r="R103" s="225" t="s">
        <v>210</v>
      </c>
      <c r="S103" s="225">
        <v>24.18</v>
      </c>
      <c r="AP103" s="239" t="s">
        <v>744</v>
      </c>
      <c r="AQ103" s="225">
        <v>0.74050000000000005</v>
      </c>
      <c r="AR103" s="225">
        <v>779300</v>
      </c>
      <c r="AS103" s="225">
        <f>AQ103/AR103*1000000</f>
        <v>0.95021172847427182</v>
      </c>
      <c r="AT103" s="241">
        <f>100*AS103</f>
        <v>95.021172847427181</v>
      </c>
    </row>
    <row r="104" spans="1:54" x14ac:dyDescent="0.2">
      <c r="A104" s="225" t="s">
        <v>277</v>
      </c>
      <c r="B104" s="225" t="s">
        <v>981</v>
      </c>
      <c r="C104" s="225" t="s">
        <v>34</v>
      </c>
      <c r="D104" s="226">
        <v>1204400.0000000005</v>
      </c>
      <c r="E104" s="225">
        <f t="shared" si="4"/>
        <v>6.0807707468407219</v>
      </c>
      <c r="F104" s="225" t="s">
        <v>1200</v>
      </c>
      <c r="G104" s="225" t="s">
        <v>1203</v>
      </c>
      <c r="H104" s="225" t="s">
        <v>809</v>
      </c>
      <c r="I104" s="225">
        <v>35.15</v>
      </c>
      <c r="K104" s="225" t="s">
        <v>299</v>
      </c>
      <c r="L104" s="225" t="s">
        <v>1080</v>
      </c>
      <c r="M104" s="225" t="s">
        <v>36</v>
      </c>
      <c r="N104" s="226">
        <v>12044.000000000004</v>
      </c>
      <c r="O104" s="225">
        <f t="shared" si="9"/>
        <v>4.0807707468407219</v>
      </c>
      <c r="P104" s="225" t="s">
        <v>1200</v>
      </c>
      <c r="Q104" s="225" t="s">
        <v>1203</v>
      </c>
      <c r="R104" s="225" t="s">
        <v>210</v>
      </c>
      <c r="S104" s="225">
        <v>29.38</v>
      </c>
      <c r="X104" s="324" t="s">
        <v>1198</v>
      </c>
      <c r="Y104" s="324"/>
      <c r="Z104" s="324"/>
      <c r="AA104" s="324"/>
    </row>
    <row r="105" spans="1:54" ht="60" x14ac:dyDescent="0.2">
      <c r="A105" s="225" t="s">
        <v>277</v>
      </c>
      <c r="B105" s="225" t="s">
        <v>1080</v>
      </c>
      <c r="C105" s="225" t="s">
        <v>34</v>
      </c>
      <c r="D105" s="226">
        <v>1204400.0000000005</v>
      </c>
      <c r="E105" s="225">
        <f t="shared" si="4"/>
        <v>6.0807707468407219</v>
      </c>
      <c r="F105" s="225" t="s">
        <v>1200</v>
      </c>
      <c r="G105" s="225" t="s">
        <v>1203</v>
      </c>
      <c r="H105" s="225" t="s">
        <v>210</v>
      </c>
      <c r="I105" s="225">
        <v>20.89</v>
      </c>
      <c r="K105" s="225" t="s">
        <v>311</v>
      </c>
      <c r="L105" s="225" t="s">
        <v>1080</v>
      </c>
      <c r="M105" s="225" t="s">
        <v>915</v>
      </c>
      <c r="N105" s="225">
        <v>0</v>
      </c>
      <c r="O105" s="225" t="e">
        <f t="shared" si="9"/>
        <v>#NUM!</v>
      </c>
      <c r="P105" s="225" t="s">
        <v>1200</v>
      </c>
      <c r="Q105" s="225" t="s">
        <v>1203</v>
      </c>
      <c r="R105" s="225" t="s">
        <v>210</v>
      </c>
      <c r="S105" s="225">
        <v>37.01</v>
      </c>
      <c r="U105" s="225" t="s">
        <v>1197</v>
      </c>
      <c r="V105" s="225" t="s">
        <v>1208</v>
      </c>
      <c r="W105" s="225" t="s">
        <v>1115</v>
      </c>
      <c r="X105" s="225" t="s">
        <v>1201</v>
      </c>
      <c r="Y105" s="225" t="s">
        <v>1202</v>
      </c>
      <c r="Z105" s="225" t="s">
        <v>1203</v>
      </c>
      <c r="AA105" s="225" t="s">
        <v>1205</v>
      </c>
      <c r="AB105" s="225" t="s">
        <v>1209</v>
      </c>
      <c r="AC105" s="225" t="s">
        <v>1210</v>
      </c>
      <c r="AD105" s="225" t="s">
        <v>1211</v>
      </c>
      <c r="AE105" s="225" t="s">
        <v>1212</v>
      </c>
      <c r="AF105" s="239" t="s">
        <v>726</v>
      </c>
      <c r="AP105" s="230" t="s">
        <v>20</v>
      </c>
      <c r="AQ105" s="231" t="s">
        <v>21</v>
      </c>
      <c r="AR105" s="231" t="s">
        <v>1093</v>
      </c>
      <c r="AS105" s="231" t="s">
        <v>1094</v>
      </c>
      <c r="AT105" s="231" t="s">
        <v>1095</v>
      </c>
      <c r="AU105" s="232" t="s">
        <v>1096</v>
      </c>
    </row>
    <row r="106" spans="1:54" ht="15" x14ac:dyDescent="0.25">
      <c r="A106" s="225" t="s">
        <v>278</v>
      </c>
      <c r="B106" s="225" t="s">
        <v>981</v>
      </c>
      <c r="C106" s="225" t="s">
        <v>35</v>
      </c>
      <c r="D106" s="226">
        <v>120440.00000000004</v>
      </c>
      <c r="E106" s="225">
        <f t="shared" si="4"/>
        <v>5.0807707468407219</v>
      </c>
      <c r="F106" s="225" t="s">
        <v>1204</v>
      </c>
      <c r="G106" s="225" t="s">
        <v>1201</v>
      </c>
      <c r="H106" s="225" t="s">
        <v>809</v>
      </c>
      <c r="I106" s="225">
        <v>33.64</v>
      </c>
      <c r="K106" s="225" t="s">
        <v>212</v>
      </c>
      <c r="L106" s="225" t="s">
        <v>1080</v>
      </c>
      <c r="M106" s="225" t="s">
        <v>31</v>
      </c>
      <c r="N106" s="226">
        <v>1204400000.0000002</v>
      </c>
      <c r="O106" s="225">
        <f t="shared" si="9"/>
        <v>9.0807707468407219</v>
      </c>
      <c r="P106" s="225" t="s">
        <v>1204</v>
      </c>
      <c r="Q106" s="225" t="s">
        <v>1201</v>
      </c>
      <c r="R106" s="225" t="s">
        <v>210</v>
      </c>
      <c r="S106" s="225">
        <v>11.97</v>
      </c>
      <c r="U106" s="225" t="s">
        <v>1204</v>
      </c>
      <c r="V106" s="226">
        <v>1204400000.0000002</v>
      </c>
      <c r="W106" s="225">
        <f>LOG(V106)</f>
        <v>9.0807707468407219</v>
      </c>
      <c r="X106" s="225">
        <v>11.97</v>
      </c>
      <c r="Y106" s="225">
        <v>11.92</v>
      </c>
      <c r="Z106" s="225">
        <v>12.73</v>
      </c>
      <c r="AA106" s="225">
        <v>10.07</v>
      </c>
      <c r="AB106" s="225">
        <f>AVERAGE(X106:AA106)</f>
        <v>11.672500000000001</v>
      </c>
      <c r="AC106" s="225">
        <f>STDEV(X106:AA106)</f>
        <v>1.1307924949638934</v>
      </c>
      <c r="AD106" s="225">
        <f>2*AC106</f>
        <v>2.2615849899277869</v>
      </c>
      <c r="AE106" s="227">
        <f>AC106/AB106</f>
        <v>9.6876632680564859E-2</v>
      </c>
      <c r="AF106" s="239" t="s">
        <v>1099</v>
      </c>
      <c r="AP106" s="233" t="s">
        <v>54</v>
      </c>
      <c r="AQ106" s="234">
        <v>92.35</v>
      </c>
      <c r="AR106" s="234">
        <f>30.5*4*1000</f>
        <v>122000</v>
      </c>
      <c r="AS106" s="242"/>
      <c r="AT106" s="242">
        <f>AQ106*0.00004/1000000*6.022E+23</f>
        <v>2224526800000000.3</v>
      </c>
      <c r="AU106" s="235"/>
    </row>
    <row r="107" spans="1:54" ht="15" x14ac:dyDescent="0.25">
      <c r="A107" s="225" t="s">
        <v>278</v>
      </c>
      <c r="B107" s="225" t="s">
        <v>1080</v>
      </c>
      <c r="C107" s="225" t="s">
        <v>35</v>
      </c>
      <c r="D107" s="226">
        <v>120440.00000000004</v>
      </c>
      <c r="E107" s="225">
        <f t="shared" si="4"/>
        <v>5.0807707468407219</v>
      </c>
      <c r="F107" s="225" t="s">
        <v>1204</v>
      </c>
      <c r="G107" s="225" t="s">
        <v>1201</v>
      </c>
      <c r="H107" s="225" t="s">
        <v>210</v>
      </c>
      <c r="I107" s="225">
        <v>26.78</v>
      </c>
      <c r="K107" s="225" t="s">
        <v>235</v>
      </c>
      <c r="L107" s="225" t="s">
        <v>1080</v>
      </c>
      <c r="M107" s="225" t="s">
        <v>32</v>
      </c>
      <c r="N107" s="226">
        <v>120440000.00000003</v>
      </c>
      <c r="O107" s="225">
        <f t="shared" si="9"/>
        <v>8.0807707468407219</v>
      </c>
      <c r="P107" s="225" t="s">
        <v>1204</v>
      </c>
      <c r="Q107" s="225" t="s">
        <v>1201</v>
      </c>
      <c r="R107" s="225" t="s">
        <v>210</v>
      </c>
      <c r="S107" s="225">
        <v>15.06</v>
      </c>
      <c r="U107" s="225" t="s">
        <v>1204</v>
      </c>
      <c r="V107" s="226">
        <v>120440000.00000003</v>
      </c>
      <c r="W107" s="225">
        <f t="shared" ref="W107:W113" si="10">LOG(V107)</f>
        <v>8.0807707468407219</v>
      </c>
      <c r="X107" s="225">
        <v>15.06</v>
      </c>
      <c r="Y107" s="225">
        <v>14.48</v>
      </c>
      <c r="Z107" s="225">
        <v>15.87</v>
      </c>
      <c r="AA107" s="225">
        <v>14.32</v>
      </c>
      <c r="AB107" s="225">
        <f t="shared" ref="AB107:AB112" si="11">AVERAGE(X107:AA107)</f>
        <v>14.932499999999999</v>
      </c>
      <c r="AC107" s="225">
        <f t="shared" ref="AC107:AC112" si="12">STDEV(X107:AA107)</f>
        <v>0.7012072922229674</v>
      </c>
      <c r="AD107" s="225">
        <f t="shared" ref="AD107:AD112" si="13">2*AC107</f>
        <v>1.4024145844459348</v>
      </c>
      <c r="AE107" s="227">
        <f t="shared" ref="AE107:AE112" si="14">AC107/AB107</f>
        <v>4.6958465911466095E-2</v>
      </c>
      <c r="AF107" s="239" t="s">
        <v>1100</v>
      </c>
      <c r="AP107" s="236"/>
      <c r="AQ107" s="237"/>
      <c r="AR107" s="237"/>
      <c r="AS107" s="243"/>
      <c r="AT107" s="243"/>
      <c r="AU107" s="238"/>
    </row>
    <row r="108" spans="1:54" ht="15" x14ac:dyDescent="0.25">
      <c r="A108" s="225" t="s">
        <v>279</v>
      </c>
      <c r="B108" s="225" t="s">
        <v>981</v>
      </c>
      <c r="C108" s="225" t="s">
        <v>35</v>
      </c>
      <c r="D108" s="226">
        <v>120440.00000000004</v>
      </c>
      <c r="E108" s="225">
        <f t="shared" si="4"/>
        <v>5.0807707468407219</v>
      </c>
      <c r="F108" s="225" t="s">
        <v>1204</v>
      </c>
      <c r="G108" s="225" t="s">
        <v>1202</v>
      </c>
      <c r="H108" s="225" t="s">
        <v>809</v>
      </c>
      <c r="I108" s="225">
        <v>32.42</v>
      </c>
      <c r="K108" s="225" t="s">
        <v>250</v>
      </c>
      <c r="L108" s="225" t="s">
        <v>1080</v>
      </c>
      <c r="M108" s="225" t="s">
        <v>33</v>
      </c>
      <c r="N108" s="226">
        <v>12044000.000000004</v>
      </c>
      <c r="O108" s="225">
        <f t="shared" si="9"/>
        <v>7.0807707468407219</v>
      </c>
      <c r="P108" s="225" t="s">
        <v>1204</v>
      </c>
      <c r="Q108" s="225" t="s">
        <v>1201</v>
      </c>
      <c r="R108" s="225" t="s">
        <v>210</v>
      </c>
      <c r="S108" s="225">
        <v>19.420000000000002</v>
      </c>
      <c r="U108" s="225" t="s">
        <v>1204</v>
      </c>
      <c r="V108" s="226">
        <v>12044000.000000004</v>
      </c>
      <c r="W108" s="225">
        <f t="shared" si="10"/>
        <v>7.0807707468407219</v>
      </c>
      <c r="X108" s="225">
        <v>19.420000000000002</v>
      </c>
      <c r="Y108" s="225">
        <v>16.84</v>
      </c>
      <c r="Z108" s="225">
        <v>19.23</v>
      </c>
      <c r="AA108" s="225">
        <v>19.079999999999998</v>
      </c>
      <c r="AB108" s="225">
        <f t="shared" si="11"/>
        <v>18.642500000000002</v>
      </c>
      <c r="AC108" s="225">
        <f t="shared" si="12"/>
        <v>1.209693487348483</v>
      </c>
      <c r="AD108" s="225">
        <f t="shared" si="13"/>
        <v>2.4193869746969661</v>
      </c>
      <c r="AE108" s="227">
        <f t="shared" si="14"/>
        <v>6.4889016352339166E-2</v>
      </c>
      <c r="AF108" s="239" t="s">
        <v>1101</v>
      </c>
      <c r="AP108" s="233" t="s">
        <v>1097</v>
      </c>
      <c r="AQ108" s="234">
        <f>AQ106/100</f>
        <v>0.92349999999999999</v>
      </c>
      <c r="AR108" s="234">
        <f>30.5*1000</f>
        <v>30500</v>
      </c>
      <c r="AS108" s="242"/>
      <c r="AT108" s="242">
        <f>AQ106*0.00001/1000000*6.022E+23</f>
        <v>556131700000000.06</v>
      </c>
      <c r="AU108" s="235"/>
    </row>
    <row r="109" spans="1:54" ht="15" x14ac:dyDescent="0.25">
      <c r="A109" s="225" t="s">
        <v>279</v>
      </c>
      <c r="B109" s="225" t="s">
        <v>1080</v>
      </c>
      <c r="C109" s="225" t="s">
        <v>35</v>
      </c>
      <c r="D109" s="226">
        <v>120440.00000000004</v>
      </c>
      <c r="E109" s="225">
        <f t="shared" si="4"/>
        <v>5.0807707468407219</v>
      </c>
      <c r="F109" s="225" t="s">
        <v>1204</v>
      </c>
      <c r="G109" s="225" t="s">
        <v>1202</v>
      </c>
      <c r="H109" s="225" t="s">
        <v>210</v>
      </c>
      <c r="I109" s="225">
        <v>26.59</v>
      </c>
      <c r="K109" s="225" t="s">
        <v>262</v>
      </c>
      <c r="L109" s="225" t="s">
        <v>1080</v>
      </c>
      <c r="M109" s="225" t="s">
        <v>34</v>
      </c>
      <c r="N109" s="226">
        <v>1204400.0000000005</v>
      </c>
      <c r="O109" s="225">
        <f t="shared" si="9"/>
        <v>6.0807707468407219</v>
      </c>
      <c r="P109" s="225" t="s">
        <v>1204</v>
      </c>
      <c r="Q109" s="225" t="s">
        <v>1201</v>
      </c>
      <c r="R109" s="225" t="s">
        <v>210</v>
      </c>
      <c r="S109" s="225">
        <v>22.36</v>
      </c>
      <c r="U109" s="225" t="s">
        <v>1204</v>
      </c>
      <c r="V109" s="226">
        <v>1204400.0000000005</v>
      </c>
      <c r="W109" s="225">
        <f t="shared" si="10"/>
        <v>6.0807707468407219</v>
      </c>
      <c r="X109" s="225">
        <v>22.36</v>
      </c>
      <c r="Y109" s="225">
        <v>22.58</v>
      </c>
      <c r="Z109" s="225">
        <v>21.01</v>
      </c>
      <c r="AA109" s="225">
        <v>22.73</v>
      </c>
      <c r="AB109" s="225">
        <f t="shared" si="11"/>
        <v>22.17</v>
      </c>
      <c r="AC109" s="225">
        <f t="shared" si="12"/>
        <v>0.78812012620750382</v>
      </c>
      <c r="AD109" s="225">
        <f t="shared" si="13"/>
        <v>1.5762402524150076</v>
      </c>
      <c r="AE109" s="227">
        <f t="shared" si="14"/>
        <v>3.5548945701736751E-2</v>
      </c>
      <c r="AF109" s="239" t="s">
        <v>1102</v>
      </c>
      <c r="AP109" s="236"/>
      <c r="AQ109" s="237"/>
      <c r="AR109" s="237"/>
      <c r="AS109" s="243"/>
      <c r="AT109" s="243"/>
      <c r="AU109" s="238"/>
    </row>
    <row r="110" spans="1:54" ht="15" x14ac:dyDescent="0.25">
      <c r="A110" s="225" t="s">
        <v>280</v>
      </c>
      <c r="B110" s="225" t="s">
        <v>981</v>
      </c>
      <c r="C110" s="225" t="s">
        <v>35</v>
      </c>
      <c r="D110" s="226">
        <v>120440.00000000004</v>
      </c>
      <c r="E110" s="225">
        <f t="shared" si="4"/>
        <v>5.0807707468407219</v>
      </c>
      <c r="F110" s="225" t="s">
        <v>1204</v>
      </c>
      <c r="G110" s="225" t="s">
        <v>1203</v>
      </c>
      <c r="H110" s="225" t="s">
        <v>809</v>
      </c>
      <c r="I110" s="225">
        <v>42.55</v>
      </c>
      <c r="K110" s="225" t="s">
        <v>276</v>
      </c>
      <c r="L110" s="225" t="s">
        <v>1080</v>
      </c>
      <c r="M110" s="225" t="s">
        <v>35</v>
      </c>
      <c r="N110" s="226">
        <v>120440.00000000004</v>
      </c>
      <c r="O110" s="225">
        <f t="shared" si="9"/>
        <v>5.0807707468407219</v>
      </c>
      <c r="P110" s="225" t="s">
        <v>1204</v>
      </c>
      <c r="Q110" s="225" t="s">
        <v>1201</v>
      </c>
      <c r="R110" s="225" t="s">
        <v>210</v>
      </c>
      <c r="S110" s="225">
        <v>26.78</v>
      </c>
      <c r="U110" s="225" t="s">
        <v>1204</v>
      </c>
      <c r="V110" s="226">
        <v>120440.00000000004</v>
      </c>
      <c r="W110" s="225">
        <f t="shared" si="10"/>
        <v>5.0807707468407219</v>
      </c>
      <c r="X110" s="225">
        <v>26.78</v>
      </c>
      <c r="Y110" s="225">
        <v>26.59</v>
      </c>
      <c r="Z110" s="225">
        <v>24.98</v>
      </c>
      <c r="AA110" s="225">
        <v>28.13</v>
      </c>
      <c r="AB110" s="225">
        <f t="shared" si="11"/>
        <v>26.62</v>
      </c>
      <c r="AC110" s="225">
        <f t="shared" si="12"/>
        <v>1.2905037776000496</v>
      </c>
      <c r="AD110" s="225">
        <f t="shared" si="13"/>
        <v>2.5810075552000993</v>
      </c>
      <c r="AE110" s="227">
        <f t="shared" si="14"/>
        <v>4.8478729436515759E-2</v>
      </c>
      <c r="AF110" s="239" t="s">
        <v>1103</v>
      </c>
      <c r="AP110" s="233" t="s">
        <v>1098</v>
      </c>
      <c r="AQ110" s="234">
        <f>AQ108/100</f>
        <v>9.2350000000000002E-3</v>
      </c>
      <c r="AR110" s="234">
        <f>AR108/100</f>
        <v>305</v>
      </c>
      <c r="AS110" s="242">
        <f>AR110/1000000000/29274.1*6.022E+23</f>
        <v>6274180931266.8877</v>
      </c>
      <c r="AT110" s="242">
        <f>AT108/100</f>
        <v>5561317000000.001</v>
      </c>
      <c r="AU110" s="235">
        <f>AT110/1000*2</f>
        <v>11122634000.000002</v>
      </c>
    </row>
    <row r="111" spans="1:54" ht="15" x14ac:dyDescent="0.25">
      <c r="A111" s="225" t="s">
        <v>280</v>
      </c>
      <c r="B111" s="225" t="s">
        <v>1080</v>
      </c>
      <c r="C111" s="225" t="s">
        <v>35</v>
      </c>
      <c r="D111" s="226">
        <v>120440.00000000004</v>
      </c>
      <c r="E111" s="225">
        <f t="shared" si="4"/>
        <v>5.0807707468407219</v>
      </c>
      <c r="F111" s="225" t="s">
        <v>1204</v>
      </c>
      <c r="G111" s="225" t="s">
        <v>1203</v>
      </c>
      <c r="H111" s="225" t="s">
        <v>210</v>
      </c>
      <c r="I111" s="225">
        <v>24.98</v>
      </c>
      <c r="K111" s="225" t="s">
        <v>288</v>
      </c>
      <c r="L111" s="225" t="s">
        <v>1080</v>
      </c>
      <c r="M111" s="225" t="s">
        <v>36</v>
      </c>
      <c r="N111" s="226">
        <v>12044.000000000004</v>
      </c>
      <c r="O111" s="225">
        <f t="shared" si="9"/>
        <v>4.0807707468407219</v>
      </c>
      <c r="P111" s="225" t="s">
        <v>1204</v>
      </c>
      <c r="Q111" s="225" t="s">
        <v>1201</v>
      </c>
      <c r="R111" s="225" t="s">
        <v>210</v>
      </c>
      <c r="S111" s="225">
        <v>28.39</v>
      </c>
      <c r="U111" s="225" t="s">
        <v>1204</v>
      </c>
      <c r="V111" s="226">
        <v>12044.000000000004</v>
      </c>
      <c r="W111" s="225">
        <f t="shared" si="10"/>
        <v>4.0807707468407219</v>
      </c>
      <c r="X111" s="225">
        <v>28.39</v>
      </c>
      <c r="Y111" s="225">
        <v>29.6</v>
      </c>
      <c r="Z111" s="225">
        <v>29.92</v>
      </c>
      <c r="AA111" s="225">
        <v>31.06</v>
      </c>
      <c r="AB111" s="225">
        <f t="shared" si="11"/>
        <v>29.7425</v>
      </c>
      <c r="AC111" s="225">
        <f t="shared" si="12"/>
        <v>1.0980095627998867</v>
      </c>
      <c r="AD111" s="225">
        <f t="shared" si="13"/>
        <v>2.1960191255997734</v>
      </c>
      <c r="AE111" s="227">
        <f t="shared" si="14"/>
        <v>3.6917191318816059E-2</v>
      </c>
      <c r="AF111" s="239" t="s">
        <v>1104</v>
      </c>
      <c r="AP111" s="236" t="s">
        <v>1099</v>
      </c>
      <c r="AQ111" s="237">
        <f t="shared" ref="AQ111:AQ124" si="15">AQ110/10</f>
        <v>9.2350000000000006E-4</v>
      </c>
      <c r="AR111" s="237">
        <f>AR110/10</f>
        <v>30.5</v>
      </c>
      <c r="AS111" s="243">
        <f>AS110/10</f>
        <v>627418093126.68872</v>
      </c>
      <c r="AT111" s="243">
        <f t="shared" ref="AT111:AT124" si="16">AT110/10</f>
        <v>556131700000.00012</v>
      </c>
      <c r="AU111" s="238">
        <f t="shared" ref="AU111:AU124" si="17">AT111/1000*2</f>
        <v>1112263400.0000002</v>
      </c>
    </row>
    <row r="112" spans="1:54" ht="15" x14ac:dyDescent="0.25">
      <c r="A112" s="225" t="s">
        <v>281</v>
      </c>
      <c r="B112" s="225" t="s">
        <v>981</v>
      </c>
      <c r="C112" s="225" t="s">
        <v>35</v>
      </c>
      <c r="D112" s="226">
        <v>120440.00000000004</v>
      </c>
      <c r="E112" s="225">
        <f t="shared" si="4"/>
        <v>5.0807707468407219</v>
      </c>
      <c r="F112" s="225" t="s">
        <v>1204</v>
      </c>
      <c r="G112" s="225" t="s">
        <v>1205</v>
      </c>
      <c r="H112" s="225" t="s">
        <v>809</v>
      </c>
      <c r="I112" s="225">
        <v>34.4</v>
      </c>
      <c r="K112" s="225" t="s">
        <v>300</v>
      </c>
      <c r="L112" s="225" t="s">
        <v>1080</v>
      </c>
      <c r="M112" s="225" t="s">
        <v>37</v>
      </c>
      <c r="N112" s="226">
        <v>1204.4000000000005</v>
      </c>
      <c r="O112" s="225">
        <f t="shared" si="9"/>
        <v>3.0807707468407219</v>
      </c>
      <c r="P112" s="225" t="s">
        <v>1204</v>
      </c>
      <c r="Q112" s="225" t="s">
        <v>1201</v>
      </c>
      <c r="R112" s="225" t="s">
        <v>210</v>
      </c>
      <c r="S112" s="225">
        <v>33.369999999999997</v>
      </c>
      <c r="U112" s="225" t="s">
        <v>1204</v>
      </c>
      <c r="V112" s="226">
        <v>1204.4000000000005</v>
      </c>
      <c r="W112" s="225">
        <f t="shared" si="10"/>
        <v>3.0807707468407219</v>
      </c>
      <c r="X112" s="225">
        <v>33.369999999999997</v>
      </c>
      <c r="Y112" s="225">
        <v>33.909999999999997</v>
      </c>
      <c r="Z112" s="225">
        <v>34.5</v>
      </c>
      <c r="AA112" s="225">
        <v>34.64</v>
      </c>
      <c r="AB112" s="225">
        <f t="shared" si="11"/>
        <v>34.105000000000004</v>
      </c>
      <c r="AC112" s="225">
        <f t="shared" si="12"/>
        <v>0.58323808746228889</v>
      </c>
      <c r="AD112" s="225">
        <f t="shared" si="13"/>
        <v>1.1664761749245778</v>
      </c>
      <c r="AE112" s="227">
        <f t="shared" si="14"/>
        <v>1.7101248716091155E-2</v>
      </c>
      <c r="AF112" s="239" t="s">
        <v>1105</v>
      </c>
      <c r="AP112" s="233" t="s">
        <v>1100</v>
      </c>
      <c r="AQ112" s="234">
        <f t="shared" si="15"/>
        <v>9.2350000000000009E-5</v>
      </c>
      <c r="AR112" s="234">
        <f t="shared" ref="AR112:AR124" si="18">AR110/100</f>
        <v>3.05</v>
      </c>
      <c r="AS112" s="242">
        <f t="shared" ref="AS112:AS124" si="19">AS111/10</f>
        <v>62741809312.668869</v>
      </c>
      <c r="AT112" s="242">
        <f t="shared" si="16"/>
        <v>55613170000.000015</v>
      </c>
      <c r="AU112" s="235">
        <f t="shared" si="17"/>
        <v>111226340.00000003</v>
      </c>
    </row>
    <row r="113" spans="1:47" ht="15" x14ac:dyDescent="0.25">
      <c r="A113" s="225" t="s">
        <v>281</v>
      </c>
      <c r="B113" s="225" t="s">
        <v>1080</v>
      </c>
      <c r="C113" s="225" t="s">
        <v>35</v>
      </c>
      <c r="D113" s="226">
        <v>120440.00000000004</v>
      </c>
      <c r="E113" s="225">
        <f t="shared" si="4"/>
        <v>5.0807707468407219</v>
      </c>
      <c r="F113" s="225" t="s">
        <v>1204</v>
      </c>
      <c r="G113" s="225" t="s">
        <v>1205</v>
      </c>
      <c r="H113" s="225" t="s">
        <v>210</v>
      </c>
      <c r="I113" s="225">
        <v>28.13</v>
      </c>
      <c r="K113" s="225" t="s">
        <v>312</v>
      </c>
      <c r="L113" s="225" t="s">
        <v>1080</v>
      </c>
      <c r="M113" s="225" t="s">
        <v>915</v>
      </c>
      <c r="N113" s="225">
        <v>0</v>
      </c>
      <c r="O113" s="225" t="e">
        <f t="shared" si="9"/>
        <v>#NUM!</v>
      </c>
      <c r="P113" s="225" t="s">
        <v>1204</v>
      </c>
      <c r="Q113" s="225" t="s">
        <v>1201</v>
      </c>
      <c r="R113" s="225" t="s">
        <v>210</v>
      </c>
      <c r="S113" s="225" t="s">
        <v>220</v>
      </c>
      <c r="U113" s="225" t="s">
        <v>1204</v>
      </c>
      <c r="V113" s="226">
        <v>0</v>
      </c>
      <c r="W113" s="225" t="e">
        <f t="shared" si="10"/>
        <v>#NUM!</v>
      </c>
      <c r="X113" s="225" t="s">
        <v>220</v>
      </c>
      <c r="Y113" s="225" t="s">
        <v>220</v>
      </c>
      <c r="Z113" s="225" t="s">
        <v>220</v>
      </c>
      <c r="AA113" s="225" t="s">
        <v>220</v>
      </c>
      <c r="AP113" s="236" t="s">
        <v>1101</v>
      </c>
      <c r="AQ113" s="237">
        <f t="shared" si="15"/>
        <v>9.2350000000000005E-6</v>
      </c>
      <c r="AR113" s="237">
        <f t="shared" si="18"/>
        <v>0.30499999999999999</v>
      </c>
      <c r="AS113" s="243">
        <f t="shared" si="19"/>
        <v>6274180931.2668867</v>
      </c>
      <c r="AT113" s="243">
        <f t="shared" si="16"/>
        <v>5561317000.0000019</v>
      </c>
      <c r="AU113" s="238">
        <f t="shared" si="17"/>
        <v>11122634.000000004</v>
      </c>
    </row>
    <row r="114" spans="1:47" ht="15" x14ac:dyDescent="0.25">
      <c r="A114" s="225" t="s">
        <v>282</v>
      </c>
      <c r="B114" s="225" t="s">
        <v>981</v>
      </c>
      <c r="C114" s="225" t="s">
        <v>36</v>
      </c>
      <c r="D114" s="226">
        <v>12044.000000000004</v>
      </c>
      <c r="E114" s="225">
        <f t="shared" si="4"/>
        <v>4.0807707468407219</v>
      </c>
      <c r="F114" s="225" t="s">
        <v>1206</v>
      </c>
      <c r="G114" s="225" t="s">
        <v>1201</v>
      </c>
      <c r="H114" s="225" t="s">
        <v>809</v>
      </c>
      <c r="I114" s="225">
        <v>31.2</v>
      </c>
      <c r="K114" s="225" t="s">
        <v>213</v>
      </c>
      <c r="L114" s="225" t="s">
        <v>1080</v>
      </c>
      <c r="M114" s="225" t="s">
        <v>31</v>
      </c>
      <c r="N114" s="226">
        <v>1204400000.0000002</v>
      </c>
      <c r="O114" s="225">
        <f t="shared" si="9"/>
        <v>9.0807707468407219</v>
      </c>
      <c r="P114" s="225" t="s">
        <v>1204</v>
      </c>
      <c r="Q114" s="225" t="s">
        <v>1202</v>
      </c>
      <c r="R114" s="225" t="s">
        <v>210</v>
      </c>
      <c r="S114" s="225">
        <v>11.92</v>
      </c>
      <c r="AP114" s="233" t="s">
        <v>1102</v>
      </c>
      <c r="AQ114" s="234">
        <f t="shared" si="15"/>
        <v>9.2350000000000003E-7</v>
      </c>
      <c r="AR114" s="234">
        <f t="shared" si="18"/>
        <v>3.0499999999999999E-2</v>
      </c>
      <c r="AS114" s="242">
        <f t="shared" si="19"/>
        <v>627418093.12668872</v>
      </c>
      <c r="AT114" s="242">
        <f t="shared" si="16"/>
        <v>556131700.00000024</v>
      </c>
      <c r="AU114" s="235">
        <f t="shared" si="17"/>
        <v>1112263.4000000004</v>
      </c>
    </row>
    <row r="115" spans="1:47" ht="15" x14ac:dyDescent="0.25">
      <c r="A115" s="225" t="s">
        <v>282</v>
      </c>
      <c r="B115" s="225" t="s">
        <v>1080</v>
      </c>
      <c r="C115" s="225" t="s">
        <v>36</v>
      </c>
      <c r="D115" s="226">
        <v>12044.000000000004</v>
      </c>
      <c r="E115" s="225">
        <f t="shared" si="4"/>
        <v>4.0807707468407219</v>
      </c>
      <c r="F115" s="225" t="s">
        <v>1206</v>
      </c>
      <c r="G115" s="225" t="s">
        <v>1201</v>
      </c>
      <c r="H115" s="225" t="s">
        <v>210</v>
      </c>
      <c r="I115" s="225">
        <v>28.77</v>
      </c>
      <c r="K115" s="225" t="s">
        <v>236</v>
      </c>
      <c r="L115" s="225" t="s">
        <v>1080</v>
      </c>
      <c r="M115" s="225" t="s">
        <v>32</v>
      </c>
      <c r="N115" s="226">
        <v>120440000.00000003</v>
      </c>
      <c r="O115" s="225">
        <f t="shared" si="9"/>
        <v>8.0807707468407219</v>
      </c>
      <c r="P115" s="225" t="s">
        <v>1204</v>
      </c>
      <c r="Q115" s="225" t="s">
        <v>1202</v>
      </c>
      <c r="R115" s="225" t="s">
        <v>210</v>
      </c>
      <c r="S115" s="225">
        <v>14.48</v>
      </c>
      <c r="Y115" s="225" t="s">
        <v>1135</v>
      </c>
      <c r="Z115" s="225" t="s">
        <v>1136</v>
      </c>
      <c r="AP115" s="236" t="s">
        <v>1103</v>
      </c>
      <c r="AQ115" s="237">
        <f t="shared" si="15"/>
        <v>9.2350000000000003E-8</v>
      </c>
      <c r="AR115" s="237">
        <f t="shared" si="18"/>
        <v>3.0499999999999998E-3</v>
      </c>
      <c r="AS115" s="243">
        <f t="shared" si="19"/>
        <v>62741809.312668875</v>
      </c>
      <c r="AT115" s="243">
        <f t="shared" si="16"/>
        <v>55613170.000000022</v>
      </c>
      <c r="AU115" s="238">
        <f t="shared" si="17"/>
        <v>111226.34000000004</v>
      </c>
    </row>
    <row r="116" spans="1:47" ht="15" x14ac:dyDescent="0.25">
      <c r="A116" s="225" t="s">
        <v>283</v>
      </c>
      <c r="B116" s="225" t="s">
        <v>981</v>
      </c>
      <c r="C116" s="225" t="s">
        <v>36</v>
      </c>
      <c r="D116" s="226">
        <v>12044.000000000004</v>
      </c>
      <c r="E116" s="225">
        <f t="shared" si="4"/>
        <v>4.0807707468407219</v>
      </c>
      <c r="F116" s="225" t="s">
        <v>1206</v>
      </c>
      <c r="G116" s="225" t="s">
        <v>1202</v>
      </c>
      <c r="H116" s="225" t="s">
        <v>809</v>
      </c>
      <c r="I116" s="225">
        <v>31.36</v>
      </c>
      <c r="K116" s="225" t="s">
        <v>251</v>
      </c>
      <c r="L116" s="225" t="s">
        <v>1080</v>
      </c>
      <c r="M116" s="225" t="s">
        <v>33</v>
      </c>
      <c r="N116" s="226">
        <v>12044000.000000004</v>
      </c>
      <c r="O116" s="225">
        <f t="shared" si="9"/>
        <v>7.0807707468407219</v>
      </c>
      <c r="P116" s="225" t="s">
        <v>1204</v>
      </c>
      <c r="Q116" s="225" t="s">
        <v>1202</v>
      </c>
      <c r="R116" s="225" t="s">
        <v>210</v>
      </c>
      <c r="S116" s="225">
        <v>16.84</v>
      </c>
      <c r="Y116" s="225">
        <f t="array" ref="Y116:Z116">LINEST(AB106:AB112,W106:W112)</f>
        <v>-3.7462500000000016</v>
      </c>
      <c r="Z116" s="225">
        <v>45.33508741035206</v>
      </c>
      <c r="AP116" s="233" t="s">
        <v>1104</v>
      </c>
      <c r="AQ116" s="234">
        <f t="shared" si="15"/>
        <v>9.2349999999999996E-9</v>
      </c>
      <c r="AR116" s="234">
        <f t="shared" si="18"/>
        <v>3.0499999999999999E-4</v>
      </c>
      <c r="AS116" s="242">
        <f t="shared" si="19"/>
        <v>6274180.9312668871</v>
      </c>
      <c r="AT116" s="242">
        <f t="shared" si="16"/>
        <v>5561317.0000000019</v>
      </c>
      <c r="AU116" s="235">
        <f t="shared" si="17"/>
        <v>11122.634000000004</v>
      </c>
    </row>
    <row r="117" spans="1:47" ht="15" x14ac:dyDescent="0.25">
      <c r="A117" s="225" t="s">
        <v>283</v>
      </c>
      <c r="B117" s="225" t="s">
        <v>1080</v>
      </c>
      <c r="C117" s="225" t="s">
        <v>36</v>
      </c>
      <c r="D117" s="226">
        <v>12044.000000000004</v>
      </c>
      <c r="E117" s="225">
        <f t="shared" si="4"/>
        <v>4.0807707468407219</v>
      </c>
      <c r="F117" s="225" t="s">
        <v>1206</v>
      </c>
      <c r="G117" s="225" t="s">
        <v>1202</v>
      </c>
      <c r="H117" s="225" t="s">
        <v>210</v>
      </c>
      <c r="I117" s="225">
        <v>28.17</v>
      </c>
      <c r="K117" s="225" t="s">
        <v>263</v>
      </c>
      <c r="L117" s="225" t="s">
        <v>1080</v>
      </c>
      <c r="M117" s="225" t="s">
        <v>34</v>
      </c>
      <c r="N117" s="226">
        <v>1204400.0000000005</v>
      </c>
      <c r="O117" s="225">
        <f t="shared" si="9"/>
        <v>6.0807707468407219</v>
      </c>
      <c r="P117" s="225" t="s">
        <v>1204</v>
      </c>
      <c r="Q117" s="225" t="s">
        <v>1202</v>
      </c>
      <c r="R117" s="225" t="s">
        <v>210</v>
      </c>
      <c r="S117" s="225">
        <v>22.58</v>
      </c>
      <c r="AP117" s="236" t="s">
        <v>1105</v>
      </c>
      <c r="AQ117" s="237">
        <f t="shared" si="15"/>
        <v>9.2349999999999996E-10</v>
      </c>
      <c r="AR117" s="237">
        <f t="shared" si="18"/>
        <v>3.0499999999999996E-5</v>
      </c>
      <c r="AS117" s="243">
        <f t="shared" si="19"/>
        <v>627418.09312668873</v>
      </c>
      <c r="AT117" s="243">
        <f t="shared" si="16"/>
        <v>556131.70000000019</v>
      </c>
      <c r="AU117" s="238">
        <f t="shared" si="17"/>
        <v>1112.2634000000003</v>
      </c>
    </row>
    <row r="118" spans="1:47" ht="15" x14ac:dyDescent="0.25">
      <c r="A118" s="225" t="s">
        <v>284</v>
      </c>
      <c r="B118" s="225" t="s">
        <v>981</v>
      </c>
      <c r="C118" s="225" t="s">
        <v>36</v>
      </c>
      <c r="D118" s="226">
        <v>12044.000000000004</v>
      </c>
      <c r="E118" s="225">
        <f t="shared" si="4"/>
        <v>4.0807707468407219</v>
      </c>
      <c r="F118" s="225" t="s">
        <v>1206</v>
      </c>
      <c r="G118" s="225" t="s">
        <v>1203</v>
      </c>
      <c r="H118" s="225" t="s">
        <v>809</v>
      </c>
      <c r="I118" s="225">
        <v>33.020000000000003</v>
      </c>
      <c r="K118" s="225" t="s">
        <v>277</v>
      </c>
      <c r="L118" s="225" t="s">
        <v>1080</v>
      </c>
      <c r="M118" s="225" t="s">
        <v>35</v>
      </c>
      <c r="N118" s="226">
        <v>120440.00000000004</v>
      </c>
      <c r="O118" s="225">
        <f t="shared" si="9"/>
        <v>5.0807707468407219</v>
      </c>
      <c r="P118" s="225" t="s">
        <v>1204</v>
      </c>
      <c r="Q118" s="225" t="s">
        <v>1202</v>
      </c>
      <c r="R118" s="225" t="s">
        <v>210</v>
      </c>
      <c r="S118" s="225">
        <v>26.59</v>
      </c>
      <c r="X118" s="228" t="s">
        <v>241</v>
      </c>
      <c r="Y118" s="229">
        <f>10^(-1/Y116)-1</f>
        <v>0.84898590399677909</v>
      </c>
      <c r="AP118" s="233" t="s">
        <v>1106</v>
      </c>
      <c r="AQ118" s="234">
        <f t="shared" si="15"/>
        <v>9.2349999999999996E-11</v>
      </c>
      <c r="AR118" s="234">
        <f t="shared" si="18"/>
        <v>3.05E-6</v>
      </c>
      <c r="AS118" s="242">
        <f t="shared" si="19"/>
        <v>62741.809312668876</v>
      </c>
      <c r="AT118" s="242">
        <f t="shared" si="16"/>
        <v>55613.17000000002</v>
      </c>
      <c r="AU118" s="235">
        <f t="shared" si="17"/>
        <v>111.22634000000004</v>
      </c>
    </row>
    <row r="119" spans="1:47" ht="15" x14ac:dyDescent="0.25">
      <c r="A119" s="225" t="s">
        <v>284</v>
      </c>
      <c r="B119" s="225" t="s">
        <v>1080</v>
      </c>
      <c r="C119" s="225" t="s">
        <v>36</v>
      </c>
      <c r="D119" s="226">
        <v>12044.000000000004</v>
      </c>
      <c r="E119" s="225">
        <f t="shared" si="4"/>
        <v>4.0807707468407219</v>
      </c>
      <c r="F119" s="225" t="s">
        <v>1206</v>
      </c>
      <c r="G119" s="225" t="s">
        <v>1203</v>
      </c>
      <c r="H119" s="225" t="s">
        <v>210</v>
      </c>
      <c r="I119" s="225">
        <v>28.99</v>
      </c>
      <c r="K119" s="225" t="s">
        <v>289</v>
      </c>
      <c r="L119" s="225" t="s">
        <v>1080</v>
      </c>
      <c r="M119" s="225" t="s">
        <v>36</v>
      </c>
      <c r="N119" s="226">
        <v>12044.000000000004</v>
      </c>
      <c r="O119" s="225">
        <f t="shared" si="9"/>
        <v>4.0807707468407219</v>
      </c>
      <c r="P119" s="225" t="s">
        <v>1204</v>
      </c>
      <c r="Q119" s="225" t="s">
        <v>1202</v>
      </c>
      <c r="R119" s="225" t="s">
        <v>210</v>
      </c>
      <c r="S119" s="225">
        <v>29.6</v>
      </c>
      <c r="AP119" s="236" t="s">
        <v>1107</v>
      </c>
      <c r="AQ119" s="237">
        <f t="shared" si="15"/>
        <v>9.2349999999999993E-12</v>
      </c>
      <c r="AR119" s="237">
        <f t="shared" si="18"/>
        <v>3.0499999999999994E-7</v>
      </c>
      <c r="AS119" s="243">
        <f t="shared" si="19"/>
        <v>6274.1809312668875</v>
      </c>
      <c r="AT119" s="243">
        <f t="shared" si="16"/>
        <v>5561.3170000000018</v>
      </c>
      <c r="AU119" s="238">
        <f t="shared" si="17"/>
        <v>11.122634000000003</v>
      </c>
    </row>
    <row r="120" spans="1:47" ht="15" x14ac:dyDescent="0.25">
      <c r="A120" s="225" t="s">
        <v>285</v>
      </c>
      <c r="B120" s="225" t="s">
        <v>981</v>
      </c>
      <c r="C120" s="225" t="s">
        <v>1199</v>
      </c>
      <c r="D120" s="225" t="s">
        <v>1199</v>
      </c>
      <c r="E120" s="225" t="e">
        <f t="shared" si="4"/>
        <v>#VALUE!</v>
      </c>
      <c r="F120" s="225" t="s">
        <v>1199</v>
      </c>
      <c r="G120" s="225" t="s">
        <v>1199</v>
      </c>
      <c r="H120" s="225" t="s">
        <v>809</v>
      </c>
      <c r="I120" s="225" t="s">
        <v>220</v>
      </c>
      <c r="K120" s="225" t="s">
        <v>301</v>
      </c>
      <c r="L120" s="225" t="s">
        <v>1080</v>
      </c>
      <c r="M120" s="225" t="s">
        <v>37</v>
      </c>
      <c r="N120" s="226">
        <v>1204.4000000000005</v>
      </c>
      <c r="O120" s="225">
        <f t="shared" si="9"/>
        <v>3.0807707468407219</v>
      </c>
      <c r="P120" s="225" t="s">
        <v>1204</v>
      </c>
      <c r="Q120" s="225" t="s">
        <v>1202</v>
      </c>
      <c r="R120" s="225" t="s">
        <v>210</v>
      </c>
      <c r="S120" s="225">
        <v>33.909999999999997</v>
      </c>
      <c r="AP120" s="233" t="s">
        <v>1108</v>
      </c>
      <c r="AQ120" s="234">
        <f t="shared" si="15"/>
        <v>9.2349999999999985E-13</v>
      </c>
      <c r="AR120" s="234">
        <f t="shared" si="18"/>
        <v>3.0500000000000002E-8</v>
      </c>
      <c r="AS120" s="242">
        <f t="shared" si="19"/>
        <v>627.41809312668875</v>
      </c>
      <c r="AT120" s="242">
        <f t="shared" si="16"/>
        <v>556.13170000000014</v>
      </c>
      <c r="AU120" s="235">
        <f t="shared" si="17"/>
        <v>1.1122634000000002</v>
      </c>
    </row>
    <row r="121" spans="1:47" ht="15" x14ac:dyDescent="0.25">
      <c r="A121" s="225" t="s">
        <v>285</v>
      </c>
      <c r="B121" s="225" t="s">
        <v>1080</v>
      </c>
      <c r="C121" s="225" t="s">
        <v>1199</v>
      </c>
      <c r="D121" s="225" t="s">
        <v>1199</v>
      </c>
      <c r="E121" s="225" t="e">
        <f t="shared" si="4"/>
        <v>#VALUE!</v>
      </c>
      <c r="F121" s="225" t="s">
        <v>1199</v>
      </c>
      <c r="G121" s="225" t="s">
        <v>1199</v>
      </c>
      <c r="H121" s="225" t="s">
        <v>210</v>
      </c>
      <c r="I121" s="225" t="s">
        <v>220</v>
      </c>
      <c r="K121" s="225" t="s">
        <v>313</v>
      </c>
      <c r="L121" s="225" t="s">
        <v>1080</v>
      </c>
      <c r="M121" s="225" t="s">
        <v>915</v>
      </c>
      <c r="N121" s="225">
        <v>0</v>
      </c>
      <c r="O121" s="225" t="e">
        <f t="shared" si="9"/>
        <v>#NUM!</v>
      </c>
      <c r="P121" s="225" t="s">
        <v>1204</v>
      </c>
      <c r="Q121" s="225" t="s">
        <v>1202</v>
      </c>
      <c r="R121" s="225" t="s">
        <v>210</v>
      </c>
      <c r="S121" s="225" t="s">
        <v>220</v>
      </c>
      <c r="AP121" s="236" t="s">
        <v>1109</v>
      </c>
      <c r="AQ121" s="237">
        <f t="shared" si="15"/>
        <v>9.234999999999998E-14</v>
      </c>
      <c r="AR121" s="237">
        <f t="shared" si="18"/>
        <v>3.0499999999999992E-9</v>
      </c>
      <c r="AS121" s="243">
        <f t="shared" si="19"/>
        <v>62.741809312668877</v>
      </c>
      <c r="AT121" s="243">
        <f t="shared" si="16"/>
        <v>55.613170000000011</v>
      </c>
      <c r="AU121" s="238">
        <f t="shared" si="17"/>
        <v>0.11122634000000002</v>
      </c>
    </row>
    <row r="122" spans="1:47" ht="15" x14ac:dyDescent="0.25">
      <c r="A122" s="225" t="s">
        <v>286</v>
      </c>
      <c r="B122" s="225" t="s">
        <v>981</v>
      </c>
      <c r="C122" s="225" t="s">
        <v>1199</v>
      </c>
      <c r="D122" s="225" t="s">
        <v>1199</v>
      </c>
      <c r="E122" s="225" t="e">
        <f t="shared" si="4"/>
        <v>#VALUE!</v>
      </c>
      <c r="F122" s="225" t="s">
        <v>1199</v>
      </c>
      <c r="G122" s="225" t="s">
        <v>1199</v>
      </c>
      <c r="H122" s="225" t="s">
        <v>809</v>
      </c>
      <c r="I122" s="225" t="s">
        <v>220</v>
      </c>
      <c r="K122" s="225" t="s">
        <v>214</v>
      </c>
      <c r="L122" s="225" t="s">
        <v>1080</v>
      </c>
      <c r="M122" s="225" t="s">
        <v>31</v>
      </c>
      <c r="N122" s="226">
        <v>1204400000.0000002</v>
      </c>
      <c r="O122" s="225">
        <f t="shared" si="9"/>
        <v>9.0807707468407219</v>
      </c>
      <c r="P122" s="225" t="s">
        <v>1204</v>
      </c>
      <c r="Q122" s="225" t="s">
        <v>1203</v>
      </c>
      <c r="R122" s="225" t="s">
        <v>210</v>
      </c>
      <c r="S122" s="225">
        <v>12.73</v>
      </c>
      <c r="AP122" s="233" t="s">
        <v>1110</v>
      </c>
      <c r="AQ122" s="234">
        <f t="shared" si="15"/>
        <v>9.234999999999998E-15</v>
      </c>
      <c r="AR122" s="234">
        <f t="shared" si="18"/>
        <v>3.0500000000000003E-10</v>
      </c>
      <c r="AS122" s="242">
        <f t="shared" si="19"/>
        <v>6.2741809312668879</v>
      </c>
      <c r="AT122" s="242">
        <f t="shared" si="16"/>
        <v>5.5613170000000007</v>
      </c>
      <c r="AU122" s="235">
        <f t="shared" si="17"/>
        <v>1.1122634000000001E-2</v>
      </c>
    </row>
    <row r="123" spans="1:47" ht="15" x14ac:dyDescent="0.25">
      <c r="A123" s="225" t="s">
        <v>286</v>
      </c>
      <c r="B123" s="225" t="s">
        <v>1080</v>
      </c>
      <c r="C123" s="225" t="s">
        <v>1199</v>
      </c>
      <c r="D123" s="225" t="s">
        <v>1199</v>
      </c>
      <c r="E123" s="225" t="e">
        <f t="shared" si="4"/>
        <v>#VALUE!</v>
      </c>
      <c r="F123" s="225" t="s">
        <v>1199</v>
      </c>
      <c r="G123" s="225" t="s">
        <v>1199</v>
      </c>
      <c r="H123" s="225" t="s">
        <v>210</v>
      </c>
      <c r="I123" s="225" t="s">
        <v>220</v>
      </c>
      <c r="K123" s="225" t="s">
        <v>237</v>
      </c>
      <c r="L123" s="225" t="s">
        <v>1080</v>
      </c>
      <c r="M123" s="225" t="s">
        <v>32</v>
      </c>
      <c r="N123" s="226">
        <v>120440000.00000003</v>
      </c>
      <c r="O123" s="225">
        <f t="shared" si="9"/>
        <v>8.0807707468407219</v>
      </c>
      <c r="P123" s="225" t="s">
        <v>1204</v>
      </c>
      <c r="Q123" s="225" t="s">
        <v>1203</v>
      </c>
      <c r="R123" s="225" t="s">
        <v>210</v>
      </c>
      <c r="S123" s="225">
        <v>15.87</v>
      </c>
      <c r="AP123" s="236" t="s">
        <v>1111</v>
      </c>
      <c r="AQ123" s="237">
        <f t="shared" si="15"/>
        <v>9.2349999999999972E-16</v>
      </c>
      <c r="AR123" s="237">
        <f t="shared" si="18"/>
        <v>3.0499999999999992E-11</v>
      </c>
      <c r="AS123" s="243">
        <f t="shared" si="19"/>
        <v>0.62741809312668884</v>
      </c>
      <c r="AT123" s="243">
        <f t="shared" si="16"/>
        <v>0.55613170000000012</v>
      </c>
      <c r="AU123" s="238">
        <f t="shared" si="17"/>
        <v>1.1122634000000002E-3</v>
      </c>
    </row>
    <row r="124" spans="1:47" ht="15" x14ac:dyDescent="0.25">
      <c r="A124" s="225" t="s">
        <v>287</v>
      </c>
      <c r="B124" s="225" t="s">
        <v>981</v>
      </c>
      <c r="C124" s="225" t="s">
        <v>35</v>
      </c>
      <c r="D124" s="226">
        <v>120440.00000000004</v>
      </c>
      <c r="E124" s="225">
        <f t="shared" si="4"/>
        <v>5.0807707468407219</v>
      </c>
      <c r="F124" s="225" t="s">
        <v>1200</v>
      </c>
      <c r="G124" s="225" t="s">
        <v>1201</v>
      </c>
      <c r="H124" s="225" t="s">
        <v>809</v>
      </c>
      <c r="I124" s="225">
        <v>33.18</v>
      </c>
      <c r="K124" s="225" t="s">
        <v>252</v>
      </c>
      <c r="L124" s="225" t="s">
        <v>1080</v>
      </c>
      <c r="M124" s="225" t="s">
        <v>33</v>
      </c>
      <c r="N124" s="226">
        <v>12044000.000000004</v>
      </c>
      <c r="O124" s="225">
        <f t="shared" si="9"/>
        <v>7.0807707468407219</v>
      </c>
      <c r="P124" s="225" t="s">
        <v>1204</v>
      </c>
      <c r="Q124" s="225" t="s">
        <v>1203</v>
      </c>
      <c r="R124" s="225" t="s">
        <v>210</v>
      </c>
      <c r="S124" s="225">
        <v>19.23</v>
      </c>
      <c r="AP124" s="233" t="s">
        <v>1112</v>
      </c>
      <c r="AQ124" s="234">
        <f t="shared" si="15"/>
        <v>9.2349999999999975E-17</v>
      </c>
      <c r="AR124" s="234">
        <f t="shared" si="18"/>
        <v>3.0500000000000001E-12</v>
      </c>
      <c r="AS124" s="242">
        <f t="shared" si="19"/>
        <v>6.2741809312668886E-2</v>
      </c>
      <c r="AT124" s="242">
        <f t="shared" si="16"/>
        <v>5.561317000000001E-2</v>
      </c>
      <c r="AU124" s="235">
        <f t="shared" si="17"/>
        <v>1.1122634000000002E-4</v>
      </c>
    </row>
    <row r="125" spans="1:47" x14ac:dyDescent="0.2">
      <c r="A125" s="225" t="s">
        <v>287</v>
      </c>
      <c r="B125" s="225" t="s">
        <v>1080</v>
      </c>
      <c r="C125" s="225" t="s">
        <v>35</v>
      </c>
      <c r="D125" s="226">
        <v>120440.00000000004</v>
      </c>
      <c r="E125" s="225">
        <f t="shared" si="4"/>
        <v>5.0807707468407219</v>
      </c>
      <c r="F125" s="225" t="s">
        <v>1200</v>
      </c>
      <c r="G125" s="225" t="s">
        <v>1201</v>
      </c>
      <c r="H125" s="225" t="s">
        <v>210</v>
      </c>
      <c r="I125" s="225">
        <v>24.08</v>
      </c>
      <c r="K125" s="225" t="s">
        <v>264</v>
      </c>
      <c r="L125" s="225" t="s">
        <v>1080</v>
      </c>
      <c r="M125" s="225" t="s">
        <v>34</v>
      </c>
      <c r="N125" s="226">
        <v>1204400.0000000005</v>
      </c>
      <c r="O125" s="225">
        <f t="shared" si="9"/>
        <v>6.0807707468407219</v>
      </c>
      <c r="P125" s="225" t="s">
        <v>1204</v>
      </c>
      <c r="Q125" s="225" t="s">
        <v>1203</v>
      </c>
      <c r="R125" s="225" t="s">
        <v>210</v>
      </c>
      <c r="S125" s="225">
        <v>21.01</v>
      </c>
    </row>
    <row r="126" spans="1:47" x14ac:dyDescent="0.2">
      <c r="A126" s="225" t="s">
        <v>288</v>
      </c>
      <c r="B126" s="225" t="s">
        <v>981</v>
      </c>
      <c r="C126" s="225" t="s">
        <v>35</v>
      </c>
      <c r="D126" s="226">
        <v>120440.00000000004</v>
      </c>
      <c r="E126" s="225">
        <f t="shared" si="4"/>
        <v>5.0807707468407219</v>
      </c>
      <c r="F126" s="225" t="s">
        <v>1200</v>
      </c>
      <c r="G126" s="225" t="s">
        <v>1202</v>
      </c>
      <c r="H126" s="225" t="s">
        <v>809</v>
      </c>
      <c r="I126" s="225">
        <v>32.06</v>
      </c>
      <c r="K126" s="225" t="s">
        <v>278</v>
      </c>
      <c r="L126" s="225" t="s">
        <v>1080</v>
      </c>
      <c r="M126" s="225" t="s">
        <v>35</v>
      </c>
      <c r="N126" s="226">
        <v>120440.00000000004</v>
      </c>
      <c r="O126" s="225">
        <f t="shared" si="9"/>
        <v>5.0807707468407219</v>
      </c>
      <c r="P126" s="225" t="s">
        <v>1204</v>
      </c>
      <c r="Q126" s="225" t="s">
        <v>1203</v>
      </c>
      <c r="R126" s="225" t="s">
        <v>210</v>
      </c>
      <c r="S126" s="225">
        <v>24.98</v>
      </c>
    </row>
    <row r="127" spans="1:47" x14ac:dyDescent="0.2">
      <c r="A127" s="225" t="s">
        <v>288</v>
      </c>
      <c r="B127" s="225" t="s">
        <v>1080</v>
      </c>
      <c r="C127" s="225" t="s">
        <v>35</v>
      </c>
      <c r="D127" s="226">
        <v>120440.00000000004</v>
      </c>
      <c r="E127" s="225">
        <f t="shared" si="4"/>
        <v>5.0807707468407219</v>
      </c>
      <c r="F127" s="225" t="s">
        <v>1200</v>
      </c>
      <c r="G127" s="225" t="s">
        <v>1202</v>
      </c>
      <c r="H127" s="225" t="s">
        <v>210</v>
      </c>
      <c r="I127" s="225">
        <v>24.46</v>
      </c>
      <c r="K127" s="225" t="s">
        <v>290</v>
      </c>
      <c r="L127" s="225" t="s">
        <v>1080</v>
      </c>
      <c r="M127" s="225" t="s">
        <v>36</v>
      </c>
      <c r="N127" s="226">
        <v>12044.000000000004</v>
      </c>
      <c r="O127" s="225">
        <f t="shared" si="9"/>
        <v>4.0807707468407219</v>
      </c>
      <c r="P127" s="225" t="s">
        <v>1204</v>
      </c>
      <c r="Q127" s="225" t="s">
        <v>1203</v>
      </c>
      <c r="R127" s="225" t="s">
        <v>210</v>
      </c>
      <c r="S127" s="225">
        <v>29.92</v>
      </c>
    </row>
    <row r="128" spans="1:47" x14ac:dyDescent="0.2">
      <c r="A128" s="225" t="s">
        <v>289</v>
      </c>
      <c r="B128" s="225" t="s">
        <v>981</v>
      </c>
      <c r="C128" s="225" t="s">
        <v>35</v>
      </c>
      <c r="D128" s="226">
        <v>120440.00000000004</v>
      </c>
      <c r="E128" s="225">
        <f t="shared" si="4"/>
        <v>5.0807707468407219</v>
      </c>
      <c r="F128" s="225" t="s">
        <v>1200</v>
      </c>
      <c r="G128" s="225" t="s">
        <v>1203</v>
      </c>
      <c r="H128" s="225" t="s">
        <v>809</v>
      </c>
      <c r="I128" s="225">
        <v>32.630000000000003</v>
      </c>
      <c r="K128" s="225" t="s">
        <v>302</v>
      </c>
      <c r="L128" s="225" t="s">
        <v>1080</v>
      </c>
      <c r="M128" s="225" t="s">
        <v>37</v>
      </c>
      <c r="N128" s="226">
        <v>1204.4000000000005</v>
      </c>
      <c r="O128" s="225">
        <f t="shared" si="9"/>
        <v>3.0807707468407219</v>
      </c>
      <c r="P128" s="225" t="s">
        <v>1204</v>
      </c>
      <c r="Q128" s="225" t="s">
        <v>1203</v>
      </c>
      <c r="R128" s="225" t="s">
        <v>210</v>
      </c>
      <c r="S128" s="225">
        <v>34.5</v>
      </c>
    </row>
    <row r="129" spans="1:30" x14ac:dyDescent="0.2">
      <c r="A129" s="225" t="s">
        <v>289</v>
      </c>
      <c r="B129" s="225" t="s">
        <v>1080</v>
      </c>
      <c r="C129" s="225" t="s">
        <v>35</v>
      </c>
      <c r="D129" s="226">
        <v>120440.00000000004</v>
      </c>
      <c r="E129" s="225">
        <f t="shared" si="4"/>
        <v>5.0807707468407219</v>
      </c>
      <c r="F129" s="225" t="s">
        <v>1200</v>
      </c>
      <c r="G129" s="225" t="s">
        <v>1203</v>
      </c>
      <c r="H129" s="225" t="s">
        <v>210</v>
      </c>
      <c r="I129" s="225">
        <v>24.18</v>
      </c>
      <c r="K129" s="225" t="s">
        <v>314</v>
      </c>
      <c r="L129" s="225" t="s">
        <v>1080</v>
      </c>
      <c r="M129" s="225" t="s">
        <v>915</v>
      </c>
      <c r="N129" s="225">
        <v>0</v>
      </c>
      <c r="O129" s="225" t="e">
        <f t="shared" si="9"/>
        <v>#NUM!</v>
      </c>
      <c r="P129" s="225" t="s">
        <v>1204</v>
      </c>
      <c r="Q129" s="225" t="s">
        <v>1203</v>
      </c>
      <c r="R129" s="225" t="s">
        <v>210</v>
      </c>
      <c r="S129" s="225" t="s">
        <v>220</v>
      </c>
    </row>
    <row r="130" spans="1:30" x14ac:dyDescent="0.2">
      <c r="A130" s="225" t="s">
        <v>290</v>
      </c>
      <c r="B130" s="225" t="s">
        <v>981</v>
      </c>
      <c r="C130" s="225" t="s">
        <v>36</v>
      </c>
      <c r="D130" s="226">
        <v>12044.000000000004</v>
      </c>
      <c r="E130" s="225">
        <f t="shared" si="4"/>
        <v>4.0807707468407219</v>
      </c>
      <c r="F130" s="225" t="s">
        <v>1204</v>
      </c>
      <c r="G130" s="225" t="s">
        <v>1201</v>
      </c>
      <c r="H130" s="225" t="s">
        <v>809</v>
      </c>
      <c r="I130" s="225">
        <v>30.4</v>
      </c>
      <c r="K130" s="225" t="s">
        <v>215</v>
      </c>
      <c r="L130" s="225" t="s">
        <v>1080</v>
      </c>
      <c r="M130" s="225" t="s">
        <v>31</v>
      </c>
      <c r="N130" s="226">
        <v>1204400000.0000002</v>
      </c>
      <c r="O130" s="225">
        <f t="shared" ref="O130:O161" si="20">LOG(N130)</f>
        <v>9.0807707468407219</v>
      </c>
      <c r="P130" s="225" t="s">
        <v>1204</v>
      </c>
      <c r="Q130" s="225" t="s">
        <v>1205</v>
      </c>
      <c r="R130" s="225" t="s">
        <v>210</v>
      </c>
      <c r="S130" s="225">
        <v>10.07</v>
      </c>
    </row>
    <row r="131" spans="1:30" x14ac:dyDescent="0.2">
      <c r="A131" s="225" t="s">
        <v>290</v>
      </c>
      <c r="B131" s="225" t="s">
        <v>1080</v>
      </c>
      <c r="C131" s="225" t="s">
        <v>36</v>
      </c>
      <c r="D131" s="226">
        <v>12044.000000000004</v>
      </c>
      <c r="E131" s="225">
        <f t="shared" ref="E131:E193" si="21">LOG(D131)</f>
        <v>4.0807707468407219</v>
      </c>
      <c r="F131" s="225" t="s">
        <v>1204</v>
      </c>
      <c r="G131" s="225" t="s">
        <v>1201</v>
      </c>
      <c r="H131" s="225" t="s">
        <v>210</v>
      </c>
      <c r="I131" s="225">
        <v>28.39</v>
      </c>
      <c r="K131" s="225" t="s">
        <v>238</v>
      </c>
      <c r="L131" s="225" t="s">
        <v>1080</v>
      </c>
      <c r="M131" s="225" t="s">
        <v>32</v>
      </c>
      <c r="N131" s="226">
        <v>120440000.00000003</v>
      </c>
      <c r="O131" s="225">
        <f t="shared" si="20"/>
        <v>8.0807707468407219</v>
      </c>
      <c r="P131" s="225" t="s">
        <v>1204</v>
      </c>
      <c r="Q131" s="225" t="s">
        <v>1205</v>
      </c>
      <c r="R131" s="225" t="s">
        <v>210</v>
      </c>
      <c r="S131" s="225">
        <v>14.32</v>
      </c>
    </row>
    <row r="132" spans="1:30" x14ac:dyDescent="0.2">
      <c r="A132" s="225" t="s">
        <v>291</v>
      </c>
      <c r="B132" s="225" t="s">
        <v>981</v>
      </c>
      <c r="C132" s="225" t="s">
        <v>36</v>
      </c>
      <c r="D132" s="226">
        <v>12044.000000000004</v>
      </c>
      <c r="E132" s="225">
        <f t="shared" si="21"/>
        <v>4.0807707468407219</v>
      </c>
      <c r="F132" s="225" t="s">
        <v>1204</v>
      </c>
      <c r="G132" s="225" t="s">
        <v>1202</v>
      </c>
      <c r="H132" s="225" t="s">
        <v>809</v>
      </c>
      <c r="I132" s="225">
        <v>30.56</v>
      </c>
      <c r="K132" s="225" t="s">
        <v>253</v>
      </c>
      <c r="L132" s="225" t="s">
        <v>1080</v>
      </c>
      <c r="M132" s="225" t="s">
        <v>33</v>
      </c>
      <c r="N132" s="226">
        <v>12044000.000000004</v>
      </c>
      <c r="O132" s="225">
        <f t="shared" si="20"/>
        <v>7.0807707468407219</v>
      </c>
      <c r="P132" s="225" t="s">
        <v>1204</v>
      </c>
      <c r="Q132" s="225" t="s">
        <v>1205</v>
      </c>
      <c r="R132" s="225" t="s">
        <v>210</v>
      </c>
      <c r="S132" s="225">
        <v>19.079999999999998</v>
      </c>
    </row>
    <row r="133" spans="1:30" x14ac:dyDescent="0.2">
      <c r="A133" s="225" t="s">
        <v>291</v>
      </c>
      <c r="B133" s="225" t="s">
        <v>1080</v>
      </c>
      <c r="C133" s="225" t="s">
        <v>36</v>
      </c>
      <c r="D133" s="226">
        <v>12044.000000000004</v>
      </c>
      <c r="E133" s="225">
        <f t="shared" si="21"/>
        <v>4.0807707468407219</v>
      </c>
      <c r="F133" s="225" t="s">
        <v>1204</v>
      </c>
      <c r="G133" s="225" t="s">
        <v>1202</v>
      </c>
      <c r="H133" s="225" t="s">
        <v>210</v>
      </c>
      <c r="I133" s="225">
        <v>29.6</v>
      </c>
      <c r="K133" s="225" t="s">
        <v>265</v>
      </c>
      <c r="L133" s="225" t="s">
        <v>1080</v>
      </c>
      <c r="M133" s="225" t="s">
        <v>34</v>
      </c>
      <c r="N133" s="226">
        <v>1204400.0000000005</v>
      </c>
      <c r="O133" s="225">
        <f t="shared" si="20"/>
        <v>6.0807707468407219</v>
      </c>
      <c r="P133" s="225" t="s">
        <v>1204</v>
      </c>
      <c r="Q133" s="225" t="s">
        <v>1205</v>
      </c>
      <c r="R133" s="225" t="s">
        <v>210</v>
      </c>
      <c r="S133" s="225">
        <v>22.73</v>
      </c>
    </row>
    <row r="134" spans="1:30" x14ac:dyDescent="0.2">
      <c r="A134" s="225" t="s">
        <v>292</v>
      </c>
      <c r="B134" s="225" t="s">
        <v>981</v>
      </c>
      <c r="C134" s="225" t="s">
        <v>36</v>
      </c>
      <c r="D134" s="226">
        <v>12044.000000000004</v>
      </c>
      <c r="E134" s="225">
        <f t="shared" si="21"/>
        <v>4.0807707468407219</v>
      </c>
      <c r="F134" s="225" t="s">
        <v>1204</v>
      </c>
      <c r="G134" s="225" t="s">
        <v>1203</v>
      </c>
      <c r="H134" s="225" t="s">
        <v>809</v>
      </c>
      <c r="I134" s="225">
        <v>32.67</v>
      </c>
      <c r="K134" s="225" t="s">
        <v>279</v>
      </c>
      <c r="L134" s="225" t="s">
        <v>1080</v>
      </c>
      <c r="M134" s="225" t="s">
        <v>35</v>
      </c>
      <c r="N134" s="226">
        <v>120440.00000000004</v>
      </c>
      <c r="O134" s="225">
        <f t="shared" si="20"/>
        <v>5.0807707468407219</v>
      </c>
      <c r="P134" s="225" t="s">
        <v>1204</v>
      </c>
      <c r="Q134" s="225" t="s">
        <v>1205</v>
      </c>
      <c r="R134" s="225" t="s">
        <v>210</v>
      </c>
      <c r="S134" s="225">
        <v>28.13</v>
      </c>
    </row>
    <row r="135" spans="1:30" x14ac:dyDescent="0.2">
      <c r="A135" s="225" t="s">
        <v>292</v>
      </c>
      <c r="B135" s="225" t="s">
        <v>1080</v>
      </c>
      <c r="C135" s="225" t="s">
        <v>36</v>
      </c>
      <c r="D135" s="226">
        <v>12044.000000000004</v>
      </c>
      <c r="E135" s="225">
        <f t="shared" si="21"/>
        <v>4.0807707468407219</v>
      </c>
      <c r="F135" s="225" t="s">
        <v>1204</v>
      </c>
      <c r="G135" s="225" t="s">
        <v>1203</v>
      </c>
      <c r="H135" s="225" t="s">
        <v>210</v>
      </c>
      <c r="I135" s="225">
        <v>29.92</v>
      </c>
      <c r="K135" s="225" t="s">
        <v>291</v>
      </c>
      <c r="L135" s="225" t="s">
        <v>1080</v>
      </c>
      <c r="M135" s="225" t="s">
        <v>36</v>
      </c>
      <c r="N135" s="226">
        <v>12044.000000000004</v>
      </c>
      <c r="O135" s="225">
        <f t="shared" si="20"/>
        <v>4.0807707468407219</v>
      </c>
      <c r="P135" s="225" t="s">
        <v>1204</v>
      </c>
      <c r="Q135" s="225" t="s">
        <v>1205</v>
      </c>
      <c r="R135" s="225" t="s">
        <v>210</v>
      </c>
      <c r="S135" s="225">
        <v>31.06</v>
      </c>
    </row>
    <row r="136" spans="1:30" x14ac:dyDescent="0.2">
      <c r="A136" s="225" t="s">
        <v>293</v>
      </c>
      <c r="B136" s="225" t="s">
        <v>981</v>
      </c>
      <c r="C136" s="225" t="s">
        <v>36</v>
      </c>
      <c r="D136" s="226">
        <v>12044.000000000004</v>
      </c>
      <c r="E136" s="225">
        <f t="shared" si="21"/>
        <v>4.0807707468407219</v>
      </c>
      <c r="F136" s="225" t="s">
        <v>1204</v>
      </c>
      <c r="G136" s="225" t="s">
        <v>1205</v>
      </c>
      <c r="H136" s="225" t="s">
        <v>809</v>
      </c>
      <c r="I136" s="225">
        <v>31.09</v>
      </c>
      <c r="K136" s="225" t="s">
        <v>303</v>
      </c>
      <c r="L136" s="225" t="s">
        <v>1080</v>
      </c>
      <c r="M136" s="225" t="s">
        <v>37</v>
      </c>
      <c r="N136" s="226">
        <v>1204.4000000000005</v>
      </c>
      <c r="O136" s="225">
        <f t="shared" si="20"/>
        <v>3.0807707468407219</v>
      </c>
      <c r="P136" s="225" t="s">
        <v>1204</v>
      </c>
      <c r="Q136" s="225" t="s">
        <v>1205</v>
      </c>
      <c r="R136" s="225" t="s">
        <v>210</v>
      </c>
      <c r="S136" s="225">
        <v>34.64</v>
      </c>
    </row>
    <row r="137" spans="1:30" x14ac:dyDescent="0.2">
      <c r="A137" s="225" t="s">
        <v>293</v>
      </c>
      <c r="B137" s="225" t="s">
        <v>1080</v>
      </c>
      <c r="C137" s="225" t="s">
        <v>36</v>
      </c>
      <c r="D137" s="226">
        <v>12044.000000000004</v>
      </c>
      <c r="E137" s="225">
        <f t="shared" si="21"/>
        <v>4.0807707468407219</v>
      </c>
      <c r="F137" s="225" t="s">
        <v>1204</v>
      </c>
      <c r="G137" s="225" t="s">
        <v>1205</v>
      </c>
      <c r="H137" s="225" t="s">
        <v>210</v>
      </c>
      <c r="I137" s="225">
        <v>31.06</v>
      </c>
      <c r="K137" s="225" t="s">
        <v>315</v>
      </c>
      <c r="L137" s="225" t="s">
        <v>1080</v>
      </c>
      <c r="M137" s="225" t="s">
        <v>915</v>
      </c>
      <c r="N137" s="225">
        <v>0</v>
      </c>
      <c r="O137" s="225" t="e">
        <f t="shared" si="20"/>
        <v>#NUM!</v>
      </c>
      <c r="P137" s="225" t="s">
        <v>1204</v>
      </c>
      <c r="Q137" s="225" t="s">
        <v>1205</v>
      </c>
      <c r="R137" s="225" t="s">
        <v>210</v>
      </c>
      <c r="S137" s="225" t="s">
        <v>220</v>
      </c>
    </row>
    <row r="138" spans="1:30" x14ac:dyDescent="0.2">
      <c r="A138" s="225" t="s">
        <v>294</v>
      </c>
      <c r="B138" s="225" t="s">
        <v>981</v>
      </c>
      <c r="C138" s="225" t="s">
        <v>37</v>
      </c>
      <c r="D138" s="226">
        <v>1204.4000000000005</v>
      </c>
      <c r="E138" s="225">
        <f t="shared" si="21"/>
        <v>3.0807707468407219</v>
      </c>
      <c r="F138" s="225" t="s">
        <v>1206</v>
      </c>
      <c r="G138" s="225" t="s">
        <v>1201</v>
      </c>
      <c r="H138" s="225" t="s">
        <v>809</v>
      </c>
      <c r="I138" s="225">
        <v>30.94</v>
      </c>
      <c r="K138" s="225" t="s">
        <v>216</v>
      </c>
      <c r="L138" s="225" t="s">
        <v>1080</v>
      </c>
      <c r="M138" s="225" t="s">
        <v>32</v>
      </c>
      <c r="N138" s="226">
        <v>120440000.00000003</v>
      </c>
      <c r="O138" s="225">
        <f t="shared" si="20"/>
        <v>8.0807707468407219</v>
      </c>
      <c r="P138" s="225" t="s">
        <v>1206</v>
      </c>
      <c r="Q138" s="225" t="s">
        <v>1201</v>
      </c>
      <c r="R138" s="225" t="s">
        <v>210</v>
      </c>
      <c r="S138" s="225">
        <v>18.27</v>
      </c>
      <c r="X138" s="324" t="s">
        <v>1198</v>
      </c>
      <c r="Y138" s="324"/>
      <c r="Z138" s="324"/>
      <c r="AA138" s="324"/>
    </row>
    <row r="139" spans="1:30" x14ac:dyDescent="0.2">
      <c r="A139" s="225" t="s">
        <v>294</v>
      </c>
      <c r="B139" s="225" t="s">
        <v>1080</v>
      </c>
      <c r="C139" s="225" t="s">
        <v>37</v>
      </c>
      <c r="D139" s="226">
        <v>1204.4000000000005</v>
      </c>
      <c r="E139" s="225">
        <f t="shared" si="21"/>
        <v>3.0807707468407219</v>
      </c>
      <c r="F139" s="225" t="s">
        <v>1206</v>
      </c>
      <c r="G139" s="225" t="s">
        <v>1201</v>
      </c>
      <c r="H139" s="225" t="s">
        <v>210</v>
      </c>
      <c r="I139" s="225">
        <v>31.73</v>
      </c>
      <c r="K139" s="225" t="s">
        <v>239</v>
      </c>
      <c r="L139" s="225" t="s">
        <v>1080</v>
      </c>
      <c r="M139" s="225" t="s">
        <v>33</v>
      </c>
      <c r="N139" s="226">
        <v>12044000.000000004</v>
      </c>
      <c r="O139" s="225">
        <f t="shared" si="20"/>
        <v>7.0807707468407219</v>
      </c>
      <c r="P139" s="225" t="s">
        <v>1206</v>
      </c>
      <c r="Q139" s="225" t="s">
        <v>1201</v>
      </c>
      <c r="R139" s="225" t="s">
        <v>210</v>
      </c>
      <c r="S139" s="225">
        <v>18.3</v>
      </c>
      <c r="T139" s="225" t="s">
        <v>1207</v>
      </c>
      <c r="U139" s="225" t="s">
        <v>1197</v>
      </c>
      <c r="V139" s="225" t="s">
        <v>1208</v>
      </c>
      <c r="W139" s="225" t="s">
        <v>1115</v>
      </c>
      <c r="X139" s="225" t="s">
        <v>1201</v>
      </c>
      <c r="Y139" s="225" t="s">
        <v>1202</v>
      </c>
      <c r="Z139" s="225" t="s">
        <v>1203</v>
      </c>
      <c r="AB139" s="225" t="s">
        <v>1209</v>
      </c>
      <c r="AC139" s="225" t="s">
        <v>1210</v>
      </c>
      <c r="AD139" s="225" t="s">
        <v>1211</v>
      </c>
    </row>
    <row r="140" spans="1:30" x14ac:dyDescent="0.2">
      <c r="A140" s="225" t="s">
        <v>295</v>
      </c>
      <c r="B140" s="225" t="s">
        <v>981</v>
      </c>
      <c r="C140" s="225" t="s">
        <v>37</v>
      </c>
      <c r="D140" s="226">
        <v>1204.4000000000005</v>
      </c>
      <c r="E140" s="225">
        <f t="shared" si="21"/>
        <v>3.0807707468407219</v>
      </c>
      <c r="F140" s="225" t="s">
        <v>1206</v>
      </c>
      <c r="G140" s="225" t="s">
        <v>1202</v>
      </c>
      <c r="H140" s="225" t="s">
        <v>809</v>
      </c>
      <c r="I140" s="225">
        <v>30.36</v>
      </c>
      <c r="K140" s="225" t="s">
        <v>254</v>
      </c>
      <c r="L140" s="225" t="s">
        <v>1080</v>
      </c>
      <c r="M140" s="225" t="s">
        <v>34</v>
      </c>
      <c r="N140" s="226">
        <v>1204400.0000000005</v>
      </c>
      <c r="O140" s="225">
        <f t="shared" si="20"/>
        <v>6.0807707468407219</v>
      </c>
      <c r="P140" s="225" t="s">
        <v>1206</v>
      </c>
      <c r="Q140" s="225" t="s">
        <v>1201</v>
      </c>
      <c r="R140" s="225" t="s">
        <v>210</v>
      </c>
      <c r="S140" s="225">
        <v>21.87</v>
      </c>
      <c r="T140" s="225" t="s">
        <v>32</v>
      </c>
      <c r="U140" s="225" t="s">
        <v>1206</v>
      </c>
      <c r="V140" s="226">
        <v>120440000.00000003</v>
      </c>
      <c r="W140" s="225">
        <f>LOG(V140)</f>
        <v>8.0807707468407219</v>
      </c>
      <c r="X140" s="225">
        <v>18.27</v>
      </c>
      <c r="Y140" s="225">
        <v>14.01</v>
      </c>
      <c r="Z140" s="225">
        <v>17.09</v>
      </c>
      <c r="AB140" s="225">
        <f>AVERAGE(X140:AA140)</f>
        <v>16.456666666666667</v>
      </c>
      <c r="AC140" s="225">
        <f>STDEV(X140:AA140)</f>
        <v>2.1994847881568158</v>
      </c>
      <c r="AD140" s="225">
        <f>2*AC140</f>
        <v>4.3989695763136316</v>
      </c>
    </row>
    <row r="141" spans="1:30" x14ac:dyDescent="0.2">
      <c r="A141" s="225" t="s">
        <v>295</v>
      </c>
      <c r="B141" s="225" t="s">
        <v>1080</v>
      </c>
      <c r="C141" s="225" t="s">
        <v>37</v>
      </c>
      <c r="D141" s="226">
        <v>1204.4000000000005</v>
      </c>
      <c r="E141" s="225">
        <f t="shared" si="21"/>
        <v>3.0807707468407219</v>
      </c>
      <c r="F141" s="225" t="s">
        <v>1206</v>
      </c>
      <c r="G141" s="225" t="s">
        <v>1202</v>
      </c>
      <c r="H141" s="225" t="s">
        <v>210</v>
      </c>
      <c r="I141" s="225">
        <v>31.48</v>
      </c>
      <c r="K141" s="225" t="s">
        <v>266</v>
      </c>
      <c r="L141" s="225" t="s">
        <v>1080</v>
      </c>
      <c r="M141" s="225" t="s">
        <v>35</v>
      </c>
      <c r="N141" s="226">
        <v>120440.00000000004</v>
      </c>
      <c r="O141" s="225">
        <f t="shared" si="20"/>
        <v>5.0807707468407219</v>
      </c>
      <c r="P141" s="225" t="s">
        <v>1206</v>
      </c>
      <c r="Q141" s="225" t="s">
        <v>1201</v>
      </c>
      <c r="R141" s="225" t="s">
        <v>210</v>
      </c>
      <c r="S141" s="225">
        <v>24.85</v>
      </c>
      <c r="T141" s="225" t="s">
        <v>33</v>
      </c>
      <c r="U141" s="225" t="s">
        <v>1206</v>
      </c>
      <c r="V141" s="226">
        <v>12044000.000000004</v>
      </c>
      <c r="W141" s="225">
        <f t="shared" ref="W141:W146" si="22">LOG(V141)</f>
        <v>7.0807707468407219</v>
      </c>
      <c r="X141" s="225">
        <v>18.3</v>
      </c>
      <c r="Y141" s="225">
        <v>17.260000000000002</v>
      </c>
      <c r="Z141" s="225">
        <v>19.43</v>
      </c>
      <c r="AB141" s="225">
        <f t="shared" ref="AB141:AB146" si="23">AVERAGE(X141:AA141)</f>
        <v>18.330000000000002</v>
      </c>
      <c r="AC141" s="225">
        <f t="shared" ref="AC141:AC146" si="24">STDEV(X141:AA141)</f>
        <v>1.0853110153315491</v>
      </c>
      <c r="AD141" s="225">
        <f t="shared" ref="AD141:AD146" si="25">2*AC141</f>
        <v>2.1706220306630981</v>
      </c>
    </row>
    <row r="142" spans="1:30" x14ac:dyDescent="0.2">
      <c r="A142" s="225" t="s">
        <v>296</v>
      </c>
      <c r="B142" s="225" t="s">
        <v>981</v>
      </c>
      <c r="C142" s="225" t="s">
        <v>37</v>
      </c>
      <c r="D142" s="226">
        <v>1204.4000000000005</v>
      </c>
      <c r="E142" s="225">
        <f t="shared" si="21"/>
        <v>3.0807707468407219</v>
      </c>
      <c r="F142" s="225" t="s">
        <v>1206</v>
      </c>
      <c r="G142" s="225" t="s">
        <v>1203</v>
      </c>
      <c r="H142" s="225" t="s">
        <v>809</v>
      </c>
      <c r="I142" s="225">
        <v>31.28</v>
      </c>
      <c r="K142" s="225" t="s">
        <v>280</v>
      </c>
      <c r="L142" s="225" t="s">
        <v>1080</v>
      </c>
      <c r="M142" s="225" t="s">
        <v>36</v>
      </c>
      <c r="N142" s="226">
        <v>12044.000000000004</v>
      </c>
      <c r="O142" s="225">
        <f t="shared" si="20"/>
        <v>4.0807707468407219</v>
      </c>
      <c r="P142" s="225" t="s">
        <v>1206</v>
      </c>
      <c r="Q142" s="225" t="s">
        <v>1201</v>
      </c>
      <c r="R142" s="225" t="s">
        <v>210</v>
      </c>
      <c r="S142" s="225">
        <v>28.77</v>
      </c>
      <c r="T142" s="225" t="s">
        <v>34</v>
      </c>
      <c r="U142" s="225" t="s">
        <v>1206</v>
      </c>
      <c r="V142" s="226">
        <v>1204400.0000000005</v>
      </c>
      <c r="W142" s="225">
        <f t="shared" si="22"/>
        <v>6.0807707468407219</v>
      </c>
      <c r="X142" s="225">
        <v>21.87</v>
      </c>
      <c r="Y142" s="225">
        <v>20.7</v>
      </c>
      <c r="Z142" s="225">
        <v>21.93</v>
      </c>
      <c r="AB142" s="225">
        <f t="shared" si="23"/>
        <v>21.5</v>
      </c>
      <c r="AC142" s="225">
        <f t="shared" si="24"/>
        <v>0.69346953790343291</v>
      </c>
      <c r="AD142" s="225">
        <f t="shared" si="25"/>
        <v>1.3869390758068658</v>
      </c>
    </row>
    <row r="143" spans="1:30" x14ac:dyDescent="0.2">
      <c r="A143" s="225" t="s">
        <v>296</v>
      </c>
      <c r="B143" s="225" t="s">
        <v>1080</v>
      </c>
      <c r="C143" s="225" t="s">
        <v>37</v>
      </c>
      <c r="D143" s="226">
        <v>1204.4000000000005</v>
      </c>
      <c r="E143" s="225">
        <f t="shared" si="21"/>
        <v>3.0807707468407219</v>
      </c>
      <c r="F143" s="225" t="s">
        <v>1206</v>
      </c>
      <c r="G143" s="225" t="s">
        <v>1203</v>
      </c>
      <c r="H143" s="225" t="s">
        <v>210</v>
      </c>
      <c r="I143" s="225">
        <v>31.76</v>
      </c>
      <c r="K143" s="225" t="s">
        <v>292</v>
      </c>
      <c r="L143" s="225" t="s">
        <v>1080</v>
      </c>
      <c r="M143" s="225" t="s">
        <v>37</v>
      </c>
      <c r="N143" s="226">
        <v>1204.4000000000005</v>
      </c>
      <c r="O143" s="225">
        <f t="shared" si="20"/>
        <v>3.0807707468407219</v>
      </c>
      <c r="P143" s="225" t="s">
        <v>1206</v>
      </c>
      <c r="Q143" s="225" t="s">
        <v>1201</v>
      </c>
      <c r="R143" s="225" t="s">
        <v>210</v>
      </c>
      <c r="S143" s="225">
        <v>31.73</v>
      </c>
      <c r="T143" s="225" t="s">
        <v>35</v>
      </c>
      <c r="U143" s="225" t="s">
        <v>1206</v>
      </c>
      <c r="V143" s="226">
        <v>120440.00000000004</v>
      </c>
      <c r="W143" s="225">
        <f t="shared" si="22"/>
        <v>5.0807707468407219</v>
      </c>
      <c r="X143" s="225">
        <v>24.85</v>
      </c>
      <c r="Y143" s="225">
        <v>24.71</v>
      </c>
      <c r="Z143" s="225">
        <v>24.11</v>
      </c>
      <c r="AB143" s="225">
        <f t="shared" si="23"/>
        <v>24.556666666666668</v>
      </c>
      <c r="AC143" s="225">
        <f t="shared" si="24"/>
        <v>0.39310727967481618</v>
      </c>
      <c r="AD143" s="225">
        <f t="shared" si="25"/>
        <v>0.78621455934963236</v>
      </c>
    </row>
    <row r="144" spans="1:30" x14ac:dyDescent="0.2">
      <c r="A144" s="225" t="s">
        <v>297</v>
      </c>
      <c r="B144" s="225" t="s">
        <v>981</v>
      </c>
      <c r="C144" s="225" t="s">
        <v>1199</v>
      </c>
      <c r="D144" s="225" t="s">
        <v>1199</v>
      </c>
      <c r="E144" s="225" t="e">
        <f t="shared" si="21"/>
        <v>#VALUE!</v>
      </c>
      <c r="F144" s="225" t="s">
        <v>1199</v>
      </c>
      <c r="G144" s="225" t="s">
        <v>1199</v>
      </c>
      <c r="H144" s="225" t="s">
        <v>809</v>
      </c>
      <c r="I144" s="225" t="s">
        <v>220</v>
      </c>
      <c r="K144" s="225" t="s">
        <v>304</v>
      </c>
      <c r="L144" s="225" t="s">
        <v>1080</v>
      </c>
      <c r="M144" s="225" t="s">
        <v>38</v>
      </c>
      <c r="N144" s="226">
        <v>120.44000000000004</v>
      </c>
      <c r="O144" s="225">
        <f t="shared" si="20"/>
        <v>2.0807707468407219</v>
      </c>
      <c r="P144" s="225" t="s">
        <v>1206</v>
      </c>
      <c r="Q144" s="225" t="s">
        <v>1201</v>
      </c>
      <c r="R144" s="225" t="s">
        <v>210</v>
      </c>
      <c r="S144" s="225">
        <v>32.69</v>
      </c>
      <c r="T144" s="225" t="s">
        <v>36</v>
      </c>
      <c r="U144" s="225" t="s">
        <v>1206</v>
      </c>
      <c r="V144" s="226">
        <v>12044.000000000004</v>
      </c>
      <c r="W144" s="225">
        <f t="shared" si="22"/>
        <v>4.0807707468407219</v>
      </c>
      <c r="X144" s="225">
        <v>28.77</v>
      </c>
      <c r="Y144" s="225">
        <v>28.17</v>
      </c>
      <c r="Z144" s="225">
        <v>28.99</v>
      </c>
      <c r="AB144" s="225">
        <f t="shared" si="23"/>
        <v>28.643333333333331</v>
      </c>
      <c r="AC144" s="225">
        <f t="shared" si="24"/>
        <v>0.42442117446391847</v>
      </c>
      <c r="AD144" s="225">
        <f t="shared" si="25"/>
        <v>0.84884234892783694</v>
      </c>
    </row>
    <row r="145" spans="1:30" x14ac:dyDescent="0.2">
      <c r="A145" s="225" t="s">
        <v>297</v>
      </c>
      <c r="B145" s="225" t="s">
        <v>1080</v>
      </c>
      <c r="C145" s="225" t="s">
        <v>1199</v>
      </c>
      <c r="D145" s="225" t="s">
        <v>1199</v>
      </c>
      <c r="E145" s="225" t="e">
        <f t="shared" si="21"/>
        <v>#VALUE!</v>
      </c>
      <c r="F145" s="225" t="s">
        <v>1199</v>
      </c>
      <c r="G145" s="225" t="s">
        <v>1199</v>
      </c>
      <c r="H145" s="225" t="s">
        <v>210</v>
      </c>
      <c r="I145" s="225" t="s">
        <v>220</v>
      </c>
      <c r="K145" s="225" t="s">
        <v>316</v>
      </c>
      <c r="L145" s="225" t="s">
        <v>1080</v>
      </c>
      <c r="M145" s="225" t="s">
        <v>915</v>
      </c>
      <c r="N145" s="225">
        <v>0</v>
      </c>
      <c r="O145" s="225" t="e">
        <f t="shared" si="20"/>
        <v>#NUM!</v>
      </c>
      <c r="P145" s="225" t="s">
        <v>1206</v>
      </c>
      <c r="Q145" s="225" t="s">
        <v>1201</v>
      </c>
      <c r="R145" s="225" t="s">
        <v>210</v>
      </c>
      <c r="S145" s="225">
        <v>39.78</v>
      </c>
      <c r="T145" s="225" t="s">
        <v>37</v>
      </c>
      <c r="U145" s="225" t="s">
        <v>1206</v>
      </c>
      <c r="V145" s="226">
        <v>1204.4000000000005</v>
      </c>
      <c r="W145" s="225">
        <f t="shared" si="22"/>
        <v>3.0807707468407219</v>
      </c>
      <c r="X145" s="225">
        <v>31.73</v>
      </c>
      <c r="Y145" s="225">
        <v>31.48</v>
      </c>
      <c r="Z145" s="225">
        <v>31.76</v>
      </c>
      <c r="AB145" s="225">
        <f t="shared" si="23"/>
        <v>31.656666666666666</v>
      </c>
      <c r="AC145" s="225">
        <f t="shared" si="24"/>
        <v>0.15373136743466978</v>
      </c>
      <c r="AD145" s="225">
        <f t="shared" si="25"/>
        <v>0.30746273486933956</v>
      </c>
    </row>
    <row r="146" spans="1:30" x14ac:dyDescent="0.2">
      <c r="A146" s="225" t="s">
        <v>298</v>
      </c>
      <c r="B146" s="225" t="s">
        <v>981</v>
      </c>
      <c r="C146" s="225" t="s">
        <v>1199</v>
      </c>
      <c r="D146" s="225" t="s">
        <v>1199</v>
      </c>
      <c r="E146" s="225" t="e">
        <f t="shared" si="21"/>
        <v>#VALUE!</v>
      </c>
      <c r="F146" s="225" t="s">
        <v>1199</v>
      </c>
      <c r="G146" s="225" t="s">
        <v>1199</v>
      </c>
      <c r="H146" s="225" t="s">
        <v>809</v>
      </c>
      <c r="I146" s="225" t="s">
        <v>220</v>
      </c>
      <c r="K146" s="225" t="s">
        <v>217</v>
      </c>
      <c r="L146" s="225" t="s">
        <v>1080</v>
      </c>
      <c r="M146" s="225" t="s">
        <v>32</v>
      </c>
      <c r="N146" s="226">
        <v>120440000.00000003</v>
      </c>
      <c r="O146" s="225">
        <f t="shared" si="20"/>
        <v>8.0807707468407219</v>
      </c>
      <c r="P146" s="225" t="s">
        <v>1206</v>
      </c>
      <c r="Q146" s="225" t="s">
        <v>1202</v>
      </c>
      <c r="R146" s="225" t="s">
        <v>210</v>
      </c>
      <c r="S146" s="225">
        <v>14.01</v>
      </c>
      <c r="T146" s="225" t="s">
        <v>38</v>
      </c>
      <c r="U146" s="225" t="s">
        <v>1206</v>
      </c>
      <c r="V146" s="226">
        <v>120.44000000000004</v>
      </c>
      <c r="W146" s="225">
        <f t="shared" si="22"/>
        <v>2.0807707468407219</v>
      </c>
      <c r="X146" s="225">
        <v>32.69</v>
      </c>
      <c r="Y146" s="225">
        <v>33.01</v>
      </c>
      <c r="Z146" s="225">
        <v>33.880000000000003</v>
      </c>
      <c r="AB146" s="225">
        <f t="shared" si="23"/>
        <v>33.193333333333328</v>
      </c>
      <c r="AC146" s="225">
        <f t="shared" si="24"/>
        <v>0.61581923754729895</v>
      </c>
      <c r="AD146" s="225">
        <f t="shared" si="25"/>
        <v>1.2316384750945979</v>
      </c>
    </row>
    <row r="147" spans="1:30" x14ac:dyDescent="0.2">
      <c r="A147" s="225" t="s">
        <v>298</v>
      </c>
      <c r="B147" s="225" t="s">
        <v>1080</v>
      </c>
      <c r="C147" s="225" t="s">
        <v>1199</v>
      </c>
      <c r="D147" s="225" t="s">
        <v>1199</v>
      </c>
      <c r="E147" s="225" t="e">
        <f t="shared" si="21"/>
        <v>#VALUE!</v>
      </c>
      <c r="F147" s="225" t="s">
        <v>1199</v>
      </c>
      <c r="G147" s="225" t="s">
        <v>1199</v>
      </c>
      <c r="H147" s="225" t="s">
        <v>210</v>
      </c>
      <c r="I147" s="225" t="s">
        <v>220</v>
      </c>
      <c r="K147" s="225" t="s">
        <v>242</v>
      </c>
      <c r="L147" s="225" t="s">
        <v>1080</v>
      </c>
      <c r="M147" s="225" t="s">
        <v>33</v>
      </c>
      <c r="N147" s="226">
        <v>12044000.000000004</v>
      </c>
      <c r="O147" s="225">
        <f t="shared" si="20"/>
        <v>7.0807707468407219</v>
      </c>
      <c r="P147" s="225" t="s">
        <v>1206</v>
      </c>
      <c r="Q147" s="225" t="s">
        <v>1202</v>
      </c>
      <c r="R147" s="225" t="s">
        <v>210</v>
      </c>
      <c r="S147" s="225">
        <v>17.260000000000002</v>
      </c>
      <c r="V147" s="226"/>
      <c r="X147" s="225" t="s">
        <v>220</v>
      </c>
      <c r="Y147" s="225" t="s">
        <v>220</v>
      </c>
      <c r="Z147" s="225" t="s">
        <v>220</v>
      </c>
      <c r="AA147" s="225" t="s">
        <v>220</v>
      </c>
    </row>
    <row r="148" spans="1:30" x14ac:dyDescent="0.2">
      <c r="A148" s="225" t="s">
        <v>299</v>
      </c>
      <c r="B148" s="225" t="s">
        <v>981</v>
      </c>
      <c r="C148" s="225" t="s">
        <v>36</v>
      </c>
      <c r="D148" s="226">
        <v>12044.000000000004</v>
      </c>
      <c r="E148" s="225">
        <f t="shared" si="21"/>
        <v>4.0807707468407219</v>
      </c>
      <c r="F148" s="225" t="s">
        <v>1200</v>
      </c>
      <c r="G148" s="225" t="s">
        <v>1201</v>
      </c>
      <c r="H148" s="225" t="s">
        <v>809</v>
      </c>
      <c r="I148" s="225">
        <v>35.26</v>
      </c>
      <c r="K148" s="225" t="s">
        <v>255</v>
      </c>
      <c r="L148" s="225" t="s">
        <v>1080</v>
      </c>
      <c r="M148" s="225" t="s">
        <v>34</v>
      </c>
      <c r="N148" s="226">
        <v>1204400.0000000005</v>
      </c>
      <c r="O148" s="225">
        <f t="shared" si="20"/>
        <v>6.0807707468407219</v>
      </c>
      <c r="P148" s="225" t="s">
        <v>1206</v>
      </c>
      <c r="Q148" s="225" t="s">
        <v>1202</v>
      </c>
      <c r="R148" s="225" t="s">
        <v>210</v>
      </c>
      <c r="S148" s="225">
        <v>20.7</v>
      </c>
    </row>
    <row r="149" spans="1:30" x14ac:dyDescent="0.2">
      <c r="A149" s="225" t="s">
        <v>299</v>
      </c>
      <c r="B149" s="225" t="s">
        <v>1080</v>
      </c>
      <c r="C149" s="225" t="s">
        <v>36</v>
      </c>
      <c r="D149" s="226">
        <v>12044.000000000004</v>
      </c>
      <c r="E149" s="225">
        <f t="shared" si="21"/>
        <v>4.0807707468407219</v>
      </c>
      <c r="F149" s="225" t="s">
        <v>1200</v>
      </c>
      <c r="G149" s="225" t="s">
        <v>1201</v>
      </c>
      <c r="H149" s="225" t="s">
        <v>210</v>
      </c>
      <c r="I149" s="225">
        <v>29.08</v>
      </c>
      <c r="K149" s="225" t="s">
        <v>267</v>
      </c>
      <c r="L149" s="225" t="s">
        <v>1080</v>
      </c>
      <c r="M149" s="225" t="s">
        <v>35</v>
      </c>
      <c r="N149" s="226">
        <v>120440.00000000004</v>
      </c>
      <c r="O149" s="225">
        <f t="shared" si="20"/>
        <v>5.0807707468407219</v>
      </c>
      <c r="P149" s="225" t="s">
        <v>1206</v>
      </c>
      <c r="Q149" s="225" t="s">
        <v>1202</v>
      </c>
      <c r="R149" s="225" t="s">
        <v>210</v>
      </c>
      <c r="S149" s="225">
        <v>24.71</v>
      </c>
    </row>
    <row r="150" spans="1:30" x14ac:dyDescent="0.2">
      <c r="A150" s="225" t="s">
        <v>300</v>
      </c>
      <c r="B150" s="225" t="s">
        <v>981</v>
      </c>
      <c r="C150" s="225" t="s">
        <v>36</v>
      </c>
      <c r="D150" s="226">
        <v>12044.000000000004</v>
      </c>
      <c r="E150" s="225">
        <f t="shared" si="21"/>
        <v>4.0807707468407219</v>
      </c>
      <c r="F150" s="225" t="s">
        <v>1200</v>
      </c>
      <c r="G150" s="225" t="s">
        <v>1202</v>
      </c>
      <c r="H150" s="225" t="s">
        <v>809</v>
      </c>
      <c r="I150" s="225">
        <v>31.95</v>
      </c>
      <c r="K150" s="225" t="s">
        <v>281</v>
      </c>
      <c r="L150" s="225" t="s">
        <v>1080</v>
      </c>
      <c r="M150" s="225" t="s">
        <v>36</v>
      </c>
      <c r="N150" s="226">
        <v>12044.000000000004</v>
      </c>
      <c r="O150" s="225">
        <f t="shared" si="20"/>
        <v>4.0807707468407219</v>
      </c>
      <c r="P150" s="225" t="s">
        <v>1206</v>
      </c>
      <c r="Q150" s="225" t="s">
        <v>1202</v>
      </c>
      <c r="R150" s="225" t="s">
        <v>210</v>
      </c>
      <c r="S150" s="225">
        <v>28.17</v>
      </c>
    </row>
    <row r="151" spans="1:30" x14ac:dyDescent="0.2">
      <c r="A151" s="225" t="s">
        <v>300</v>
      </c>
      <c r="B151" s="225" t="s">
        <v>1080</v>
      </c>
      <c r="C151" s="225" t="s">
        <v>36</v>
      </c>
      <c r="D151" s="226">
        <v>12044.000000000004</v>
      </c>
      <c r="E151" s="225">
        <f t="shared" si="21"/>
        <v>4.0807707468407219</v>
      </c>
      <c r="F151" s="225" t="s">
        <v>1200</v>
      </c>
      <c r="G151" s="225" t="s">
        <v>1202</v>
      </c>
      <c r="H151" s="225" t="s">
        <v>210</v>
      </c>
      <c r="I151" s="225">
        <v>28.12</v>
      </c>
      <c r="K151" s="225" t="s">
        <v>293</v>
      </c>
      <c r="L151" s="225" t="s">
        <v>1080</v>
      </c>
      <c r="M151" s="225" t="s">
        <v>37</v>
      </c>
      <c r="N151" s="226">
        <v>1204.4000000000005</v>
      </c>
      <c r="O151" s="225">
        <f t="shared" si="20"/>
        <v>3.0807707468407219</v>
      </c>
      <c r="P151" s="225" t="s">
        <v>1206</v>
      </c>
      <c r="Q151" s="225" t="s">
        <v>1202</v>
      </c>
      <c r="R151" s="225" t="s">
        <v>210</v>
      </c>
      <c r="S151" s="225">
        <v>31.48</v>
      </c>
    </row>
    <row r="152" spans="1:30" x14ac:dyDescent="0.2">
      <c r="A152" s="225" t="s">
        <v>301</v>
      </c>
      <c r="B152" s="225" t="s">
        <v>981</v>
      </c>
      <c r="C152" s="225" t="s">
        <v>36</v>
      </c>
      <c r="D152" s="226">
        <v>12044.000000000004</v>
      </c>
      <c r="E152" s="225">
        <f t="shared" si="21"/>
        <v>4.0807707468407219</v>
      </c>
      <c r="F152" s="225" t="s">
        <v>1200</v>
      </c>
      <c r="G152" s="225" t="s">
        <v>1203</v>
      </c>
      <c r="H152" s="225" t="s">
        <v>809</v>
      </c>
      <c r="I152" s="225">
        <v>33.49</v>
      </c>
      <c r="K152" s="225" t="s">
        <v>305</v>
      </c>
      <c r="L152" s="225" t="s">
        <v>1080</v>
      </c>
      <c r="M152" s="225" t="s">
        <v>38</v>
      </c>
      <c r="N152" s="226">
        <v>120.44000000000004</v>
      </c>
      <c r="O152" s="225">
        <f t="shared" si="20"/>
        <v>2.0807707468407219</v>
      </c>
      <c r="P152" s="225" t="s">
        <v>1206</v>
      </c>
      <c r="Q152" s="225" t="s">
        <v>1202</v>
      </c>
      <c r="R152" s="225" t="s">
        <v>210</v>
      </c>
      <c r="S152" s="225">
        <v>33.01</v>
      </c>
    </row>
    <row r="153" spans="1:30" x14ac:dyDescent="0.2">
      <c r="A153" s="225" t="s">
        <v>301</v>
      </c>
      <c r="B153" s="225" t="s">
        <v>1080</v>
      </c>
      <c r="C153" s="225" t="s">
        <v>36</v>
      </c>
      <c r="D153" s="226">
        <v>12044.000000000004</v>
      </c>
      <c r="E153" s="225">
        <f t="shared" si="21"/>
        <v>4.0807707468407219</v>
      </c>
      <c r="F153" s="225" t="s">
        <v>1200</v>
      </c>
      <c r="G153" s="225" t="s">
        <v>1203</v>
      </c>
      <c r="H153" s="225" t="s">
        <v>210</v>
      </c>
      <c r="I153" s="225">
        <v>29.38</v>
      </c>
      <c r="K153" s="225" t="s">
        <v>317</v>
      </c>
      <c r="L153" s="225" t="s">
        <v>1080</v>
      </c>
      <c r="M153" s="225" t="s">
        <v>915</v>
      </c>
      <c r="N153" s="225">
        <v>0</v>
      </c>
      <c r="O153" s="225" t="e">
        <f t="shared" si="20"/>
        <v>#NUM!</v>
      </c>
      <c r="P153" s="225" t="s">
        <v>1206</v>
      </c>
      <c r="Q153" s="225" t="s">
        <v>1202</v>
      </c>
      <c r="R153" s="225" t="s">
        <v>210</v>
      </c>
      <c r="S153" s="225">
        <v>37.369999999999997</v>
      </c>
    </row>
    <row r="154" spans="1:30" x14ac:dyDescent="0.2">
      <c r="A154" s="225" t="s">
        <v>302</v>
      </c>
      <c r="B154" s="225" t="s">
        <v>981</v>
      </c>
      <c r="C154" s="225" t="s">
        <v>37</v>
      </c>
      <c r="D154" s="226">
        <v>1204.4000000000005</v>
      </c>
      <c r="E154" s="225">
        <f t="shared" si="21"/>
        <v>3.0807707468407219</v>
      </c>
      <c r="F154" s="225" t="s">
        <v>1204</v>
      </c>
      <c r="G154" s="225" t="s">
        <v>1201</v>
      </c>
      <c r="H154" s="225" t="s">
        <v>809</v>
      </c>
      <c r="I154" s="225">
        <v>30.52</v>
      </c>
      <c r="K154" s="225" t="s">
        <v>218</v>
      </c>
      <c r="L154" s="225" t="s">
        <v>1080</v>
      </c>
      <c r="M154" s="225" t="s">
        <v>32</v>
      </c>
      <c r="N154" s="226">
        <v>120440000.00000003</v>
      </c>
      <c r="O154" s="225">
        <f t="shared" si="20"/>
        <v>8.0807707468407219</v>
      </c>
      <c r="P154" s="225" t="s">
        <v>1206</v>
      </c>
      <c r="Q154" s="225" t="s">
        <v>1203</v>
      </c>
      <c r="R154" s="225" t="s">
        <v>210</v>
      </c>
      <c r="S154" s="225">
        <v>17.09</v>
      </c>
    </row>
    <row r="155" spans="1:30" x14ac:dyDescent="0.2">
      <c r="A155" s="225" t="s">
        <v>302</v>
      </c>
      <c r="B155" s="225" t="s">
        <v>1080</v>
      </c>
      <c r="C155" s="225" t="s">
        <v>37</v>
      </c>
      <c r="D155" s="226">
        <v>1204.4000000000005</v>
      </c>
      <c r="E155" s="225">
        <f t="shared" si="21"/>
        <v>3.0807707468407219</v>
      </c>
      <c r="F155" s="225" t="s">
        <v>1204</v>
      </c>
      <c r="G155" s="225" t="s">
        <v>1201</v>
      </c>
      <c r="H155" s="225" t="s">
        <v>210</v>
      </c>
      <c r="I155" s="225">
        <v>33.369999999999997</v>
      </c>
      <c r="K155" s="225" t="s">
        <v>243</v>
      </c>
      <c r="L155" s="225" t="s">
        <v>1080</v>
      </c>
      <c r="M155" s="225" t="s">
        <v>33</v>
      </c>
      <c r="N155" s="226">
        <v>12044000.000000004</v>
      </c>
      <c r="O155" s="225">
        <f t="shared" si="20"/>
        <v>7.0807707468407219</v>
      </c>
      <c r="P155" s="225" t="s">
        <v>1206</v>
      </c>
      <c r="Q155" s="225" t="s">
        <v>1203</v>
      </c>
      <c r="R155" s="225" t="s">
        <v>210</v>
      </c>
      <c r="S155" s="225">
        <v>19.43</v>
      </c>
    </row>
    <row r="156" spans="1:30" x14ac:dyDescent="0.2">
      <c r="A156" s="225" t="s">
        <v>303</v>
      </c>
      <c r="B156" s="225" t="s">
        <v>981</v>
      </c>
      <c r="C156" s="225" t="s">
        <v>37</v>
      </c>
      <c r="D156" s="226">
        <v>1204.4000000000005</v>
      </c>
      <c r="E156" s="225">
        <f t="shared" si="21"/>
        <v>3.0807707468407219</v>
      </c>
      <c r="F156" s="225" t="s">
        <v>1204</v>
      </c>
      <c r="G156" s="225" t="s">
        <v>1202</v>
      </c>
      <c r="H156" s="225" t="s">
        <v>809</v>
      </c>
      <c r="I156" s="225">
        <v>30.89</v>
      </c>
      <c r="K156" s="225" t="s">
        <v>256</v>
      </c>
      <c r="L156" s="225" t="s">
        <v>1080</v>
      </c>
      <c r="M156" s="225" t="s">
        <v>34</v>
      </c>
      <c r="N156" s="226">
        <v>1204400.0000000005</v>
      </c>
      <c r="O156" s="225">
        <f t="shared" si="20"/>
        <v>6.0807707468407219</v>
      </c>
      <c r="P156" s="225" t="s">
        <v>1206</v>
      </c>
      <c r="Q156" s="225" t="s">
        <v>1203</v>
      </c>
      <c r="R156" s="225" t="s">
        <v>210</v>
      </c>
      <c r="S156" s="225">
        <v>21.93</v>
      </c>
    </row>
    <row r="157" spans="1:30" x14ac:dyDescent="0.2">
      <c r="A157" s="225" t="s">
        <v>303</v>
      </c>
      <c r="B157" s="225" t="s">
        <v>1080</v>
      </c>
      <c r="C157" s="225" t="s">
        <v>37</v>
      </c>
      <c r="D157" s="226">
        <v>1204.4000000000005</v>
      </c>
      <c r="E157" s="225">
        <f t="shared" si="21"/>
        <v>3.0807707468407219</v>
      </c>
      <c r="F157" s="225" t="s">
        <v>1204</v>
      </c>
      <c r="G157" s="225" t="s">
        <v>1202</v>
      </c>
      <c r="H157" s="225" t="s">
        <v>210</v>
      </c>
      <c r="I157" s="225">
        <v>33.909999999999997</v>
      </c>
      <c r="K157" s="225" t="s">
        <v>268</v>
      </c>
      <c r="L157" s="225" t="s">
        <v>1080</v>
      </c>
      <c r="M157" s="225" t="s">
        <v>35</v>
      </c>
      <c r="N157" s="226">
        <v>120440.00000000004</v>
      </c>
      <c r="O157" s="225">
        <f t="shared" si="20"/>
        <v>5.0807707468407219</v>
      </c>
      <c r="P157" s="225" t="s">
        <v>1206</v>
      </c>
      <c r="Q157" s="225" t="s">
        <v>1203</v>
      </c>
      <c r="R157" s="225" t="s">
        <v>210</v>
      </c>
      <c r="S157" s="225">
        <v>24.11</v>
      </c>
    </row>
    <row r="158" spans="1:30" x14ac:dyDescent="0.2">
      <c r="A158" s="225" t="s">
        <v>304</v>
      </c>
      <c r="B158" s="225" t="s">
        <v>981</v>
      </c>
      <c r="C158" s="225" t="s">
        <v>37</v>
      </c>
      <c r="D158" s="226">
        <v>1204.4000000000005</v>
      </c>
      <c r="E158" s="225">
        <f t="shared" si="21"/>
        <v>3.0807707468407219</v>
      </c>
      <c r="F158" s="225" t="s">
        <v>1204</v>
      </c>
      <c r="G158" s="225" t="s">
        <v>1203</v>
      </c>
      <c r="H158" s="225" t="s">
        <v>809</v>
      </c>
      <c r="I158" s="225">
        <v>30.15</v>
      </c>
      <c r="K158" s="225" t="s">
        <v>282</v>
      </c>
      <c r="L158" s="225" t="s">
        <v>1080</v>
      </c>
      <c r="M158" s="225" t="s">
        <v>36</v>
      </c>
      <c r="N158" s="226">
        <v>12044.000000000004</v>
      </c>
      <c r="O158" s="225">
        <f t="shared" si="20"/>
        <v>4.0807707468407219</v>
      </c>
      <c r="P158" s="225" t="s">
        <v>1206</v>
      </c>
      <c r="Q158" s="225" t="s">
        <v>1203</v>
      </c>
      <c r="R158" s="225" t="s">
        <v>210</v>
      </c>
      <c r="S158" s="225">
        <v>28.99</v>
      </c>
    </row>
    <row r="159" spans="1:30" x14ac:dyDescent="0.2">
      <c r="A159" s="225" t="s">
        <v>304</v>
      </c>
      <c r="B159" s="225" t="s">
        <v>1080</v>
      </c>
      <c r="C159" s="225" t="s">
        <v>37</v>
      </c>
      <c r="D159" s="226">
        <v>1204.4000000000005</v>
      </c>
      <c r="E159" s="225">
        <f t="shared" si="21"/>
        <v>3.0807707468407219</v>
      </c>
      <c r="F159" s="225" t="s">
        <v>1204</v>
      </c>
      <c r="G159" s="225" t="s">
        <v>1203</v>
      </c>
      <c r="H159" s="225" t="s">
        <v>210</v>
      </c>
      <c r="I159" s="225">
        <v>34.5</v>
      </c>
      <c r="K159" s="225" t="s">
        <v>294</v>
      </c>
      <c r="L159" s="225" t="s">
        <v>1080</v>
      </c>
      <c r="M159" s="225" t="s">
        <v>37</v>
      </c>
      <c r="N159" s="226">
        <v>1204.4000000000005</v>
      </c>
      <c r="O159" s="225">
        <f t="shared" si="20"/>
        <v>3.0807707468407219</v>
      </c>
      <c r="P159" s="225" t="s">
        <v>1206</v>
      </c>
      <c r="Q159" s="225" t="s">
        <v>1203</v>
      </c>
      <c r="R159" s="225" t="s">
        <v>210</v>
      </c>
      <c r="S159" s="225">
        <v>31.76</v>
      </c>
    </row>
    <row r="160" spans="1:30" x14ac:dyDescent="0.2">
      <c r="A160" s="225" t="s">
        <v>305</v>
      </c>
      <c r="B160" s="225" t="s">
        <v>981</v>
      </c>
      <c r="C160" s="225" t="s">
        <v>37</v>
      </c>
      <c r="D160" s="226">
        <v>1204.4000000000005</v>
      </c>
      <c r="E160" s="225">
        <f t="shared" si="21"/>
        <v>3.0807707468407219</v>
      </c>
      <c r="F160" s="225" t="s">
        <v>1204</v>
      </c>
      <c r="G160" s="225" t="s">
        <v>1205</v>
      </c>
      <c r="H160" s="225" t="s">
        <v>809</v>
      </c>
      <c r="I160" s="225">
        <v>30.03</v>
      </c>
      <c r="K160" s="225" t="s">
        <v>306</v>
      </c>
      <c r="L160" s="225" t="s">
        <v>1080</v>
      </c>
      <c r="M160" s="225" t="s">
        <v>38</v>
      </c>
      <c r="N160" s="226">
        <v>120.44000000000004</v>
      </c>
      <c r="O160" s="225">
        <f t="shared" si="20"/>
        <v>2.0807707468407219</v>
      </c>
      <c r="P160" s="225" t="s">
        <v>1206</v>
      </c>
      <c r="Q160" s="225" t="s">
        <v>1203</v>
      </c>
      <c r="R160" s="225" t="s">
        <v>210</v>
      </c>
      <c r="S160" s="225">
        <v>33.880000000000003</v>
      </c>
    </row>
    <row r="161" spans="1:19" x14ac:dyDescent="0.2">
      <c r="A161" s="225" t="s">
        <v>305</v>
      </c>
      <c r="B161" s="225" t="s">
        <v>1080</v>
      </c>
      <c r="C161" s="225" t="s">
        <v>37</v>
      </c>
      <c r="D161" s="226">
        <v>1204.4000000000005</v>
      </c>
      <c r="E161" s="225">
        <f t="shared" si="21"/>
        <v>3.0807707468407219</v>
      </c>
      <c r="F161" s="225" t="s">
        <v>1204</v>
      </c>
      <c r="G161" s="225" t="s">
        <v>1205</v>
      </c>
      <c r="H161" s="225" t="s">
        <v>210</v>
      </c>
      <c r="I161" s="225">
        <v>34.64</v>
      </c>
      <c r="K161" s="225" t="s">
        <v>318</v>
      </c>
      <c r="L161" s="225" t="s">
        <v>1080</v>
      </c>
      <c r="M161" s="225" t="s">
        <v>915</v>
      </c>
      <c r="N161" s="225">
        <v>0</v>
      </c>
      <c r="O161" s="225" t="e">
        <f t="shared" si="20"/>
        <v>#NUM!</v>
      </c>
      <c r="P161" s="225" t="s">
        <v>1206</v>
      </c>
      <c r="Q161" s="225" t="s">
        <v>1203</v>
      </c>
      <c r="R161" s="225" t="s">
        <v>210</v>
      </c>
      <c r="S161" s="225" t="s">
        <v>220</v>
      </c>
    </row>
    <row r="162" spans="1:19" x14ac:dyDescent="0.2">
      <c r="A162" s="225" t="s">
        <v>306</v>
      </c>
      <c r="B162" s="225" t="s">
        <v>981</v>
      </c>
      <c r="C162" s="225" t="s">
        <v>38</v>
      </c>
      <c r="D162" s="226">
        <v>120.44000000000004</v>
      </c>
      <c r="E162" s="225">
        <f t="shared" si="21"/>
        <v>2.0807707468407219</v>
      </c>
      <c r="F162" s="225" t="s">
        <v>1206</v>
      </c>
      <c r="G162" s="225" t="s">
        <v>1201</v>
      </c>
      <c r="H162" s="225" t="s">
        <v>809</v>
      </c>
      <c r="I162" s="225">
        <v>31.36</v>
      </c>
      <c r="K162" s="225" t="s">
        <v>219</v>
      </c>
    </row>
    <row r="163" spans="1:19" x14ac:dyDescent="0.2">
      <c r="A163" s="225" t="s">
        <v>306</v>
      </c>
      <c r="B163" s="225" t="s">
        <v>1080</v>
      </c>
      <c r="C163" s="225" t="s">
        <v>38</v>
      </c>
      <c r="D163" s="226">
        <v>120.44000000000004</v>
      </c>
      <c r="E163" s="225">
        <f t="shared" si="21"/>
        <v>2.0807707468407219</v>
      </c>
      <c r="F163" s="225" t="s">
        <v>1206</v>
      </c>
      <c r="G163" s="225" t="s">
        <v>1201</v>
      </c>
      <c r="H163" s="225" t="s">
        <v>210</v>
      </c>
      <c r="I163" s="225">
        <v>32.69</v>
      </c>
      <c r="K163" s="225" t="s">
        <v>219</v>
      </c>
    </row>
    <row r="164" spans="1:19" x14ac:dyDescent="0.2">
      <c r="A164" s="225" t="s">
        <v>307</v>
      </c>
      <c r="B164" s="225" t="s">
        <v>981</v>
      </c>
      <c r="C164" s="225" t="s">
        <v>38</v>
      </c>
      <c r="D164" s="226">
        <v>120.44000000000004</v>
      </c>
      <c r="E164" s="225">
        <f t="shared" si="21"/>
        <v>2.0807707468407219</v>
      </c>
      <c r="F164" s="225" t="s">
        <v>1206</v>
      </c>
      <c r="G164" s="225" t="s">
        <v>1202</v>
      </c>
      <c r="H164" s="225" t="s">
        <v>809</v>
      </c>
      <c r="I164" s="225">
        <v>32.07</v>
      </c>
      <c r="K164" s="225" t="s">
        <v>244</v>
      </c>
    </row>
    <row r="165" spans="1:19" x14ac:dyDescent="0.2">
      <c r="A165" s="225" t="s">
        <v>307</v>
      </c>
      <c r="B165" s="225" t="s">
        <v>1080</v>
      </c>
      <c r="C165" s="225" t="s">
        <v>38</v>
      </c>
      <c r="D165" s="226">
        <v>120.44000000000004</v>
      </c>
      <c r="E165" s="225">
        <f t="shared" si="21"/>
        <v>2.0807707468407219</v>
      </c>
      <c r="F165" s="225" t="s">
        <v>1206</v>
      </c>
      <c r="G165" s="225" t="s">
        <v>1202</v>
      </c>
      <c r="H165" s="225" t="s">
        <v>210</v>
      </c>
      <c r="I165" s="225">
        <v>33.01</v>
      </c>
      <c r="K165" s="225" t="s">
        <v>244</v>
      </c>
    </row>
    <row r="166" spans="1:19" x14ac:dyDescent="0.2">
      <c r="A166" s="225" t="s">
        <v>308</v>
      </c>
      <c r="B166" s="225" t="s">
        <v>981</v>
      </c>
      <c r="C166" s="225" t="s">
        <v>38</v>
      </c>
      <c r="D166" s="226">
        <v>120.44000000000004</v>
      </c>
      <c r="E166" s="225">
        <f t="shared" si="21"/>
        <v>2.0807707468407219</v>
      </c>
      <c r="F166" s="225" t="s">
        <v>1206</v>
      </c>
      <c r="G166" s="225" t="s">
        <v>1203</v>
      </c>
      <c r="H166" s="225" t="s">
        <v>809</v>
      </c>
      <c r="I166" s="225">
        <v>32.799999999999997</v>
      </c>
      <c r="K166" s="225" t="s">
        <v>257</v>
      </c>
    </row>
    <row r="167" spans="1:19" x14ac:dyDescent="0.2">
      <c r="A167" s="225" t="s">
        <v>308</v>
      </c>
      <c r="B167" s="225" t="s">
        <v>1080</v>
      </c>
      <c r="C167" s="225" t="s">
        <v>38</v>
      </c>
      <c r="D167" s="226">
        <v>120.44000000000004</v>
      </c>
      <c r="E167" s="225">
        <f t="shared" si="21"/>
        <v>2.0807707468407219</v>
      </c>
      <c r="F167" s="225" t="s">
        <v>1206</v>
      </c>
      <c r="G167" s="225" t="s">
        <v>1203</v>
      </c>
      <c r="H167" s="225" t="s">
        <v>210</v>
      </c>
      <c r="I167" s="225">
        <v>33.880000000000003</v>
      </c>
      <c r="K167" s="225" t="s">
        <v>257</v>
      </c>
    </row>
    <row r="168" spans="1:19" x14ac:dyDescent="0.2">
      <c r="A168" s="225" t="s">
        <v>309</v>
      </c>
      <c r="B168" s="225" t="s">
        <v>981</v>
      </c>
      <c r="C168" s="225" t="s">
        <v>1199</v>
      </c>
      <c r="D168" s="225" t="s">
        <v>1199</v>
      </c>
      <c r="E168" s="225" t="e">
        <f t="shared" si="21"/>
        <v>#VALUE!</v>
      </c>
      <c r="F168" s="225" t="s">
        <v>1199</v>
      </c>
      <c r="G168" s="225" t="s">
        <v>1199</v>
      </c>
      <c r="H168" s="225" t="s">
        <v>809</v>
      </c>
      <c r="I168" s="225" t="s">
        <v>220</v>
      </c>
      <c r="K168" s="225" t="s">
        <v>270</v>
      </c>
    </row>
    <row r="169" spans="1:19" x14ac:dyDescent="0.2">
      <c r="A169" s="225" t="s">
        <v>309</v>
      </c>
      <c r="B169" s="225" t="s">
        <v>1080</v>
      </c>
      <c r="C169" s="225" t="s">
        <v>1199</v>
      </c>
      <c r="D169" s="225" t="s">
        <v>1199</v>
      </c>
      <c r="E169" s="225" t="e">
        <f t="shared" si="21"/>
        <v>#VALUE!</v>
      </c>
      <c r="F169" s="225" t="s">
        <v>1199</v>
      </c>
      <c r="G169" s="225" t="s">
        <v>1199</v>
      </c>
      <c r="H169" s="225" t="s">
        <v>210</v>
      </c>
      <c r="I169" s="225" t="s">
        <v>220</v>
      </c>
      <c r="K169" s="225" t="s">
        <v>270</v>
      </c>
    </row>
    <row r="170" spans="1:19" x14ac:dyDescent="0.2">
      <c r="A170" s="225" t="s">
        <v>310</v>
      </c>
      <c r="B170" s="225" t="s">
        <v>981</v>
      </c>
      <c r="C170" s="225" t="s">
        <v>1199</v>
      </c>
      <c r="D170" s="225" t="s">
        <v>1199</v>
      </c>
      <c r="E170" s="225" t="e">
        <f t="shared" si="21"/>
        <v>#VALUE!</v>
      </c>
      <c r="F170" s="225" t="s">
        <v>1199</v>
      </c>
      <c r="G170" s="225" t="s">
        <v>1199</v>
      </c>
      <c r="H170" s="225" t="s">
        <v>809</v>
      </c>
      <c r="I170" s="225" t="s">
        <v>220</v>
      </c>
      <c r="K170" s="225" t="s">
        <v>283</v>
      </c>
    </row>
    <row r="171" spans="1:19" x14ac:dyDescent="0.2">
      <c r="A171" s="225" t="s">
        <v>310</v>
      </c>
      <c r="B171" s="225" t="s">
        <v>1080</v>
      </c>
      <c r="C171" s="225" t="s">
        <v>1199</v>
      </c>
      <c r="D171" s="225" t="s">
        <v>1199</v>
      </c>
      <c r="E171" s="225" t="e">
        <f t="shared" si="21"/>
        <v>#VALUE!</v>
      </c>
      <c r="F171" s="225" t="s">
        <v>1199</v>
      </c>
      <c r="G171" s="225" t="s">
        <v>1199</v>
      </c>
      <c r="H171" s="225" t="s">
        <v>210</v>
      </c>
      <c r="I171" s="225" t="s">
        <v>220</v>
      </c>
      <c r="K171" s="225" t="s">
        <v>283</v>
      </c>
    </row>
    <row r="172" spans="1:19" x14ac:dyDescent="0.2">
      <c r="A172" s="225" t="s">
        <v>311</v>
      </c>
      <c r="B172" s="225" t="s">
        <v>981</v>
      </c>
      <c r="C172" s="225" t="s">
        <v>915</v>
      </c>
      <c r="D172" s="225">
        <v>0</v>
      </c>
      <c r="E172" s="225" t="e">
        <f t="shared" si="21"/>
        <v>#NUM!</v>
      </c>
      <c r="F172" s="225" t="s">
        <v>1200</v>
      </c>
      <c r="G172" s="225" t="s">
        <v>1201</v>
      </c>
      <c r="H172" s="225" t="s">
        <v>809</v>
      </c>
      <c r="I172" s="225">
        <v>30.49</v>
      </c>
      <c r="K172" s="225" t="s">
        <v>295</v>
      </c>
    </row>
    <row r="173" spans="1:19" x14ac:dyDescent="0.2">
      <c r="A173" s="225" t="s">
        <v>311</v>
      </c>
      <c r="B173" s="225" t="s">
        <v>1080</v>
      </c>
      <c r="C173" s="225" t="s">
        <v>915</v>
      </c>
      <c r="D173" s="225">
        <v>0</v>
      </c>
      <c r="E173" s="225" t="e">
        <f t="shared" si="21"/>
        <v>#NUM!</v>
      </c>
      <c r="F173" s="225" t="s">
        <v>1200</v>
      </c>
      <c r="G173" s="225" t="s">
        <v>1201</v>
      </c>
      <c r="H173" s="225" t="s">
        <v>210</v>
      </c>
      <c r="I173" s="225">
        <v>37.880000000000003</v>
      </c>
      <c r="K173" s="225" t="s">
        <v>295</v>
      </c>
    </row>
    <row r="174" spans="1:19" x14ac:dyDescent="0.2">
      <c r="A174" s="225" t="s">
        <v>312</v>
      </c>
      <c r="B174" s="225" t="s">
        <v>981</v>
      </c>
      <c r="C174" s="225" t="s">
        <v>915</v>
      </c>
      <c r="D174" s="225">
        <v>0</v>
      </c>
      <c r="E174" s="225" t="e">
        <f t="shared" si="21"/>
        <v>#NUM!</v>
      </c>
      <c r="F174" s="225" t="s">
        <v>1200</v>
      </c>
      <c r="G174" s="225" t="s">
        <v>1202</v>
      </c>
      <c r="H174" s="225" t="s">
        <v>809</v>
      </c>
      <c r="I174" s="225">
        <v>30.29</v>
      </c>
      <c r="K174" s="225" t="s">
        <v>307</v>
      </c>
    </row>
    <row r="175" spans="1:19" x14ac:dyDescent="0.2">
      <c r="A175" s="225" t="s">
        <v>312</v>
      </c>
      <c r="B175" s="225" t="s">
        <v>1080</v>
      </c>
      <c r="C175" s="225" t="s">
        <v>915</v>
      </c>
      <c r="D175" s="225">
        <v>0</v>
      </c>
      <c r="E175" s="225" t="e">
        <f t="shared" si="21"/>
        <v>#NUM!</v>
      </c>
      <c r="F175" s="225" t="s">
        <v>1200</v>
      </c>
      <c r="G175" s="225" t="s">
        <v>1202</v>
      </c>
      <c r="H175" s="225" t="s">
        <v>210</v>
      </c>
      <c r="I175" s="225" t="s">
        <v>220</v>
      </c>
      <c r="K175" s="225" t="s">
        <v>307</v>
      </c>
    </row>
    <row r="176" spans="1:19" x14ac:dyDescent="0.2">
      <c r="A176" s="225" t="s">
        <v>313</v>
      </c>
      <c r="B176" s="225" t="s">
        <v>981</v>
      </c>
      <c r="C176" s="225" t="s">
        <v>915</v>
      </c>
      <c r="D176" s="225">
        <v>0</v>
      </c>
      <c r="E176" s="225" t="e">
        <f t="shared" si="21"/>
        <v>#NUM!</v>
      </c>
      <c r="F176" s="225" t="s">
        <v>1200</v>
      </c>
      <c r="G176" s="225" t="s">
        <v>1203</v>
      </c>
      <c r="H176" s="225" t="s">
        <v>809</v>
      </c>
      <c r="I176" s="225">
        <v>30.9</v>
      </c>
      <c r="K176" s="225" t="s">
        <v>319</v>
      </c>
    </row>
    <row r="177" spans="1:11" x14ac:dyDescent="0.2">
      <c r="A177" s="225" t="s">
        <v>313</v>
      </c>
      <c r="B177" s="225" t="s">
        <v>1080</v>
      </c>
      <c r="C177" s="225" t="s">
        <v>915</v>
      </c>
      <c r="D177" s="225">
        <v>0</v>
      </c>
      <c r="E177" s="225" t="e">
        <f t="shared" si="21"/>
        <v>#NUM!</v>
      </c>
      <c r="F177" s="225" t="s">
        <v>1200</v>
      </c>
      <c r="G177" s="225" t="s">
        <v>1203</v>
      </c>
      <c r="H177" s="225" t="s">
        <v>210</v>
      </c>
      <c r="I177" s="225">
        <v>37.01</v>
      </c>
      <c r="K177" s="225" t="s">
        <v>319</v>
      </c>
    </row>
    <row r="178" spans="1:11" x14ac:dyDescent="0.2">
      <c r="A178" s="225" t="s">
        <v>314</v>
      </c>
      <c r="B178" s="225" t="s">
        <v>981</v>
      </c>
      <c r="C178" s="225" t="s">
        <v>915</v>
      </c>
      <c r="D178" s="225">
        <v>0</v>
      </c>
      <c r="E178" s="225" t="e">
        <f t="shared" si="21"/>
        <v>#NUM!</v>
      </c>
      <c r="F178" s="225" t="s">
        <v>1204</v>
      </c>
      <c r="G178" s="225" t="s">
        <v>1201</v>
      </c>
      <c r="H178" s="225" t="s">
        <v>809</v>
      </c>
      <c r="I178" s="225">
        <v>30.55</v>
      </c>
      <c r="K178" s="225" t="s">
        <v>221</v>
      </c>
    </row>
    <row r="179" spans="1:11" x14ac:dyDescent="0.2">
      <c r="A179" s="225" t="s">
        <v>314</v>
      </c>
      <c r="B179" s="225" t="s">
        <v>1080</v>
      </c>
      <c r="C179" s="225" t="s">
        <v>915</v>
      </c>
      <c r="D179" s="225">
        <v>0</v>
      </c>
      <c r="E179" s="225" t="e">
        <f t="shared" si="21"/>
        <v>#NUM!</v>
      </c>
      <c r="F179" s="225" t="s">
        <v>1204</v>
      </c>
      <c r="G179" s="225" t="s">
        <v>1201</v>
      </c>
      <c r="H179" s="225" t="s">
        <v>210</v>
      </c>
      <c r="I179" s="225" t="s">
        <v>220</v>
      </c>
      <c r="K179" s="225" t="s">
        <v>221</v>
      </c>
    </row>
    <row r="180" spans="1:11" x14ac:dyDescent="0.2">
      <c r="A180" s="225" t="s">
        <v>315</v>
      </c>
      <c r="B180" s="225" t="s">
        <v>981</v>
      </c>
      <c r="C180" s="225" t="s">
        <v>915</v>
      </c>
      <c r="D180" s="225">
        <v>0</v>
      </c>
      <c r="E180" s="225" t="e">
        <f t="shared" si="21"/>
        <v>#NUM!</v>
      </c>
      <c r="F180" s="225" t="s">
        <v>1204</v>
      </c>
      <c r="G180" s="225" t="s">
        <v>1202</v>
      </c>
      <c r="H180" s="225" t="s">
        <v>809</v>
      </c>
      <c r="I180" s="225">
        <v>30.13</v>
      </c>
      <c r="K180" s="225" t="s">
        <v>245</v>
      </c>
    </row>
    <row r="181" spans="1:11" x14ac:dyDescent="0.2">
      <c r="A181" s="225" t="s">
        <v>315</v>
      </c>
      <c r="B181" s="225" t="s">
        <v>1080</v>
      </c>
      <c r="C181" s="225" t="s">
        <v>915</v>
      </c>
      <c r="D181" s="225">
        <v>0</v>
      </c>
      <c r="E181" s="225" t="e">
        <f t="shared" si="21"/>
        <v>#NUM!</v>
      </c>
      <c r="F181" s="225" t="s">
        <v>1204</v>
      </c>
      <c r="G181" s="225" t="s">
        <v>1202</v>
      </c>
      <c r="H181" s="225" t="s">
        <v>210</v>
      </c>
      <c r="I181" s="225" t="s">
        <v>220</v>
      </c>
      <c r="K181" s="225" t="s">
        <v>245</v>
      </c>
    </row>
    <row r="182" spans="1:11" x14ac:dyDescent="0.2">
      <c r="A182" s="225" t="s">
        <v>316</v>
      </c>
      <c r="B182" s="225" t="s">
        <v>981</v>
      </c>
      <c r="C182" s="225" t="s">
        <v>915</v>
      </c>
      <c r="D182" s="225">
        <v>0</v>
      </c>
      <c r="E182" s="225" t="e">
        <f t="shared" si="21"/>
        <v>#NUM!</v>
      </c>
      <c r="F182" s="225" t="s">
        <v>1204</v>
      </c>
      <c r="G182" s="225" t="s">
        <v>1203</v>
      </c>
      <c r="H182" s="225" t="s">
        <v>809</v>
      </c>
      <c r="I182" s="225">
        <v>30.53</v>
      </c>
      <c r="K182" s="225" t="s">
        <v>258</v>
      </c>
    </row>
    <row r="183" spans="1:11" x14ac:dyDescent="0.2">
      <c r="A183" s="225" t="s">
        <v>316</v>
      </c>
      <c r="B183" s="225" t="s">
        <v>1080</v>
      </c>
      <c r="C183" s="225" t="s">
        <v>915</v>
      </c>
      <c r="D183" s="225">
        <v>0</v>
      </c>
      <c r="E183" s="225" t="e">
        <f t="shared" si="21"/>
        <v>#NUM!</v>
      </c>
      <c r="F183" s="225" t="s">
        <v>1204</v>
      </c>
      <c r="G183" s="225" t="s">
        <v>1203</v>
      </c>
      <c r="H183" s="225" t="s">
        <v>210</v>
      </c>
      <c r="I183" s="225" t="s">
        <v>220</v>
      </c>
      <c r="K183" s="225" t="s">
        <v>258</v>
      </c>
    </row>
    <row r="184" spans="1:11" x14ac:dyDescent="0.2">
      <c r="A184" s="225" t="s">
        <v>317</v>
      </c>
      <c r="B184" s="225" t="s">
        <v>981</v>
      </c>
      <c r="C184" s="225" t="s">
        <v>915</v>
      </c>
      <c r="D184" s="225">
        <v>0</v>
      </c>
      <c r="E184" s="225" t="e">
        <f t="shared" si="21"/>
        <v>#NUM!</v>
      </c>
      <c r="F184" s="225" t="s">
        <v>1204</v>
      </c>
      <c r="G184" s="225" t="s">
        <v>1205</v>
      </c>
      <c r="H184" s="225" t="s">
        <v>809</v>
      </c>
      <c r="I184" s="225">
        <v>30.87</v>
      </c>
      <c r="K184" s="225" t="s">
        <v>272</v>
      </c>
    </row>
    <row r="185" spans="1:11" x14ac:dyDescent="0.2">
      <c r="A185" s="225" t="s">
        <v>317</v>
      </c>
      <c r="B185" s="225" t="s">
        <v>1080</v>
      </c>
      <c r="C185" s="225" t="s">
        <v>915</v>
      </c>
      <c r="D185" s="225">
        <v>0</v>
      </c>
      <c r="E185" s="225" t="e">
        <f t="shared" si="21"/>
        <v>#NUM!</v>
      </c>
      <c r="F185" s="225" t="s">
        <v>1204</v>
      </c>
      <c r="G185" s="225" t="s">
        <v>1205</v>
      </c>
      <c r="H185" s="225" t="s">
        <v>210</v>
      </c>
      <c r="I185" s="225" t="s">
        <v>220</v>
      </c>
      <c r="K185" s="225" t="s">
        <v>272</v>
      </c>
    </row>
    <row r="186" spans="1:11" x14ac:dyDescent="0.2">
      <c r="A186" s="225" t="s">
        <v>318</v>
      </c>
      <c r="B186" s="225" t="s">
        <v>981</v>
      </c>
      <c r="C186" s="225" t="s">
        <v>915</v>
      </c>
      <c r="D186" s="225">
        <v>0</v>
      </c>
      <c r="E186" s="225" t="e">
        <f t="shared" si="21"/>
        <v>#NUM!</v>
      </c>
      <c r="F186" s="225" t="s">
        <v>1206</v>
      </c>
      <c r="G186" s="225" t="s">
        <v>1201</v>
      </c>
      <c r="H186" s="225" t="s">
        <v>809</v>
      </c>
      <c r="I186" s="225">
        <v>30.14</v>
      </c>
      <c r="K186" s="225" t="s">
        <v>284</v>
      </c>
    </row>
    <row r="187" spans="1:11" x14ac:dyDescent="0.2">
      <c r="A187" s="225" t="s">
        <v>318</v>
      </c>
      <c r="B187" s="225" t="s">
        <v>1080</v>
      </c>
      <c r="C187" s="225" t="s">
        <v>915</v>
      </c>
      <c r="D187" s="225">
        <v>0</v>
      </c>
      <c r="E187" s="225" t="e">
        <f t="shared" si="21"/>
        <v>#NUM!</v>
      </c>
      <c r="F187" s="225" t="s">
        <v>1206</v>
      </c>
      <c r="G187" s="225" t="s">
        <v>1201</v>
      </c>
      <c r="H187" s="225" t="s">
        <v>210</v>
      </c>
      <c r="I187" s="225">
        <v>39.78</v>
      </c>
      <c r="K187" s="225" t="s">
        <v>284</v>
      </c>
    </row>
    <row r="188" spans="1:11" x14ac:dyDescent="0.2">
      <c r="A188" s="225" t="s">
        <v>319</v>
      </c>
      <c r="B188" s="225" t="s">
        <v>981</v>
      </c>
      <c r="C188" s="225" t="s">
        <v>915</v>
      </c>
      <c r="D188" s="225">
        <v>0</v>
      </c>
      <c r="E188" s="225" t="e">
        <f t="shared" si="21"/>
        <v>#NUM!</v>
      </c>
      <c r="F188" s="225" t="s">
        <v>1206</v>
      </c>
      <c r="G188" s="225" t="s">
        <v>1202</v>
      </c>
      <c r="H188" s="225" t="s">
        <v>809</v>
      </c>
      <c r="I188" s="225">
        <v>30.19</v>
      </c>
      <c r="K188" s="225" t="s">
        <v>296</v>
      </c>
    </row>
    <row r="189" spans="1:11" x14ac:dyDescent="0.2">
      <c r="A189" s="225" t="s">
        <v>319</v>
      </c>
      <c r="B189" s="225" t="s">
        <v>1080</v>
      </c>
      <c r="C189" s="225" t="s">
        <v>915</v>
      </c>
      <c r="D189" s="225">
        <v>0</v>
      </c>
      <c r="E189" s="225" t="e">
        <f t="shared" si="21"/>
        <v>#NUM!</v>
      </c>
      <c r="F189" s="225" t="s">
        <v>1206</v>
      </c>
      <c r="G189" s="225" t="s">
        <v>1202</v>
      </c>
      <c r="H189" s="225" t="s">
        <v>210</v>
      </c>
      <c r="I189" s="225">
        <v>37.369999999999997</v>
      </c>
      <c r="K189" s="225" t="s">
        <v>296</v>
      </c>
    </row>
    <row r="190" spans="1:11" x14ac:dyDescent="0.2">
      <c r="A190" s="225" t="s">
        <v>321</v>
      </c>
      <c r="B190" s="225" t="s">
        <v>981</v>
      </c>
      <c r="C190" s="225" t="s">
        <v>915</v>
      </c>
      <c r="D190" s="225">
        <v>0</v>
      </c>
      <c r="E190" s="225" t="e">
        <f t="shared" si="21"/>
        <v>#NUM!</v>
      </c>
      <c r="F190" s="225" t="s">
        <v>1206</v>
      </c>
      <c r="G190" s="225" t="s">
        <v>1203</v>
      </c>
      <c r="H190" s="225" t="s">
        <v>809</v>
      </c>
      <c r="I190" s="225">
        <v>29.94</v>
      </c>
      <c r="K190" s="225" t="s">
        <v>308</v>
      </c>
    </row>
    <row r="191" spans="1:11" x14ac:dyDescent="0.2">
      <c r="A191" s="225" t="s">
        <v>321</v>
      </c>
      <c r="B191" s="225" t="s">
        <v>1080</v>
      </c>
      <c r="C191" s="225" t="s">
        <v>915</v>
      </c>
      <c r="D191" s="225">
        <v>0</v>
      </c>
      <c r="E191" s="225" t="e">
        <f t="shared" si="21"/>
        <v>#NUM!</v>
      </c>
      <c r="F191" s="225" t="s">
        <v>1206</v>
      </c>
      <c r="G191" s="225" t="s">
        <v>1203</v>
      </c>
      <c r="H191" s="225" t="s">
        <v>210</v>
      </c>
      <c r="I191" s="225" t="s">
        <v>220</v>
      </c>
      <c r="K191" s="225" t="s">
        <v>308</v>
      </c>
    </row>
    <row r="192" spans="1:11" x14ac:dyDescent="0.2">
      <c r="A192" s="225" t="s">
        <v>322</v>
      </c>
      <c r="B192" s="225" t="s">
        <v>981</v>
      </c>
      <c r="C192" s="225" t="s">
        <v>1199</v>
      </c>
      <c r="D192" s="225" t="s">
        <v>1199</v>
      </c>
      <c r="E192" s="225" t="e">
        <f t="shared" si="21"/>
        <v>#VALUE!</v>
      </c>
      <c r="F192" s="225" t="s">
        <v>1199</v>
      </c>
      <c r="G192" s="225" t="s">
        <v>1199</v>
      </c>
      <c r="H192" s="225" t="s">
        <v>809</v>
      </c>
      <c r="I192" s="225" t="s">
        <v>220</v>
      </c>
      <c r="K192" s="225" t="s">
        <v>321</v>
      </c>
    </row>
    <row r="193" spans="1:11" x14ac:dyDescent="0.2">
      <c r="A193" s="225" t="s">
        <v>322</v>
      </c>
      <c r="B193" s="225" t="s">
        <v>1080</v>
      </c>
      <c r="C193" s="225" t="s">
        <v>1199</v>
      </c>
      <c r="D193" s="225" t="s">
        <v>1199</v>
      </c>
      <c r="E193" s="225" t="e">
        <f t="shared" si="21"/>
        <v>#VALUE!</v>
      </c>
      <c r="F193" s="225" t="s">
        <v>1199</v>
      </c>
      <c r="G193" s="225" t="s">
        <v>1199</v>
      </c>
      <c r="H193" s="225" t="s">
        <v>210</v>
      </c>
      <c r="I193" s="225" t="s">
        <v>220</v>
      </c>
      <c r="K193" s="225" t="s">
        <v>321</v>
      </c>
    </row>
  </sheetData>
  <mergeCells count="3">
    <mergeCell ref="X104:AA104"/>
    <mergeCell ref="X138:AA138"/>
    <mergeCell ref="AP99:BB99"/>
  </mergeCells>
  <phoneticPr fontId="12" type="noConversion"/>
  <hyperlinks>
    <hyperlink ref="AQ101" r:id="rId1" xr:uid="{EA988D27-4BDF-42D1-8DE4-DE1D40A09D0B}"/>
  </hyperlinks>
  <pageMargins left="0.7" right="0.7" top="0.75" bottom="0.75" header="0.3" footer="0.3"/>
  <drawing r:id="rId2"/>
  <legacy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FCAA6-81B0-4B5B-BE56-F41BEFB6237B}">
  <dimension ref="A1:H13"/>
  <sheetViews>
    <sheetView topLeftCell="I1" workbookViewId="0">
      <selection activeCell="AA13" sqref="AA13"/>
    </sheetView>
  </sheetViews>
  <sheetFormatPr defaultColWidth="9.140625" defaultRowHeight="15" x14ac:dyDescent="0.25"/>
  <cols>
    <col min="1" max="1" width="13.140625" style="165" bestFit="1" customWidth="1"/>
    <col min="2" max="2" width="16.28515625" style="165" bestFit="1" customWidth="1"/>
    <col min="3" max="7" width="11" style="165" bestFit="1" customWidth="1"/>
    <col min="8" max="8" width="11.28515625" style="165" bestFit="1" customWidth="1"/>
    <col min="9" max="9" width="11" style="165" bestFit="1" customWidth="1"/>
    <col min="10" max="10" width="11.28515625" style="165" bestFit="1" customWidth="1"/>
    <col min="11" max="16384" width="9.140625" style="165"/>
  </cols>
  <sheetData>
    <row r="1" spans="1:8" x14ac:dyDescent="0.25">
      <c r="A1" s="177" t="s">
        <v>201</v>
      </c>
      <c r="B1" s="165" t="s">
        <v>809</v>
      </c>
    </row>
    <row r="3" spans="1:8" x14ac:dyDescent="0.25">
      <c r="A3" s="177" t="s">
        <v>1171</v>
      </c>
      <c r="B3" s="177" t="s">
        <v>1053</v>
      </c>
      <c r="C3"/>
      <c r="D3"/>
      <c r="E3"/>
      <c r="F3"/>
      <c r="G3"/>
      <c r="H3"/>
    </row>
    <row r="4" spans="1:8" x14ac:dyDescent="0.25">
      <c r="A4" s="177" t="s">
        <v>1052</v>
      </c>
      <c r="B4" s="165" t="s">
        <v>1173</v>
      </c>
      <c r="C4" s="165" t="s">
        <v>1175</v>
      </c>
      <c r="D4" s="165" t="s">
        <v>1174</v>
      </c>
      <c r="E4" s="165" t="s">
        <v>1176</v>
      </c>
      <c r="F4" s="165" t="s">
        <v>1177</v>
      </c>
      <c r="G4" s="165" t="s">
        <v>1178</v>
      </c>
      <c r="H4" s="165" t="s">
        <v>923</v>
      </c>
    </row>
    <row r="5" spans="1:8" x14ac:dyDescent="0.25">
      <c r="A5" s="88" t="s">
        <v>810</v>
      </c>
      <c r="B5" s="157">
        <v>39.82</v>
      </c>
      <c r="C5" s="157">
        <v>37.5</v>
      </c>
      <c r="D5" s="157">
        <v>36.700000000000003</v>
      </c>
      <c r="E5" s="157">
        <v>38.42</v>
      </c>
      <c r="F5" s="157">
        <v>38.229999999999997</v>
      </c>
      <c r="G5" s="157">
        <v>37.590000000000003</v>
      </c>
      <c r="H5" s="157">
        <v>39.82</v>
      </c>
    </row>
    <row r="6" spans="1:8" x14ac:dyDescent="0.25">
      <c r="A6" s="178" t="s">
        <v>1046</v>
      </c>
      <c r="B6" s="157">
        <v>35.799999999999997</v>
      </c>
      <c r="C6" s="157">
        <v>37.340000000000003</v>
      </c>
      <c r="D6" s="157">
        <v>36.549999999999997</v>
      </c>
      <c r="E6" s="157">
        <v>35.700000000000003</v>
      </c>
      <c r="F6" s="157">
        <v>36.78</v>
      </c>
      <c r="G6" s="157">
        <v>37.590000000000003</v>
      </c>
      <c r="H6" s="157">
        <v>37.590000000000003</v>
      </c>
    </row>
    <row r="7" spans="1:8" x14ac:dyDescent="0.25">
      <c r="A7" s="178" t="s">
        <v>1043</v>
      </c>
      <c r="B7" s="157"/>
      <c r="C7" s="157">
        <v>34.909999999999997</v>
      </c>
      <c r="D7" s="157">
        <v>34.590000000000003</v>
      </c>
      <c r="E7" s="157"/>
      <c r="F7" s="157"/>
      <c r="G7" s="157"/>
      <c r="H7" s="157">
        <v>34.909999999999997</v>
      </c>
    </row>
    <row r="8" spans="1:8" x14ac:dyDescent="0.25">
      <c r="A8" s="178" t="s">
        <v>982</v>
      </c>
      <c r="B8" s="157">
        <v>39.82</v>
      </c>
      <c r="C8" s="157">
        <v>37.5</v>
      </c>
      <c r="D8" s="157">
        <v>36.700000000000003</v>
      </c>
      <c r="E8" s="157">
        <v>38.42</v>
      </c>
      <c r="F8" s="157">
        <v>38.229999999999997</v>
      </c>
      <c r="G8" s="157">
        <v>37.04</v>
      </c>
      <c r="H8" s="157">
        <v>39.82</v>
      </c>
    </row>
    <row r="9" spans="1:8" x14ac:dyDescent="0.25">
      <c r="A9" s="88" t="s">
        <v>923</v>
      </c>
      <c r="B9" s="157">
        <v>39.82</v>
      </c>
      <c r="C9" s="157">
        <v>37.5</v>
      </c>
      <c r="D9" s="157">
        <v>36.700000000000003</v>
      </c>
      <c r="E9" s="157">
        <v>38.42</v>
      </c>
      <c r="F9" s="157">
        <v>38.229999999999997</v>
      </c>
      <c r="G9" s="157">
        <v>37.590000000000003</v>
      </c>
      <c r="H9" s="157">
        <v>39.82</v>
      </c>
    </row>
    <row r="10" spans="1:8" x14ac:dyDescent="0.25">
      <c r="A10"/>
      <c r="B10"/>
      <c r="C10"/>
      <c r="D10"/>
      <c r="E10"/>
      <c r="F10"/>
      <c r="G10"/>
      <c r="H10"/>
    </row>
    <row r="11" spans="1:8" x14ac:dyDescent="0.25">
      <c r="A11"/>
      <c r="B11"/>
      <c r="C11"/>
      <c r="D11"/>
      <c r="E11"/>
      <c r="F11"/>
      <c r="G11"/>
      <c r="H11"/>
    </row>
    <row r="12" spans="1:8" x14ac:dyDescent="0.25">
      <c r="A12"/>
      <c r="B12"/>
      <c r="C12"/>
      <c r="D12"/>
      <c r="E12"/>
      <c r="F12"/>
      <c r="G12"/>
      <c r="H12"/>
    </row>
    <row r="13" spans="1:8" x14ac:dyDescent="0.25">
      <c r="A13"/>
      <c r="B13"/>
      <c r="C13"/>
      <c r="D13"/>
      <c r="E13"/>
      <c r="F13"/>
      <c r="G13"/>
      <c r="H13"/>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A2E3C-B3AF-463A-B480-BB194118B578}">
  <sheetPr>
    <outlinePr summaryBelow="0" summaryRight="0"/>
    <pageSetUpPr autoPageBreaks="0" fitToPage="1"/>
  </sheetPr>
  <dimension ref="A1:AT161"/>
  <sheetViews>
    <sheetView topLeftCell="AD76" zoomScale="85" zoomScaleNormal="85" workbookViewId="0">
      <selection activeCell="AR20" sqref="AR20"/>
    </sheetView>
  </sheetViews>
  <sheetFormatPr defaultRowHeight="12.75" x14ac:dyDescent="0.2"/>
  <cols>
    <col min="1" max="12" width="9.140625" style="107"/>
    <col min="13" max="13" width="22.7109375" style="107" customWidth="1"/>
    <col min="14" max="21" width="9.140625" style="107"/>
    <col min="22" max="22" width="20.42578125" style="107" customWidth="1"/>
    <col min="23" max="23" width="17.140625" style="107" customWidth="1"/>
    <col min="24" max="37" width="9.140625" style="107"/>
    <col min="38" max="38" width="12.42578125" style="107" bestFit="1" customWidth="1"/>
    <col min="39" max="39" width="12" style="107" bestFit="1" customWidth="1"/>
    <col min="40" max="40" width="11.7109375" style="107" bestFit="1" customWidth="1"/>
    <col min="41" max="41" width="20.85546875" style="107" bestFit="1" customWidth="1"/>
    <col min="42" max="42" width="9.140625" style="107"/>
    <col min="43" max="43" width="12.42578125" style="107" bestFit="1" customWidth="1"/>
    <col min="44" max="16384" width="9.140625" style="107"/>
  </cols>
  <sheetData>
    <row r="1" spans="1:46" x14ac:dyDescent="0.2">
      <c r="A1" s="107" t="s">
        <v>198</v>
      </c>
      <c r="B1" s="107" t="s">
        <v>199</v>
      </c>
      <c r="C1" s="107" t="s">
        <v>200</v>
      </c>
      <c r="D1" s="107" t="s">
        <v>201</v>
      </c>
      <c r="E1" s="107" t="s">
        <v>202</v>
      </c>
      <c r="F1" s="107" t="s">
        <v>1129</v>
      </c>
      <c r="G1" s="107" t="s">
        <v>1130</v>
      </c>
      <c r="H1" s="107" t="s">
        <v>1131</v>
      </c>
      <c r="I1" s="107" t="s">
        <v>1132</v>
      </c>
      <c r="J1" s="107" t="s">
        <v>1133</v>
      </c>
      <c r="K1" s="107" t="s">
        <v>1047</v>
      </c>
      <c r="L1" s="107" t="s">
        <v>198</v>
      </c>
      <c r="M1" s="107" t="s">
        <v>199</v>
      </c>
      <c r="N1" s="107" t="s">
        <v>200</v>
      </c>
      <c r="O1" s="107" t="s">
        <v>1282</v>
      </c>
      <c r="P1" s="107" t="s">
        <v>201</v>
      </c>
      <c r="Q1" s="107" t="s">
        <v>202</v>
      </c>
      <c r="R1" s="107" t="s">
        <v>1283</v>
      </c>
      <c r="T1" s="107" t="s">
        <v>1047</v>
      </c>
      <c r="U1" s="107" t="s">
        <v>198</v>
      </c>
      <c r="V1" s="107" t="s">
        <v>199</v>
      </c>
      <c r="W1" s="107" t="s">
        <v>200</v>
      </c>
      <c r="X1" s="107" t="s">
        <v>1282</v>
      </c>
      <c r="Y1" s="107" t="s">
        <v>201</v>
      </c>
      <c r="Z1" s="107" t="s">
        <v>202</v>
      </c>
      <c r="AA1" s="107" t="s">
        <v>1283</v>
      </c>
    </row>
    <row r="2" spans="1:46" x14ac:dyDescent="0.2">
      <c r="A2" s="107" t="s">
        <v>212</v>
      </c>
      <c r="B2" s="107" t="s">
        <v>981</v>
      </c>
      <c r="C2" s="107" t="s">
        <v>206</v>
      </c>
      <c r="D2" s="107" t="s">
        <v>809</v>
      </c>
      <c r="E2" s="107">
        <v>35.93</v>
      </c>
      <c r="F2" s="107" t="s">
        <v>220</v>
      </c>
      <c r="G2" s="107" t="s">
        <v>220</v>
      </c>
      <c r="H2" s="107" t="s">
        <v>220</v>
      </c>
      <c r="I2" s="107" t="s">
        <v>220</v>
      </c>
      <c r="J2" s="107" t="s">
        <v>220</v>
      </c>
      <c r="K2" s="107" t="s">
        <v>982</v>
      </c>
      <c r="L2" s="107" t="s">
        <v>212</v>
      </c>
      <c r="M2" s="107" t="s">
        <v>981</v>
      </c>
      <c r="N2" s="107" t="s">
        <v>1284</v>
      </c>
      <c r="O2" s="107" t="s">
        <v>1201</v>
      </c>
      <c r="P2" s="107" t="s">
        <v>809</v>
      </c>
      <c r="Q2" s="107">
        <v>35.93</v>
      </c>
      <c r="R2" s="247" t="s">
        <v>1285</v>
      </c>
      <c r="T2" s="107" t="s">
        <v>982</v>
      </c>
      <c r="U2" s="107" t="s">
        <v>212</v>
      </c>
      <c r="V2" s="107" t="s">
        <v>1080</v>
      </c>
      <c r="W2" s="107" t="s">
        <v>1284</v>
      </c>
      <c r="X2" s="107" t="s">
        <v>1201</v>
      </c>
      <c r="Y2" s="107" t="s">
        <v>210</v>
      </c>
      <c r="Z2" s="107">
        <v>27.23</v>
      </c>
      <c r="AA2" s="247" t="s">
        <v>1285</v>
      </c>
    </row>
    <row r="3" spans="1:46" ht="20.25" customHeight="1" thickBot="1" x14ac:dyDescent="0.25">
      <c r="A3" s="107" t="s">
        <v>212</v>
      </c>
      <c r="B3" s="107" t="s">
        <v>1080</v>
      </c>
      <c r="C3" s="107" t="s">
        <v>206</v>
      </c>
      <c r="D3" s="107" t="s">
        <v>210</v>
      </c>
      <c r="E3" s="107">
        <v>27.23</v>
      </c>
      <c r="F3" s="107" t="s">
        <v>220</v>
      </c>
      <c r="G3" s="107" t="s">
        <v>220</v>
      </c>
      <c r="H3" s="107" t="s">
        <v>220</v>
      </c>
      <c r="I3" s="107" t="s">
        <v>220</v>
      </c>
      <c r="J3" s="107" t="s">
        <v>220</v>
      </c>
      <c r="K3" s="107" t="s">
        <v>982</v>
      </c>
      <c r="L3" s="107" t="s">
        <v>212</v>
      </c>
      <c r="M3" s="107" t="s">
        <v>1080</v>
      </c>
      <c r="N3" s="107" t="s">
        <v>1284</v>
      </c>
      <c r="O3" s="107" t="s">
        <v>1201</v>
      </c>
      <c r="P3" s="107" t="s">
        <v>210</v>
      </c>
      <c r="Q3" s="107">
        <v>27.23</v>
      </c>
      <c r="R3" s="247" t="s">
        <v>1285</v>
      </c>
      <c r="T3" s="107" t="s">
        <v>982</v>
      </c>
      <c r="U3" s="107" t="s">
        <v>213</v>
      </c>
      <c r="V3" s="107" t="s">
        <v>1080</v>
      </c>
      <c r="W3" s="107" t="s">
        <v>1284</v>
      </c>
      <c r="X3" s="107" t="s">
        <v>1201</v>
      </c>
      <c r="Y3" s="107" t="s">
        <v>210</v>
      </c>
      <c r="Z3" s="107">
        <v>29.75</v>
      </c>
      <c r="AA3" s="247" t="s">
        <v>1286</v>
      </c>
      <c r="AE3" s="262" t="s">
        <v>20</v>
      </c>
      <c r="AF3" s="263" t="s">
        <v>21</v>
      </c>
      <c r="AG3" s="263" t="s">
        <v>1093</v>
      </c>
      <c r="AH3" s="263" t="s">
        <v>1287</v>
      </c>
      <c r="AI3" s="263" t="s">
        <v>1094</v>
      </c>
      <c r="AJ3" s="263" t="s">
        <v>1095</v>
      </c>
      <c r="AK3" s="264" t="s">
        <v>1096</v>
      </c>
    </row>
    <row r="4" spans="1:46" ht="13.5" thickBot="1" x14ac:dyDescent="0.25">
      <c r="A4" s="107" t="s">
        <v>213</v>
      </c>
      <c r="B4" s="107" t="s">
        <v>981</v>
      </c>
      <c r="C4" s="107" t="s">
        <v>206</v>
      </c>
      <c r="D4" s="107" t="s">
        <v>809</v>
      </c>
      <c r="E4" s="107">
        <v>33.22</v>
      </c>
      <c r="F4" s="107" t="s">
        <v>220</v>
      </c>
      <c r="G4" s="107" t="s">
        <v>220</v>
      </c>
      <c r="H4" s="107" t="s">
        <v>220</v>
      </c>
      <c r="I4" s="107" t="s">
        <v>220</v>
      </c>
      <c r="J4" s="107" t="s">
        <v>220</v>
      </c>
      <c r="K4" s="107" t="s">
        <v>982</v>
      </c>
      <c r="L4" s="107" t="s">
        <v>213</v>
      </c>
      <c r="M4" s="107" t="s">
        <v>981</v>
      </c>
      <c r="N4" s="107" t="s">
        <v>1284</v>
      </c>
      <c r="O4" s="107" t="s">
        <v>1201</v>
      </c>
      <c r="P4" s="107" t="s">
        <v>809</v>
      </c>
      <c r="Q4" s="107">
        <v>33.22</v>
      </c>
      <c r="R4" s="247" t="s">
        <v>1286</v>
      </c>
      <c r="T4" s="107" t="s">
        <v>982</v>
      </c>
      <c r="U4" s="107" t="s">
        <v>214</v>
      </c>
      <c r="V4" s="107" t="s">
        <v>1080</v>
      </c>
      <c r="W4" s="107" t="s">
        <v>1284</v>
      </c>
      <c r="X4" s="107" t="s">
        <v>1201</v>
      </c>
      <c r="Y4" s="107" t="s">
        <v>210</v>
      </c>
      <c r="Z4" s="107">
        <v>31.93</v>
      </c>
      <c r="AA4" s="247" t="s">
        <v>1288</v>
      </c>
      <c r="AE4" s="256" t="s">
        <v>54</v>
      </c>
      <c r="AF4" s="267">
        <v>92.35</v>
      </c>
      <c r="AG4" s="267">
        <f>30.5*4*1000</f>
        <v>122000</v>
      </c>
      <c r="AH4" s="267"/>
      <c r="AI4" s="267"/>
      <c r="AJ4" s="258">
        <f>AF4*0.00004/1000000*6.022E+23</f>
        <v>2224526800000000.3</v>
      </c>
      <c r="AK4" s="259"/>
      <c r="AN4" s="268" t="s">
        <v>1289</v>
      </c>
    </row>
    <row r="5" spans="1:46" x14ac:dyDescent="0.2">
      <c r="A5" s="107" t="s">
        <v>213</v>
      </c>
      <c r="B5" s="107" t="s">
        <v>1080</v>
      </c>
      <c r="C5" s="107" t="s">
        <v>206</v>
      </c>
      <c r="D5" s="107" t="s">
        <v>210</v>
      </c>
      <c r="E5" s="107">
        <v>29.75</v>
      </c>
      <c r="F5" s="107" t="s">
        <v>220</v>
      </c>
      <c r="G5" s="107" t="s">
        <v>220</v>
      </c>
      <c r="H5" s="107" t="s">
        <v>220</v>
      </c>
      <c r="I5" s="107" t="s">
        <v>220</v>
      </c>
      <c r="J5" s="107" t="s">
        <v>220</v>
      </c>
      <c r="K5" s="107" t="s">
        <v>982</v>
      </c>
      <c r="L5" s="107" t="s">
        <v>213</v>
      </c>
      <c r="M5" s="107" t="s">
        <v>1080</v>
      </c>
      <c r="N5" s="107" t="s">
        <v>1284</v>
      </c>
      <c r="O5" s="107" t="s">
        <v>1201</v>
      </c>
      <c r="P5" s="107" t="s">
        <v>210</v>
      </c>
      <c r="Q5" s="107">
        <v>29.75</v>
      </c>
      <c r="R5" s="247" t="s">
        <v>1286</v>
      </c>
      <c r="T5" s="107" t="s">
        <v>982</v>
      </c>
      <c r="U5" s="107" t="s">
        <v>215</v>
      </c>
      <c r="V5" s="107" t="s">
        <v>1080</v>
      </c>
      <c r="W5" s="107" t="s">
        <v>1284</v>
      </c>
      <c r="X5" s="107" t="s">
        <v>1201</v>
      </c>
      <c r="Y5" s="107" t="s">
        <v>210</v>
      </c>
      <c r="Z5" s="107">
        <v>38.03</v>
      </c>
      <c r="AA5" s="247" t="s">
        <v>1290</v>
      </c>
      <c r="AE5" s="252"/>
      <c r="AF5" s="269"/>
      <c r="AG5" s="269"/>
      <c r="AH5" s="269"/>
      <c r="AI5" s="269"/>
      <c r="AJ5" s="254"/>
      <c r="AK5" s="255"/>
      <c r="AN5" s="270"/>
      <c r="AO5" s="271"/>
      <c r="AQ5" s="271"/>
      <c r="AR5" s="271"/>
      <c r="AS5" s="271"/>
      <c r="AT5" s="272"/>
    </row>
    <row r="6" spans="1:46" x14ac:dyDescent="0.2">
      <c r="A6" s="107" t="s">
        <v>214</v>
      </c>
      <c r="B6" s="107" t="s">
        <v>981</v>
      </c>
      <c r="C6" s="107" t="s">
        <v>206</v>
      </c>
      <c r="D6" s="107" t="s">
        <v>809</v>
      </c>
      <c r="E6" s="107">
        <v>31.96</v>
      </c>
      <c r="F6" s="107" t="s">
        <v>220</v>
      </c>
      <c r="G6" s="107" t="s">
        <v>220</v>
      </c>
      <c r="H6" s="107" t="s">
        <v>220</v>
      </c>
      <c r="I6" s="107" t="s">
        <v>220</v>
      </c>
      <c r="J6" s="107" t="s">
        <v>220</v>
      </c>
      <c r="K6" s="107" t="s">
        <v>982</v>
      </c>
      <c r="L6" s="107" t="s">
        <v>214</v>
      </c>
      <c r="M6" s="107" t="s">
        <v>981</v>
      </c>
      <c r="N6" s="107" t="s">
        <v>1284</v>
      </c>
      <c r="O6" s="107" t="s">
        <v>1201</v>
      </c>
      <c r="P6" s="107" t="s">
        <v>809</v>
      </c>
      <c r="Q6" s="107">
        <v>31.96</v>
      </c>
      <c r="R6" s="247" t="s">
        <v>1288</v>
      </c>
      <c r="T6" s="107" t="s">
        <v>982</v>
      </c>
      <c r="U6" s="107" t="s">
        <v>216</v>
      </c>
      <c r="V6" s="107" t="s">
        <v>1080</v>
      </c>
      <c r="W6" s="107" t="s">
        <v>1284</v>
      </c>
      <c r="X6" s="107" t="s">
        <v>1201</v>
      </c>
      <c r="Y6" s="107" t="s">
        <v>210</v>
      </c>
      <c r="AA6" s="247" t="s">
        <v>1291</v>
      </c>
      <c r="AE6" s="256" t="s">
        <v>1097</v>
      </c>
      <c r="AF6" s="267">
        <f>AF4/100</f>
        <v>0.92349999999999999</v>
      </c>
      <c r="AG6" s="267">
        <f>30.5*1000</f>
        <v>30500</v>
      </c>
      <c r="AH6" s="267"/>
      <c r="AI6" s="267"/>
      <c r="AJ6" s="258">
        <f>AF4*0.00001/1000000*6.022E+23</f>
        <v>556131700000000.06</v>
      </c>
      <c r="AK6" s="259"/>
      <c r="AN6" s="273"/>
      <c r="AO6" s="108"/>
      <c r="AP6" s="108" t="s">
        <v>1283</v>
      </c>
      <c r="AQ6" s="108" t="s">
        <v>80</v>
      </c>
      <c r="AR6" s="108" t="s">
        <v>1292</v>
      </c>
      <c r="AS6" s="108" t="s">
        <v>1293</v>
      </c>
      <c r="AT6" s="274"/>
    </row>
    <row r="7" spans="1:46" ht="15" x14ac:dyDescent="0.25">
      <c r="A7" s="107" t="s">
        <v>214</v>
      </c>
      <c r="B7" s="107" t="s">
        <v>1080</v>
      </c>
      <c r="C7" s="107" t="s">
        <v>206</v>
      </c>
      <c r="D7" s="107" t="s">
        <v>210</v>
      </c>
      <c r="E7" s="107">
        <v>31.93</v>
      </c>
      <c r="F7" s="107" t="s">
        <v>220</v>
      </c>
      <c r="G7" s="107" t="s">
        <v>220</v>
      </c>
      <c r="H7" s="107" t="s">
        <v>220</v>
      </c>
      <c r="I7" s="107" t="s">
        <v>220</v>
      </c>
      <c r="J7" s="107" t="s">
        <v>220</v>
      </c>
      <c r="K7" s="107" t="s">
        <v>982</v>
      </c>
      <c r="L7" s="107" t="s">
        <v>214</v>
      </c>
      <c r="M7" s="107" t="s">
        <v>1080</v>
      </c>
      <c r="N7" s="107" t="s">
        <v>1284</v>
      </c>
      <c r="O7" s="107" t="s">
        <v>1201</v>
      </c>
      <c r="P7" s="107" t="s">
        <v>210</v>
      </c>
      <c r="Q7" s="107">
        <v>31.93</v>
      </c>
      <c r="R7" s="247" t="s">
        <v>1288</v>
      </c>
      <c r="T7" s="107" t="s">
        <v>982</v>
      </c>
      <c r="U7" s="107" t="s">
        <v>217</v>
      </c>
      <c r="V7" s="107" t="s">
        <v>1080</v>
      </c>
      <c r="W7" s="107" t="s">
        <v>1284</v>
      </c>
      <c r="X7" s="107" t="s">
        <v>1201</v>
      </c>
      <c r="Y7" s="107" t="s">
        <v>210</v>
      </c>
      <c r="Z7" s="107" t="s">
        <v>220</v>
      </c>
      <c r="AA7" s="247" t="s">
        <v>1294</v>
      </c>
      <c r="AE7" s="252"/>
      <c r="AF7" s="269"/>
      <c r="AG7" s="269"/>
      <c r="AH7" s="269"/>
      <c r="AI7" s="269"/>
      <c r="AJ7" s="254"/>
      <c r="AK7" s="255"/>
      <c r="AN7" s="273"/>
      <c r="AO7" s="108"/>
      <c r="AP7" s="275" t="s">
        <v>1285</v>
      </c>
      <c r="AQ7" s="108">
        <v>4</v>
      </c>
      <c r="AR7" s="108">
        <v>4</v>
      </c>
      <c r="AS7" s="276">
        <f>AR7/AQ7</f>
        <v>1</v>
      </c>
      <c r="AT7" s="274">
        <v>100</v>
      </c>
    </row>
    <row r="8" spans="1:46" ht="15" x14ac:dyDescent="0.25">
      <c r="A8" s="107" t="s">
        <v>215</v>
      </c>
      <c r="B8" s="107" t="s">
        <v>981</v>
      </c>
      <c r="C8" s="107" t="s">
        <v>206</v>
      </c>
      <c r="D8" s="107" t="s">
        <v>809</v>
      </c>
      <c r="E8" s="107">
        <v>32.9</v>
      </c>
      <c r="F8" s="107" t="s">
        <v>220</v>
      </c>
      <c r="G8" s="107" t="s">
        <v>220</v>
      </c>
      <c r="H8" s="107" t="s">
        <v>220</v>
      </c>
      <c r="I8" s="107" t="s">
        <v>220</v>
      </c>
      <c r="J8" s="107" t="s">
        <v>220</v>
      </c>
      <c r="K8" s="107" t="s">
        <v>982</v>
      </c>
      <c r="L8" s="107" t="s">
        <v>215</v>
      </c>
      <c r="M8" s="107" t="s">
        <v>981</v>
      </c>
      <c r="N8" s="107" t="s">
        <v>1284</v>
      </c>
      <c r="O8" s="107" t="s">
        <v>1201</v>
      </c>
      <c r="P8" s="107" t="s">
        <v>809</v>
      </c>
      <c r="Q8" s="107">
        <v>32.9</v>
      </c>
      <c r="R8" s="247" t="s">
        <v>1290</v>
      </c>
      <c r="T8" s="107" t="s">
        <v>982</v>
      </c>
      <c r="U8" s="107" t="s">
        <v>218</v>
      </c>
      <c r="V8" s="107" t="s">
        <v>1080</v>
      </c>
      <c r="W8" s="107" t="s">
        <v>1284</v>
      </c>
      <c r="X8" s="107" t="s">
        <v>1201</v>
      </c>
      <c r="Y8" s="107" t="s">
        <v>210</v>
      </c>
      <c r="Z8" s="107" t="s">
        <v>220</v>
      </c>
      <c r="AA8" s="247" t="s">
        <v>1295</v>
      </c>
      <c r="AE8" s="256" t="s">
        <v>1098</v>
      </c>
      <c r="AF8" s="267">
        <f>AF6/100</f>
        <v>9.2350000000000002E-3</v>
      </c>
      <c r="AG8" s="267">
        <f>AG6/100</f>
        <v>305</v>
      </c>
      <c r="AH8" s="267">
        <f>AG8/1000*2</f>
        <v>0.61</v>
      </c>
      <c r="AI8" s="267">
        <f>AG8/1000000000/29274.1*6.022E+23</f>
        <v>6274180931266.8877</v>
      </c>
      <c r="AJ8" s="258">
        <f>AJ6/100</f>
        <v>5561317000000.001</v>
      </c>
      <c r="AK8" s="259">
        <f>AJ8/1000*2</f>
        <v>11122634000.000002</v>
      </c>
      <c r="AL8" s="107">
        <f>AF8*0.001/1000000*6.022E+23</f>
        <v>5561317000000.001</v>
      </c>
      <c r="AM8" s="277">
        <f>AL8/1000*2</f>
        <v>11122634000.000002</v>
      </c>
      <c r="AN8" s="273"/>
      <c r="AO8" s="108"/>
      <c r="AP8" s="275" t="s">
        <v>1286</v>
      </c>
      <c r="AQ8" s="108">
        <v>4</v>
      </c>
      <c r="AR8" s="108">
        <v>4</v>
      </c>
      <c r="AS8" s="276">
        <f t="shared" ref="AS8:AS14" si="0">AR8/AQ8</f>
        <v>1</v>
      </c>
      <c r="AT8" s="274">
        <v>100</v>
      </c>
    </row>
    <row r="9" spans="1:46" ht="15" x14ac:dyDescent="0.25">
      <c r="A9" s="107" t="s">
        <v>215</v>
      </c>
      <c r="B9" s="107" t="s">
        <v>1080</v>
      </c>
      <c r="C9" s="107" t="s">
        <v>206</v>
      </c>
      <c r="D9" s="107" t="s">
        <v>210</v>
      </c>
      <c r="E9" s="107">
        <v>38.03</v>
      </c>
      <c r="F9" s="107" t="s">
        <v>220</v>
      </c>
      <c r="G9" s="107" t="s">
        <v>220</v>
      </c>
      <c r="H9" s="107" t="s">
        <v>220</v>
      </c>
      <c r="I9" s="107" t="s">
        <v>220</v>
      </c>
      <c r="J9" s="107" t="s">
        <v>220</v>
      </c>
      <c r="K9" s="107" t="s">
        <v>982</v>
      </c>
      <c r="L9" s="107" t="s">
        <v>215</v>
      </c>
      <c r="M9" s="107" t="s">
        <v>1080</v>
      </c>
      <c r="N9" s="107" t="s">
        <v>1284</v>
      </c>
      <c r="O9" s="107" t="s">
        <v>1201</v>
      </c>
      <c r="P9" s="107" t="s">
        <v>210</v>
      </c>
      <c r="Q9" s="107">
        <v>38.03</v>
      </c>
      <c r="R9" s="247" t="s">
        <v>1290</v>
      </c>
      <c r="T9" s="107" t="s">
        <v>982</v>
      </c>
      <c r="U9" s="107" t="s">
        <v>219</v>
      </c>
      <c r="V9" s="107" t="s">
        <v>1080</v>
      </c>
      <c r="W9" s="107" t="s">
        <v>1284</v>
      </c>
      <c r="X9" s="107" t="s">
        <v>1201</v>
      </c>
      <c r="Y9" s="107" t="s">
        <v>210</v>
      </c>
      <c r="Z9" s="107" t="s">
        <v>220</v>
      </c>
      <c r="AA9" s="107" t="s">
        <v>915</v>
      </c>
      <c r="AE9" s="252" t="s">
        <v>1099</v>
      </c>
      <c r="AF9" s="269">
        <f t="shared" ref="AF9:AF22" si="1">AF8/10</f>
        <v>9.2350000000000006E-4</v>
      </c>
      <c r="AG9" s="269">
        <f>AG8/10</f>
        <v>30.5</v>
      </c>
      <c r="AH9" s="267">
        <f t="shared" ref="AH9:AH19" si="2">AG9/1000*2</f>
        <v>6.0999999999999999E-2</v>
      </c>
      <c r="AI9" s="269">
        <f>AI8/10</f>
        <v>627418093126.68872</v>
      </c>
      <c r="AJ9" s="254">
        <f t="shared" ref="AJ9:AJ22" si="3">AJ8/10</f>
        <v>556131700000.00012</v>
      </c>
      <c r="AK9" s="255">
        <f t="shared" ref="AK9:AK22" si="4">AJ9/1000*2</f>
        <v>1112263400.0000002</v>
      </c>
      <c r="AL9" s="107">
        <f t="shared" ref="AL9:AL19" si="5">AF9*0.001/1000000*6.022E+23</f>
        <v>556131700000</v>
      </c>
      <c r="AM9" s="277">
        <f t="shared" ref="AM9:AM19" si="6">AL9/1000*2</f>
        <v>1112263400</v>
      </c>
      <c r="AN9" s="273"/>
      <c r="AO9" s="108"/>
      <c r="AP9" s="275" t="s">
        <v>1288</v>
      </c>
      <c r="AQ9" s="108">
        <v>4</v>
      </c>
      <c r="AR9" s="108">
        <v>4</v>
      </c>
      <c r="AS9" s="276">
        <f t="shared" si="0"/>
        <v>1</v>
      </c>
      <c r="AT9" s="274">
        <v>100</v>
      </c>
    </row>
    <row r="10" spans="1:46" ht="15" x14ac:dyDescent="0.25">
      <c r="A10" s="107" t="s">
        <v>216</v>
      </c>
      <c r="B10" s="107" t="s">
        <v>981</v>
      </c>
      <c r="C10" s="107" t="s">
        <v>206</v>
      </c>
      <c r="D10" s="107" t="s">
        <v>809</v>
      </c>
      <c r="E10" s="107">
        <v>31.97</v>
      </c>
      <c r="F10" s="107" t="s">
        <v>220</v>
      </c>
      <c r="G10" s="107" t="s">
        <v>220</v>
      </c>
      <c r="H10" s="107" t="s">
        <v>220</v>
      </c>
      <c r="I10" s="107" t="s">
        <v>220</v>
      </c>
      <c r="J10" s="107" t="s">
        <v>220</v>
      </c>
      <c r="K10" s="107" t="s">
        <v>982</v>
      </c>
      <c r="L10" s="107" t="s">
        <v>216</v>
      </c>
      <c r="M10" s="107" t="s">
        <v>981</v>
      </c>
      <c r="N10" s="107" t="s">
        <v>1284</v>
      </c>
      <c r="O10" s="107" t="s">
        <v>1201</v>
      </c>
      <c r="P10" s="107" t="s">
        <v>809</v>
      </c>
      <c r="Q10" s="107">
        <v>31.97</v>
      </c>
      <c r="R10" s="247" t="s">
        <v>1291</v>
      </c>
      <c r="T10" s="107" t="s">
        <v>982</v>
      </c>
      <c r="U10" s="107" t="s">
        <v>250</v>
      </c>
      <c r="V10" s="107" t="s">
        <v>1080</v>
      </c>
      <c r="W10" s="107" t="s">
        <v>1284</v>
      </c>
      <c r="X10" s="107" t="s">
        <v>1202</v>
      </c>
      <c r="Y10" s="107" t="s">
        <v>210</v>
      </c>
      <c r="Z10" s="107">
        <v>26.83</v>
      </c>
      <c r="AA10" s="247" t="s">
        <v>1285</v>
      </c>
      <c r="AE10" s="256" t="s">
        <v>1100</v>
      </c>
      <c r="AF10" s="267">
        <f t="shared" si="1"/>
        <v>9.2350000000000009E-5</v>
      </c>
      <c r="AG10" s="267">
        <f t="shared" ref="AG10:AG22" si="7">AG8/100</f>
        <v>3.05</v>
      </c>
      <c r="AH10" s="267">
        <f t="shared" si="2"/>
        <v>6.0999999999999995E-3</v>
      </c>
      <c r="AI10" s="267">
        <f t="shared" ref="AI10:AI22" si="8">AI9/10</f>
        <v>62741809312.668869</v>
      </c>
      <c r="AJ10" s="258">
        <f t="shared" si="3"/>
        <v>55613170000.000015</v>
      </c>
      <c r="AK10" s="259">
        <f t="shared" si="4"/>
        <v>111226340.00000003</v>
      </c>
      <c r="AL10" s="107">
        <f t="shared" si="5"/>
        <v>55613170000.000015</v>
      </c>
      <c r="AM10" s="277">
        <f t="shared" si="6"/>
        <v>111226340.00000003</v>
      </c>
      <c r="AN10" s="273"/>
      <c r="AO10" s="108"/>
      <c r="AP10" s="275" t="s">
        <v>1290</v>
      </c>
      <c r="AQ10" s="108">
        <v>4</v>
      </c>
      <c r="AR10" s="108">
        <v>2</v>
      </c>
      <c r="AS10" s="276">
        <f t="shared" si="0"/>
        <v>0.5</v>
      </c>
      <c r="AT10" s="274">
        <v>50</v>
      </c>
    </row>
    <row r="11" spans="1:46" ht="15" x14ac:dyDescent="0.25">
      <c r="A11" s="107" t="s">
        <v>216</v>
      </c>
      <c r="B11" s="107" t="s">
        <v>1080</v>
      </c>
      <c r="C11" s="107" t="s">
        <v>206</v>
      </c>
      <c r="D11" s="107" t="s">
        <v>210</v>
      </c>
      <c r="E11" s="107">
        <v>36.94</v>
      </c>
      <c r="F11" s="107" t="s">
        <v>220</v>
      </c>
      <c r="G11" s="107" t="s">
        <v>220</v>
      </c>
      <c r="H11" s="107" t="s">
        <v>220</v>
      </c>
      <c r="I11" s="107" t="s">
        <v>220</v>
      </c>
      <c r="J11" s="107" t="s">
        <v>220</v>
      </c>
      <c r="K11" s="107" t="s">
        <v>982</v>
      </c>
      <c r="L11" s="107" t="s">
        <v>216</v>
      </c>
      <c r="M11" s="107" t="s">
        <v>1080</v>
      </c>
      <c r="N11" s="107" t="s">
        <v>1284</v>
      </c>
      <c r="O11" s="107" t="s">
        <v>1201</v>
      </c>
      <c r="P11" s="107" t="s">
        <v>210</v>
      </c>
      <c r="Q11" s="107">
        <v>36.94</v>
      </c>
      <c r="R11" s="247" t="s">
        <v>1291</v>
      </c>
      <c r="T11" s="107" t="s">
        <v>982</v>
      </c>
      <c r="U11" s="107" t="s">
        <v>251</v>
      </c>
      <c r="V11" s="107" t="s">
        <v>1080</v>
      </c>
      <c r="W11" s="107" t="s">
        <v>1284</v>
      </c>
      <c r="X11" s="107" t="s">
        <v>1202</v>
      </c>
      <c r="Y11" s="107" t="s">
        <v>210</v>
      </c>
      <c r="Z11" s="107">
        <v>29.71</v>
      </c>
      <c r="AA11" s="247" t="s">
        <v>1286</v>
      </c>
      <c r="AE11" s="252" t="s">
        <v>1101</v>
      </c>
      <c r="AF11" s="269">
        <f t="shared" si="1"/>
        <v>9.2350000000000005E-6</v>
      </c>
      <c r="AG11" s="269">
        <f t="shared" si="7"/>
        <v>0.30499999999999999</v>
      </c>
      <c r="AH11" s="267">
        <f t="shared" si="2"/>
        <v>6.0999999999999997E-4</v>
      </c>
      <c r="AI11" s="269">
        <f t="shared" si="8"/>
        <v>6274180931.2668867</v>
      </c>
      <c r="AJ11" s="254">
        <f t="shared" si="3"/>
        <v>5561317000.0000019</v>
      </c>
      <c r="AK11" s="255">
        <f t="shared" si="4"/>
        <v>11122634.000000004</v>
      </c>
      <c r="AL11" s="107">
        <f t="shared" si="5"/>
        <v>5561317000.000001</v>
      </c>
      <c r="AM11" s="277">
        <f t="shared" si="6"/>
        <v>11122634.000000002</v>
      </c>
      <c r="AN11" s="273"/>
      <c r="AO11" s="108"/>
      <c r="AP11" s="275" t="s">
        <v>1291</v>
      </c>
      <c r="AQ11" s="108">
        <v>4</v>
      </c>
      <c r="AR11" s="108">
        <v>1</v>
      </c>
      <c r="AS11" s="276">
        <f t="shared" si="0"/>
        <v>0.25</v>
      </c>
      <c r="AT11" s="274">
        <v>25</v>
      </c>
    </row>
    <row r="12" spans="1:46" ht="15" x14ac:dyDescent="0.25">
      <c r="A12" s="107" t="s">
        <v>217</v>
      </c>
      <c r="B12" s="107" t="s">
        <v>981</v>
      </c>
      <c r="C12" s="107" t="s">
        <v>206</v>
      </c>
      <c r="D12" s="107" t="s">
        <v>809</v>
      </c>
      <c r="E12" s="107">
        <v>32.54</v>
      </c>
      <c r="F12" s="107" t="s">
        <v>220</v>
      </c>
      <c r="G12" s="107" t="s">
        <v>220</v>
      </c>
      <c r="H12" s="107" t="s">
        <v>220</v>
      </c>
      <c r="I12" s="107" t="s">
        <v>220</v>
      </c>
      <c r="J12" s="107" t="s">
        <v>220</v>
      </c>
      <c r="K12" s="107" t="s">
        <v>982</v>
      </c>
      <c r="L12" s="107" t="s">
        <v>217</v>
      </c>
      <c r="M12" s="107" t="s">
        <v>981</v>
      </c>
      <c r="N12" s="107" t="s">
        <v>1284</v>
      </c>
      <c r="O12" s="107" t="s">
        <v>1201</v>
      </c>
      <c r="P12" s="107" t="s">
        <v>809</v>
      </c>
      <c r="Q12" s="107">
        <v>32.54</v>
      </c>
      <c r="R12" s="247" t="s">
        <v>1294</v>
      </c>
      <c r="T12" s="107" t="s">
        <v>982</v>
      </c>
      <c r="U12" s="107" t="s">
        <v>252</v>
      </c>
      <c r="V12" s="107" t="s">
        <v>1080</v>
      </c>
      <c r="W12" s="107" t="s">
        <v>1284</v>
      </c>
      <c r="X12" s="107" t="s">
        <v>1202</v>
      </c>
      <c r="Y12" s="107" t="s">
        <v>210</v>
      </c>
      <c r="Z12" s="107">
        <v>32.840000000000003</v>
      </c>
      <c r="AA12" s="247" t="s">
        <v>1288</v>
      </c>
      <c r="AE12" s="256" t="s">
        <v>1102</v>
      </c>
      <c r="AF12" s="267">
        <f t="shared" si="1"/>
        <v>9.2350000000000003E-7</v>
      </c>
      <c r="AG12" s="267">
        <f t="shared" si="7"/>
        <v>3.0499999999999999E-2</v>
      </c>
      <c r="AH12" s="267">
        <f t="shared" si="2"/>
        <v>6.0999999999999999E-5</v>
      </c>
      <c r="AI12" s="267">
        <f t="shared" si="8"/>
        <v>627418093.12668872</v>
      </c>
      <c r="AJ12" s="258">
        <f t="shared" si="3"/>
        <v>556131700.00000024</v>
      </c>
      <c r="AK12" s="259">
        <f t="shared" si="4"/>
        <v>1112263.4000000004</v>
      </c>
      <c r="AL12" s="107">
        <f t="shared" si="5"/>
        <v>556131700.00000012</v>
      </c>
      <c r="AM12" s="277">
        <f t="shared" si="6"/>
        <v>1112263.4000000001</v>
      </c>
      <c r="AN12" s="273"/>
      <c r="AO12" s="108"/>
      <c r="AP12" s="275" t="s">
        <v>1294</v>
      </c>
      <c r="AQ12" s="108">
        <v>4</v>
      </c>
      <c r="AR12" s="108">
        <v>0</v>
      </c>
      <c r="AS12" s="276">
        <f t="shared" si="0"/>
        <v>0</v>
      </c>
      <c r="AT12" s="274">
        <v>0</v>
      </c>
    </row>
    <row r="13" spans="1:46" ht="15" x14ac:dyDescent="0.25">
      <c r="A13" s="107" t="s">
        <v>217</v>
      </c>
      <c r="B13" s="107" t="s">
        <v>1080</v>
      </c>
      <c r="C13" s="107" t="s">
        <v>206</v>
      </c>
      <c r="D13" s="107" t="s">
        <v>210</v>
      </c>
      <c r="E13" s="107" t="s">
        <v>220</v>
      </c>
      <c r="F13" s="107" t="s">
        <v>220</v>
      </c>
      <c r="G13" s="107" t="s">
        <v>220</v>
      </c>
      <c r="H13" s="107" t="s">
        <v>220</v>
      </c>
      <c r="I13" s="107" t="s">
        <v>220</v>
      </c>
      <c r="J13" s="107" t="s">
        <v>220</v>
      </c>
      <c r="K13" s="107" t="s">
        <v>982</v>
      </c>
      <c r="L13" s="107" t="s">
        <v>217</v>
      </c>
      <c r="M13" s="107" t="s">
        <v>1080</v>
      </c>
      <c r="N13" s="107" t="s">
        <v>1284</v>
      </c>
      <c r="O13" s="107" t="s">
        <v>1201</v>
      </c>
      <c r="P13" s="107" t="s">
        <v>210</v>
      </c>
      <c r="Q13" s="107" t="s">
        <v>220</v>
      </c>
      <c r="R13" s="247" t="s">
        <v>1294</v>
      </c>
      <c r="T13" s="107" t="s">
        <v>982</v>
      </c>
      <c r="U13" s="107" t="s">
        <v>253</v>
      </c>
      <c r="V13" s="107" t="s">
        <v>1080</v>
      </c>
      <c r="W13" s="107" t="s">
        <v>1284</v>
      </c>
      <c r="X13" s="107" t="s">
        <v>1202</v>
      </c>
      <c r="Y13" s="107" t="s">
        <v>210</v>
      </c>
      <c r="Z13" s="107">
        <v>36.86</v>
      </c>
      <c r="AA13" s="247" t="s">
        <v>1290</v>
      </c>
      <c r="AE13" s="252" t="s">
        <v>1103</v>
      </c>
      <c r="AF13" s="269">
        <f t="shared" si="1"/>
        <v>9.2350000000000003E-8</v>
      </c>
      <c r="AG13" s="269">
        <f t="shared" si="7"/>
        <v>3.0499999999999998E-3</v>
      </c>
      <c r="AH13" s="267">
        <f t="shared" si="2"/>
        <v>6.0999999999999992E-6</v>
      </c>
      <c r="AI13" s="269">
        <f t="shared" si="8"/>
        <v>62741809.312668875</v>
      </c>
      <c r="AJ13" s="254">
        <f t="shared" si="3"/>
        <v>55613170.000000022</v>
      </c>
      <c r="AK13" s="255">
        <f t="shared" si="4"/>
        <v>111226.34000000004</v>
      </c>
      <c r="AL13" s="107">
        <f t="shared" si="5"/>
        <v>55613170.000000007</v>
      </c>
      <c r="AM13" s="277">
        <f t="shared" si="6"/>
        <v>111226.34000000001</v>
      </c>
      <c r="AN13" s="273"/>
      <c r="AO13" s="108"/>
      <c r="AP13" s="275" t="s">
        <v>1295</v>
      </c>
      <c r="AQ13" s="108">
        <v>4</v>
      </c>
      <c r="AR13" s="108">
        <v>0</v>
      </c>
      <c r="AS13" s="276">
        <f t="shared" si="0"/>
        <v>0</v>
      </c>
      <c r="AT13" s="274">
        <v>0</v>
      </c>
    </row>
    <row r="14" spans="1:46" ht="15" x14ac:dyDescent="0.25">
      <c r="A14" s="107" t="s">
        <v>218</v>
      </c>
      <c r="B14" s="107" t="s">
        <v>981</v>
      </c>
      <c r="C14" s="107" t="s">
        <v>206</v>
      </c>
      <c r="D14" s="107" t="s">
        <v>809</v>
      </c>
      <c r="E14" s="107">
        <v>32.78</v>
      </c>
      <c r="F14" s="107" t="s">
        <v>220</v>
      </c>
      <c r="G14" s="107" t="s">
        <v>220</v>
      </c>
      <c r="H14" s="107" t="s">
        <v>220</v>
      </c>
      <c r="I14" s="107" t="s">
        <v>220</v>
      </c>
      <c r="J14" s="107" t="s">
        <v>220</v>
      </c>
      <c r="K14" s="107" t="s">
        <v>982</v>
      </c>
      <c r="L14" s="107" t="s">
        <v>218</v>
      </c>
      <c r="M14" s="107" t="s">
        <v>981</v>
      </c>
      <c r="N14" s="107" t="s">
        <v>1284</v>
      </c>
      <c r="O14" s="107" t="s">
        <v>1201</v>
      </c>
      <c r="P14" s="107" t="s">
        <v>809</v>
      </c>
      <c r="Q14" s="107">
        <v>32.78</v>
      </c>
      <c r="R14" s="247" t="s">
        <v>1295</v>
      </c>
      <c r="T14" s="107" t="s">
        <v>982</v>
      </c>
      <c r="U14" s="107" t="s">
        <v>254</v>
      </c>
      <c r="V14" s="107" t="s">
        <v>1080</v>
      </c>
      <c r="W14" s="107" t="s">
        <v>1284</v>
      </c>
      <c r="X14" s="107" t="s">
        <v>1202</v>
      </c>
      <c r="Y14" s="107" t="s">
        <v>210</v>
      </c>
      <c r="Z14" s="107">
        <v>38.81</v>
      </c>
      <c r="AA14" s="247" t="s">
        <v>1291</v>
      </c>
      <c r="AE14" s="256" t="s">
        <v>1104</v>
      </c>
      <c r="AF14" s="267">
        <f t="shared" si="1"/>
        <v>9.2349999999999996E-9</v>
      </c>
      <c r="AG14" s="267">
        <f t="shared" si="7"/>
        <v>3.0499999999999999E-4</v>
      </c>
      <c r="AH14" s="267">
        <f t="shared" si="2"/>
        <v>6.0999999999999998E-7</v>
      </c>
      <c r="AI14" s="267">
        <f t="shared" si="8"/>
        <v>6274180.9312668871</v>
      </c>
      <c r="AJ14" s="258">
        <f t="shared" si="3"/>
        <v>5561317.0000000019</v>
      </c>
      <c r="AK14" s="259">
        <f t="shared" si="4"/>
        <v>11122.634000000004</v>
      </c>
      <c r="AL14" s="107">
        <f t="shared" si="5"/>
        <v>5561317</v>
      </c>
      <c r="AM14" s="277">
        <f t="shared" si="6"/>
        <v>11122.634</v>
      </c>
      <c r="AN14" s="273"/>
      <c r="AO14" s="108"/>
      <c r="AP14" s="108" t="s">
        <v>915</v>
      </c>
      <c r="AQ14" s="108">
        <v>4</v>
      </c>
      <c r="AR14" s="108">
        <v>0</v>
      </c>
      <c r="AS14" s="276">
        <f t="shared" si="0"/>
        <v>0</v>
      </c>
      <c r="AT14" s="274">
        <v>0</v>
      </c>
    </row>
    <row r="15" spans="1:46" x14ac:dyDescent="0.2">
      <c r="A15" s="107" t="s">
        <v>218</v>
      </c>
      <c r="B15" s="107" t="s">
        <v>1080</v>
      </c>
      <c r="C15" s="107" t="s">
        <v>206</v>
      </c>
      <c r="D15" s="107" t="s">
        <v>210</v>
      </c>
      <c r="E15" s="107" t="s">
        <v>220</v>
      </c>
      <c r="F15" s="107" t="s">
        <v>220</v>
      </c>
      <c r="G15" s="107" t="s">
        <v>220</v>
      </c>
      <c r="H15" s="107" t="s">
        <v>220</v>
      </c>
      <c r="I15" s="107" t="s">
        <v>220</v>
      </c>
      <c r="J15" s="107" t="s">
        <v>220</v>
      </c>
      <c r="K15" s="107" t="s">
        <v>982</v>
      </c>
      <c r="L15" s="107" t="s">
        <v>218</v>
      </c>
      <c r="M15" s="107" t="s">
        <v>1080</v>
      </c>
      <c r="N15" s="107" t="s">
        <v>1284</v>
      </c>
      <c r="O15" s="107" t="s">
        <v>1201</v>
      </c>
      <c r="P15" s="107" t="s">
        <v>210</v>
      </c>
      <c r="Q15" s="107" t="s">
        <v>220</v>
      </c>
      <c r="R15" s="247" t="s">
        <v>1295</v>
      </c>
      <c r="T15" s="107" t="s">
        <v>982</v>
      </c>
      <c r="U15" s="107" t="s">
        <v>255</v>
      </c>
      <c r="V15" s="107" t="s">
        <v>1080</v>
      </c>
      <c r="W15" s="107" t="s">
        <v>1284</v>
      </c>
      <c r="X15" s="107" t="s">
        <v>1202</v>
      </c>
      <c r="Y15" s="107" t="s">
        <v>210</v>
      </c>
      <c r="Z15" s="107" t="s">
        <v>220</v>
      </c>
      <c r="AA15" s="247" t="s">
        <v>1294</v>
      </c>
      <c r="AE15" s="252" t="s">
        <v>1105</v>
      </c>
      <c r="AF15" s="269">
        <f t="shared" si="1"/>
        <v>9.2349999999999996E-10</v>
      </c>
      <c r="AG15" s="269">
        <f t="shared" si="7"/>
        <v>3.0499999999999996E-5</v>
      </c>
      <c r="AH15" s="267">
        <f t="shared" si="2"/>
        <v>6.099999999999999E-8</v>
      </c>
      <c r="AI15" s="269">
        <f t="shared" si="8"/>
        <v>627418.09312668873</v>
      </c>
      <c r="AJ15" s="254">
        <f t="shared" si="3"/>
        <v>556131.70000000019</v>
      </c>
      <c r="AK15" s="255">
        <f t="shared" si="4"/>
        <v>1112.2634000000003</v>
      </c>
      <c r="AL15" s="107">
        <f t="shared" si="5"/>
        <v>556131.70000000007</v>
      </c>
      <c r="AM15" s="277">
        <f t="shared" si="6"/>
        <v>1112.2634</v>
      </c>
      <c r="AN15" s="273"/>
      <c r="AO15" s="108"/>
      <c r="AP15" s="108"/>
      <c r="AQ15" s="108"/>
      <c r="AR15" s="108"/>
      <c r="AS15" s="108"/>
      <c r="AT15" s="274"/>
    </row>
    <row r="16" spans="1:46" x14ac:dyDescent="0.2">
      <c r="A16" s="107" t="s">
        <v>219</v>
      </c>
      <c r="B16" s="107" t="s">
        <v>981</v>
      </c>
      <c r="C16" s="107" t="s">
        <v>206</v>
      </c>
      <c r="D16" s="107" t="s">
        <v>809</v>
      </c>
      <c r="E16" s="107">
        <v>32.880000000000003</v>
      </c>
      <c r="F16" s="107" t="s">
        <v>220</v>
      </c>
      <c r="G16" s="107" t="s">
        <v>220</v>
      </c>
      <c r="H16" s="107" t="s">
        <v>220</v>
      </c>
      <c r="I16" s="107" t="s">
        <v>220</v>
      </c>
      <c r="J16" s="107" t="s">
        <v>220</v>
      </c>
      <c r="K16" s="107" t="s">
        <v>982</v>
      </c>
      <c r="L16" s="107" t="s">
        <v>219</v>
      </c>
      <c r="M16" s="107" t="s">
        <v>981</v>
      </c>
      <c r="N16" s="107" t="s">
        <v>1284</v>
      </c>
      <c r="O16" s="107" t="s">
        <v>1201</v>
      </c>
      <c r="P16" s="107" t="s">
        <v>809</v>
      </c>
      <c r="Q16" s="107">
        <v>32.880000000000003</v>
      </c>
      <c r="R16" s="107" t="s">
        <v>915</v>
      </c>
      <c r="T16" s="107" t="s">
        <v>982</v>
      </c>
      <c r="U16" s="107" t="s">
        <v>256</v>
      </c>
      <c r="V16" s="107" t="s">
        <v>1080</v>
      </c>
      <c r="W16" s="107" t="s">
        <v>1284</v>
      </c>
      <c r="X16" s="107" t="s">
        <v>1202</v>
      </c>
      <c r="Y16" s="107" t="s">
        <v>210</v>
      </c>
      <c r="AA16" s="247" t="s">
        <v>1295</v>
      </c>
      <c r="AE16" s="256" t="s">
        <v>1106</v>
      </c>
      <c r="AF16" s="267">
        <f t="shared" si="1"/>
        <v>9.2349999999999996E-11</v>
      </c>
      <c r="AG16" s="267">
        <f t="shared" si="7"/>
        <v>3.05E-6</v>
      </c>
      <c r="AH16" s="267">
        <f t="shared" si="2"/>
        <v>6.1E-9</v>
      </c>
      <c r="AI16" s="267">
        <f t="shared" si="8"/>
        <v>62741.809312668876</v>
      </c>
      <c r="AJ16" s="258">
        <f t="shared" si="3"/>
        <v>55613.17000000002</v>
      </c>
      <c r="AK16" s="259">
        <f t="shared" si="4"/>
        <v>111.22634000000004</v>
      </c>
      <c r="AL16" s="107">
        <f t="shared" si="5"/>
        <v>55613.17</v>
      </c>
      <c r="AM16" s="277">
        <f t="shared" si="6"/>
        <v>111.22633999999999</v>
      </c>
      <c r="AN16" s="273"/>
      <c r="AO16" s="108"/>
      <c r="AP16" s="108"/>
      <c r="AQ16" s="108"/>
      <c r="AR16" s="108"/>
      <c r="AS16" s="108"/>
      <c r="AT16" s="274"/>
    </row>
    <row r="17" spans="1:46" x14ac:dyDescent="0.2">
      <c r="A17" s="107" t="s">
        <v>219</v>
      </c>
      <c r="B17" s="107" t="s">
        <v>1080</v>
      </c>
      <c r="C17" s="107" t="s">
        <v>206</v>
      </c>
      <c r="D17" s="107" t="s">
        <v>210</v>
      </c>
      <c r="E17" s="107" t="s">
        <v>220</v>
      </c>
      <c r="F17" s="107" t="s">
        <v>220</v>
      </c>
      <c r="G17" s="107" t="s">
        <v>220</v>
      </c>
      <c r="H17" s="107" t="s">
        <v>220</v>
      </c>
      <c r="I17" s="107" t="s">
        <v>220</v>
      </c>
      <c r="J17" s="107" t="s">
        <v>220</v>
      </c>
      <c r="K17" s="107" t="s">
        <v>982</v>
      </c>
      <c r="L17" s="107" t="s">
        <v>219</v>
      </c>
      <c r="M17" s="107" t="s">
        <v>1080</v>
      </c>
      <c r="N17" s="107" t="s">
        <v>1284</v>
      </c>
      <c r="O17" s="107" t="s">
        <v>1201</v>
      </c>
      <c r="P17" s="107" t="s">
        <v>210</v>
      </c>
      <c r="Q17" s="107" t="s">
        <v>220</v>
      </c>
      <c r="R17" s="107" t="s">
        <v>915</v>
      </c>
      <c r="T17" s="107" t="s">
        <v>982</v>
      </c>
      <c r="U17" s="107" t="s">
        <v>257</v>
      </c>
      <c r="V17" s="107" t="s">
        <v>1080</v>
      </c>
      <c r="W17" s="107" t="s">
        <v>1284</v>
      </c>
      <c r="X17" s="107" t="s">
        <v>1202</v>
      </c>
      <c r="Y17" s="107" t="s">
        <v>210</v>
      </c>
      <c r="Z17" s="107">
        <v>37.270000000000003</v>
      </c>
      <c r="AA17" s="107" t="s">
        <v>915</v>
      </c>
      <c r="AE17" s="252" t="s">
        <v>1107</v>
      </c>
      <c r="AF17" s="269">
        <f t="shared" si="1"/>
        <v>9.2349999999999993E-12</v>
      </c>
      <c r="AG17" s="269">
        <f t="shared" si="7"/>
        <v>3.0499999999999994E-7</v>
      </c>
      <c r="AH17" s="267">
        <f t="shared" si="2"/>
        <v>6.0999999999999986E-10</v>
      </c>
      <c r="AI17" s="269">
        <f t="shared" si="8"/>
        <v>6274.1809312668875</v>
      </c>
      <c r="AJ17" s="254">
        <f t="shared" si="3"/>
        <v>5561.3170000000018</v>
      </c>
      <c r="AK17" s="255">
        <f t="shared" si="4"/>
        <v>11.122634000000003</v>
      </c>
      <c r="AL17" s="107">
        <f t="shared" si="5"/>
        <v>5561.317</v>
      </c>
      <c r="AM17" s="277">
        <f t="shared" si="6"/>
        <v>11.122634</v>
      </c>
      <c r="AN17" s="273"/>
      <c r="AO17" s="108"/>
      <c r="AP17" s="108"/>
      <c r="AQ17" s="108"/>
      <c r="AR17" s="108"/>
      <c r="AS17" s="108"/>
      <c r="AT17" s="274"/>
    </row>
    <row r="18" spans="1:46" x14ac:dyDescent="0.2">
      <c r="A18" s="107" t="s">
        <v>235</v>
      </c>
      <c r="B18" s="107" t="s">
        <v>981</v>
      </c>
      <c r="C18" s="107" t="s">
        <v>206</v>
      </c>
      <c r="D18" s="107" t="s">
        <v>809</v>
      </c>
      <c r="E18" s="107">
        <v>41.78</v>
      </c>
      <c r="F18" s="107" t="s">
        <v>220</v>
      </c>
      <c r="G18" s="107" t="s">
        <v>220</v>
      </c>
      <c r="H18" s="107" t="s">
        <v>220</v>
      </c>
      <c r="I18" s="107" t="s">
        <v>220</v>
      </c>
      <c r="J18" s="107" t="s">
        <v>220</v>
      </c>
      <c r="K18" s="107" t="s">
        <v>982</v>
      </c>
      <c r="L18" s="107" t="s">
        <v>235</v>
      </c>
      <c r="M18" s="107" t="s">
        <v>981</v>
      </c>
      <c r="N18" s="107" t="s">
        <v>1296</v>
      </c>
      <c r="O18" s="107" t="s">
        <v>1201</v>
      </c>
      <c r="P18" s="107" t="s">
        <v>809</v>
      </c>
      <c r="Q18" s="107">
        <v>41.78</v>
      </c>
      <c r="R18" s="247" t="s">
        <v>1285</v>
      </c>
      <c r="T18" s="107" t="s">
        <v>982</v>
      </c>
      <c r="U18" s="107" t="s">
        <v>276</v>
      </c>
      <c r="V18" s="107" t="s">
        <v>1080</v>
      </c>
      <c r="W18" s="107" t="s">
        <v>1284</v>
      </c>
      <c r="X18" s="107" t="s">
        <v>1203</v>
      </c>
      <c r="Y18" s="107" t="s">
        <v>210</v>
      </c>
      <c r="Z18" s="107">
        <v>27.24</v>
      </c>
      <c r="AA18" s="247" t="s">
        <v>1285</v>
      </c>
      <c r="AE18" s="256" t="s">
        <v>1108</v>
      </c>
      <c r="AF18" s="267">
        <f t="shared" si="1"/>
        <v>9.2349999999999985E-13</v>
      </c>
      <c r="AG18" s="267">
        <f t="shared" si="7"/>
        <v>3.0500000000000002E-8</v>
      </c>
      <c r="AH18" s="267">
        <f t="shared" si="2"/>
        <v>6.1000000000000009E-11</v>
      </c>
      <c r="AI18" s="267">
        <f t="shared" si="8"/>
        <v>627.41809312668875</v>
      </c>
      <c r="AJ18" s="258">
        <f t="shared" si="3"/>
        <v>556.13170000000014</v>
      </c>
      <c r="AK18" s="259">
        <f t="shared" si="4"/>
        <v>1.1122634000000002</v>
      </c>
      <c r="AL18" s="107">
        <f t="shared" si="5"/>
        <v>556.13170000000002</v>
      </c>
      <c r="AM18" s="277">
        <f t="shared" si="6"/>
        <v>1.1122634</v>
      </c>
      <c r="AN18" s="273"/>
      <c r="AO18" s="108"/>
      <c r="AP18" s="108"/>
      <c r="AQ18" s="108"/>
      <c r="AR18" s="108"/>
      <c r="AS18" s="108"/>
      <c r="AT18" s="274"/>
    </row>
    <row r="19" spans="1:46" ht="15" x14ac:dyDescent="0.2">
      <c r="A19" s="107" t="s">
        <v>235</v>
      </c>
      <c r="B19" s="107" t="s">
        <v>1080</v>
      </c>
      <c r="C19" s="107" t="s">
        <v>206</v>
      </c>
      <c r="D19" s="107" t="s">
        <v>210</v>
      </c>
      <c r="E19" s="107">
        <v>31.65</v>
      </c>
      <c r="F19" s="107" t="s">
        <v>220</v>
      </c>
      <c r="G19" s="107" t="s">
        <v>220</v>
      </c>
      <c r="H19" s="107" t="s">
        <v>220</v>
      </c>
      <c r="I19" s="107" t="s">
        <v>220</v>
      </c>
      <c r="J19" s="107" t="s">
        <v>220</v>
      </c>
      <c r="K19" s="107" t="s">
        <v>982</v>
      </c>
      <c r="L19" s="107" t="s">
        <v>235</v>
      </c>
      <c r="M19" s="107" t="s">
        <v>1080</v>
      </c>
      <c r="N19" s="107" t="s">
        <v>1296</v>
      </c>
      <c r="O19" s="107" t="s">
        <v>1201</v>
      </c>
      <c r="P19" s="107" t="s">
        <v>210</v>
      </c>
      <c r="Q19" s="107">
        <v>31.65</v>
      </c>
      <c r="R19" s="247" t="s">
        <v>1285</v>
      </c>
      <c r="T19" s="107" t="s">
        <v>982</v>
      </c>
      <c r="U19" s="107" t="s">
        <v>277</v>
      </c>
      <c r="V19" s="107" t="s">
        <v>1080</v>
      </c>
      <c r="W19" s="107" t="s">
        <v>1284</v>
      </c>
      <c r="X19" s="107" t="s">
        <v>1203</v>
      </c>
      <c r="Y19" s="107" t="s">
        <v>210</v>
      </c>
      <c r="Z19" s="107">
        <v>31.04</v>
      </c>
      <c r="AA19" s="247" t="s">
        <v>1286</v>
      </c>
      <c r="AE19" s="252" t="s">
        <v>1109</v>
      </c>
      <c r="AF19" s="269">
        <f t="shared" si="1"/>
        <v>9.234999999999998E-14</v>
      </c>
      <c r="AG19" s="269">
        <f t="shared" si="7"/>
        <v>3.0499999999999992E-9</v>
      </c>
      <c r="AH19" s="267">
        <f t="shared" si="2"/>
        <v>6.0999999999999986E-12</v>
      </c>
      <c r="AI19" s="269">
        <f t="shared" si="8"/>
        <v>62.741809312668877</v>
      </c>
      <c r="AJ19" s="254">
        <f t="shared" si="3"/>
        <v>55.613170000000011</v>
      </c>
      <c r="AK19" s="255">
        <f t="shared" si="4"/>
        <v>0.11122634000000002</v>
      </c>
      <c r="AL19" s="107">
        <f t="shared" si="5"/>
        <v>55.613169999999997</v>
      </c>
      <c r="AM19" s="277">
        <f t="shared" si="6"/>
        <v>0.11122633999999999</v>
      </c>
      <c r="AN19" s="273"/>
      <c r="AO19" s="108"/>
      <c r="AP19" s="108"/>
      <c r="AQ19" s="278" t="s">
        <v>21</v>
      </c>
      <c r="AR19" s="108" t="s">
        <v>1137</v>
      </c>
      <c r="AS19" s="108" t="s">
        <v>1279</v>
      </c>
      <c r="AT19" s="274" t="s">
        <v>1297</v>
      </c>
    </row>
    <row r="20" spans="1:46" x14ac:dyDescent="0.2">
      <c r="A20" s="107" t="s">
        <v>236</v>
      </c>
      <c r="B20" s="107" t="s">
        <v>981</v>
      </c>
      <c r="C20" s="107" t="s">
        <v>206</v>
      </c>
      <c r="D20" s="107" t="s">
        <v>809</v>
      </c>
      <c r="E20" s="107">
        <v>34.07</v>
      </c>
      <c r="F20" s="107" t="s">
        <v>220</v>
      </c>
      <c r="G20" s="107" t="s">
        <v>220</v>
      </c>
      <c r="H20" s="107" t="s">
        <v>220</v>
      </c>
      <c r="I20" s="107" t="s">
        <v>220</v>
      </c>
      <c r="J20" s="107" t="s">
        <v>220</v>
      </c>
      <c r="K20" s="107" t="s">
        <v>982</v>
      </c>
      <c r="L20" s="107" t="s">
        <v>236</v>
      </c>
      <c r="M20" s="107" t="s">
        <v>981</v>
      </c>
      <c r="N20" s="107" t="s">
        <v>1296</v>
      </c>
      <c r="O20" s="107" t="s">
        <v>1201</v>
      </c>
      <c r="P20" s="107" t="s">
        <v>809</v>
      </c>
      <c r="Q20" s="107">
        <v>34.07</v>
      </c>
      <c r="R20" s="247" t="s">
        <v>1286</v>
      </c>
      <c r="T20" s="107" t="s">
        <v>982</v>
      </c>
      <c r="U20" s="107" t="s">
        <v>278</v>
      </c>
      <c r="V20" s="107" t="s">
        <v>1080</v>
      </c>
      <c r="W20" s="107" t="s">
        <v>1284</v>
      </c>
      <c r="X20" s="107" t="s">
        <v>1203</v>
      </c>
      <c r="Y20" s="107" t="s">
        <v>210</v>
      </c>
      <c r="Z20" s="107">
        <v>32.83</v>
      </c>
      <c r="AA20" s="247" t="s">
        <v>1288</v>
      </c>
      <c r="AE20" s="256" t="s">
        <v>1110</v>
      </c>
      <c r="AF20" s="267">
        <f t="shared" si="1"/>
        <v>9.234999999999998E-15</v>
      </c>
      <c r="AG20" s="267">
        <f t="shared" si="7"/>
        <v>3.0500000000000003E-10</v>
      </c>
      <c r="AH20" s="267"/>
      <c r="AI20" s="267">
        <f t="shared" si="8"/>
        <v>6.2741809312668879</v>
      </c>
      <c r="AJ20" s="258">
        <f t="shared" si="3"/>
        <v>5.5613170000000007</v>
      </c>
      <c r="AK20" s="259">
        <f t="shared" si="4"/>
        <v>1.1122634000000001E-2</v>
      </c>
      <c r="AN20" s="273"/>
      <c r="AO20" s="108"/>
      <c r="AP20" s="108"/>
      <c r="AQ20" s="253">
        <v>9.2349999999999996E-10</v>
      </c>
      <c r="AR20" s="108">
        <f>LOG(AQ20)</f>
        <v>-9.034563100223739</v>
      </c>
      <c r="AS20" s="108">
        <v>100</v>
      </c>
      <c r="AT20" s="274">
        <f xml:space="preserve"> 101.2638 + (-3.43411 - 101.2638)/(1 + (AR20/-3.869408)^-15.23477)^25697910</f>
        <v>101.2638</v>
      </c>
    </row>
    <row r="21" spans="1:46" x14ac:dyDescent="0.2">
      <c r="A21" s="107" t="s">
        <v>236</v>
      </c>
      <c r="B21" s="107" t="s">
        <v>1080</v>
      </c>
      <c r="C21" s="107" t="s">
        <v>206</v>
      </c>
      <c r="D21" s="107" t="s">
        <v>210</v>
      </c>
      <c r="E21" s="107">
        <v>35.700000000000003</v>
      </c>
      <c r="F21" s="107" t="s">
        <v>220</v>
      </c>
      <c r="G21" s="107" t="s">
        <v>220</v>
      </c>
      <c r="H21" s="107" t="s">
        <v>220</v>
      </c>
      <c r="I21" s="107" t="s">
        <v>220</v>
      </c>
      <c r="J21" s="107" t="s">
        <v>220</v>
      </c>
      <c r="K21" s="107" t="s">
        <v>982</v>
      </c>
      <c r="L21" s="107" t="s">
        <v>236</v>
      </c>
      <c r="M21" s="107" t="s">
        <v>1080</v>
      </c>
      <c r="N21" s="107" t="s">
        <v>1296</v>
      </c>
      <c r="O21" s="107" t="s">
        <v>1201</v>
      </c>
      <c r="P21" s="107" t="s">
        <v>210</v>
      </c>
      <c r="Q21" s="107">
        <v>35.700000000000003</v>
      </c>
      <c r="R21" s="247" t="s">
        <v>1286</v>
      </c>
      <c r="T21" s="107" t="s">
        <v>982</v>
      </c>
      <c r="U21" s="107" t="s">
        <v>279</v>
      </c>
      <c r="V21" s="107" t="s">
        <v>1080</v>
      </c>
      <c r="W21" s="107" t="s">
        <v>1284</v>
      </c>
      <c r="X21" s="107" t="s">
        <v>1203</v>
      </c>
      <c r="Y21" s="107" t="s">
        <v>210</v>
      </c>
      <c r="Z21" s="107" t="s">
        <v>220</v>
      </c>
      <c r="AA21" s="247" t="s">
        <v>1290</v>
      </c>
      <c r="AE21" s="252" t="s">
        <v>1111</v>
      </c>
      <c r="AF21" s="269">
        <f t="shared" si="1"/>
        <v>9.2349999999999972E-16</v>
      </c>
      <c r="AG21" s="269">
        <f t="shared" si="7"/>
        <v>3.0499999999999992E-11</v>
      </c>
      <c r="AH21" s="269"/>
      <c r="AI21" s="269">
        <f t="shared" si="8"/>
        <v>0.62741809312668884</v>
      </c>
      <c r="AJ21" s="254">
        <f t="shared" si="3"/>
        <v>0.55613170000000012</v>
      </c>
      <c r="AK21" s="255">
        <f t="shared" si="4"/>
        <v>1.1122634000000002E-3</v>
      </c>
      <c r="AN21" s="273"/>
      <c r="AO21" s="108"/>
      <c r="AP21" s="108"/>
      <c r="AQ21" s="257">
        <v>9.2349999999999996E-11</v>
      </c>
      <c r="AR21" s="108">
        <f t="shared" ref="AR21:AR26" si="9">LOG(AQ21)</f>
        <v>-10.034563100223739</v>
      </c>
      <c r="AS21" s="108">
        <v>100</v>
      </c>
      <c r="AT21" s="274">
        <f t="shared" ref="AT21:AT27" si="10" xml:space="preserve"> 101.2638 + (-3.43411 - 101.2638)/(1 + (AR21/-3.869408)^-15.23477)^25697910</f>
        <v>101.26349089894819</v>
      </c>
    </row>
    <row r="22" spans="1:46" x14ac:dyDescent="0.2">
      <c r="A22" s="107" t="s">
        <v>237</v>
      </c>
      <c r="B22" s="107" t="s">
        <v>981</v>
      </c>
      <c r="C22" s="107" t="s">
        <v>206</v>
      </c>
      <c r="D22" s="107" t="s">
        <v>809</v>
      </c>
      <c r="E22" s="107">
        <v>34.26</v>
      </c>
      <c r="F22" s="107" t="s">
        <v>220</v>
      </c>
      <c r="G22" s="107" t="s">
        <v>220</v>
      </c>
      <c r="H22" s="107" t="s">
        <v>220</v>
      </c>
      <c r="I22" s="107" t="s">
        <v>220</v>
      </c>
      <c r="J22" s="107" t="s">
        <v>220</v>
      </c>
      <c r="K22" s="107" t="s">
        <v>982</v>
      </c>
      <c r="L22" s="107" t="s">
        <v>237</v>
      </c>
      <c r="M22" s="107" t="s">
        <v>981</v>
      </c>
      <c r="N22" s="107" t="s">
        <v>1296</v>
      </c>
      <c r="O22" s="107" t="s">
        <v>1201</v>
      </c>
      <c r="P22" s="107" t="s">
        <v>809</v>
      </c>
      <c r="Q22" s="107">
        <v>34.26</v>
      </c>
      <c r="R22" s="247" t="s">
        <v>1288</v>
      </c>
      <c r="T22" s="107" t="s">
        <v>982</v>
      </c>
      <c r="U22" s="107" t="s">
        <v>280</v>
      </c>
      <c r="V22" s="107" t="s">
        <v>1080</v>
      </c>
      <c r="W22" s="107" t="s">
        <v>1284</v>
      </c>
      <c r="X22" s="107" t="s">
        <v>1203</v>
      </c>
      <c r="Y22" s="107" t="s">
        <v>210</v>
      </c>
      <c r="Z22" s="107" t="s">
        <v>220</v>
      </c>
      <c r="AA22" s="247" t="s">
        <v>1291</v>
      </c>
      <c r="AE22" s="256" t="s">
        <v>1112</v>
      </c>
      <c r="AF22" s="267">
        <f t="shared" si="1"/>
        <v>9.2349999999999975E-17</v>
      </c>
      <c r="AG22" s="267">
        <f t="shared" si="7"/>
        <v>3.0500000000000001E-12</v>
      </c>
      <c r="AH22" s="267"/>
      <c r="AI22" s="267">
        <f t="shared" si="8"/>
        <v>6.2741809312668886E-2</v>
      </c>
      <c r="AJ22" s="258">
        <f t="shared" si="3"/>
        <v>5.561317000000001E-2</v>
      </c>
      <c r="AK22" s="259">
        <f t="shared" si="4"/>
        <v>1.1122634000000002E-4</v>
      </c>
      <c r="AN22" s="273" t="s">
        <v>1298</v>
      </c>
      <c r="AO22" s="108"/>
      <c r="AP22" s="108"/>
      <c r="AQ22" s="253">
        <v>9.2349999999999993E-12</v>
      </c>
      <c r="AR22" s="108">
        <f t="shared" si="9"/>
        <v>-11.034563100223739</v>
      </c>
      <c r="AS22" s="108">
        <v>100</v>
      </c>
      <c r="AT22" s="274">
        <f t="shared" si="10"/>
        <v>96.024902549837478</v>
      </c>
    </row>
    <row r="23" spans="1:46" x14ac:dyDescent="0.2">
      <c r="A23" s="107" t="s">
        <v>237</v>
      </c>
      <c r="B23" s="107" t="s">
        <v>1080</v>
      </c>
      <c r="C23" s="107" t="s">
        <v>206</v>
      </c>
      <c r="D23" s="107" t="s">
        <v>210</v>
      </c>
      <c r="E23" s="107" t="s">
        <v>220</v>
      </c>
      <c r="F23" s="107" t="s">
        <v>220</v>
      </c>
      <c r="G23" s="107" t="s">
        <v>220</v>
      </c>
      <c r="H23" s="107" t="s">
        <v>220</v>
      </c>
      <c r="I23" s="107" t="s">
        <v>220</v>
      </c>
      <c r="J23" s="107" t="s">
        <v>220</v>
      </c>
      <c r="K23" s="107" t="s">
        <v>982</v>
      </c>
      <c r="L23" s="107" t="s">
        <v>237</v>
      </c>
      <c r="M23" s="107" t="s">
        <v>1080</v>
      </c>
      <c r="N23" s="107" t="s">
        <v>1296</v>
      </c>
      <c r="O23" s="107" t="s">
        <v>1201</v>
      </c>
      <c r="P23" s="107" t="s">
        <v>210</v>
      </c>
      <c r="Q23" s="107" t="s">
        <v>220</v>
      </c>
      <c r="R23" s="247" t="s">
        <v>1288</v>
      </c>
      <c r="T23" s="107" t="s">
        <v>982</v>
      </c>
      <c r="U23" s="107" t="s">
        <v>281</v>
      </c>
      <c r="V23" s="107" t="s">
        <v>1080</v>
      </c>
      <c r="W23" s="107" t="s">
        <v>1284</v>
      </c>
      <c r="X23" s="107" t="s">
        <v>1203</v>
      </c>
      <c r="Y23" s="107" t="s">
        <v>210</v>
      </c>
      <c r="Z23" s="107" t="s">
        <v>220</v>
      </c>
      <c r="AA23" s="247" t="s">
        <v>1294</v>
      </c>
      <c r="AN23" s="273" t="s">
        <v>1299</v>
      </c>
      <c r="AO23" s="108"/>
      <c r="AP23" s="108"/>
      <c r="AQ23" s="257">
        <v>9.2349999999999985E-13</v>
      </c>
      <c r="AR23" s="108">
        <f t="shared" si="9"/>
        <v>-12.034563100223739</v>
      </c>
      <c r="AS23" s="108">
        <v>50</v>
      </c>
      <c r="AT23" s="274">
        <f t="shared" si="10"/>
        <v>54.161896247206371</v>
      </c>
    </row>
    <row r="24" spans="1:46" x14ac:dyDescent="0.2">
      <c r="A24" s="107" t="s">
        <v>238</v>
      </c>
      <c r="B24" s="107" t="s">
        <v>981</v>
      </c>
      <c r="C24" s="107" t="s">
        <v>206</v>
      </c>
      <c r="D24" s="107" t="s">
        <v>809</v>
      </c>
      <c r="E24" s="107">
        <v>34.68</v>
      </c>
      <c r="F24" s="107" t="s">
        <v>220</v>
      </c>
      <c r="G24" s="107" t="s">
        <v>220</v>
      </c>
      <c r="H24" s="107" t="s">
        <v>220</v>
      </c>
      <c r="I24" s="107" t="s">
        <v>220</v>
      </c>
      <c r="J24" s="107" t="s">
        <v>220</v>
      </c>
      <c r="K24" s="107" t="s">
        <v>982</v>
      </c>
      <c r="L24" s="107" t="s">
        <v>238</v>
      </c>
      <c r="M24" s="107" t="s">
        <v>981</v>
      </c>
      <c r="N24" s="107" t="s">
        <v>1296</v>
      </c>
      <c r="O24" s="107" t="s">
        <v>1201</v>
      </c>
      <c r="P24" s="107" t="s">
        <v>809</v>
      </c>
      <c r="Q24" s="107">
        <v>34.68</v>
      </c>
      <c r="R24" s="247" t="s">
        <v>1290</v>
      </c>
      <c r="T24" s="107" t="s">
        <v>982</v>
      </c>
      <c r="U24" s="107" t="s">
        <v>282</v>
      </c>
      <c r="V24" s="107" t="s">
        <v>1080</v>
      </c>
      <c r="W24" s="107" t="s">
        <v>1284</v>
      </c>
      <c r="X24" s="107" t="s">
        <v>1203</v>
      </c>
      <c r="Y24" s="107" t="s">
        <v>210</v>
      </c>
      <c r="AA24" s="247" t="s">
        <v>1295</v>
      </c>
      <c r="AN24" s="273"/>
      <c r="AO24" s="108"/>
      <c r="AP24" s="108"/>
      <c r="AQ24" s="253">
        <v>9.234999999999998E-14</v>
      </c>
      <c r="AR24" s="108">
        <f t="shared" si="9"/>
        <v>-13.034563100223741</v>
      </c>
      <c r="AS24" s="108">
        <v>25</v>
      </c>
      <c r="AT24" s="274">
        <f t="shared" si="10"/>
        <v>18.637344598563502</v>
      </c>
    </row>
    <row r="25" spans="1:46" x14ac:dyDescent="0.2">
      <c r="A25" s="107" t="s">
        <v>238</v>
      </c>
      <c r="B25" s="107" t="s">
        <v>1080</v>
      </c>
      <c r="C25" s="107" t="s">
        <v>206</v>
      </c>
      <c r="D25" s="107" t="s">
        <v>210</v>
      </c>
      <c r="E25" s="107" t="s">
        <v>220</v>
      </c>
      <c r="F25" s="107" t="s">
        <v>220</v>
      </c>
      <c r="G25" s="107" t="s">
        <v>220</v>
      </c>
      <c r="H25" s="107" t="s">
        <v>220</v>
      </c>
      <c r="I25" s="107" t="s">
        <v>220</v>
      </c>
      <c r="J25" s="107" t="s">
        <v>220</v>
      </c>
      <c r="K25" s="107" t="s">
        <v>982</v>
      </c>
      <c r="L25" s="107" t="s">
        <v>238</v>
      </c>
      <c r="M25" s="107" t="s">
        <v>1080</v>
      </c>
      <c r="N25" s="107" t="s">
        <v>1296</v>
      </c>
      <c r="O25" s="107" t="s">
        <v>1201</v>
      </c>
      <c r="P25" s="107" t="s">
        <v>210</v>
      </c>
      <c r="Q25" s="107" t="s">
        <v>220</v>
      </c>
      <c r="R25" s="247" t="s">
        <v>1290</v>
      </c>
      <c r="T25" s="107" t="s">
        <v>982</v>
      </c>
      <c r="U25" s="107" t="s">
        <v>283</v>
      </c>
      <c r="V25" s="107" t="s">
        <v>1080</v>
      </c>
      <c r="W25" s="107" t="s">
        <v>1284</v>
      </c>
      <c r="X25" s="107" t="s">
        <v>1203</v>
      </c>
      <c r="Y25" s="107" t="s">
        <v>210</v>
      </c>
      <c r="Z25" s="107" t="s">
        <v>220</v>
      </c>
      <c r="AA25" s="107" t="s">
        <v>915</v>
      </c>
      <c r="AN25" s="273"/>
      <c r="AO25" s="108"/>
      <c r="AP25" s="108"/>
      <c r="AQ25" s="257">
        <v>9.234999999999998E-15</v>
      </c>
      <c r="AR25" s="108">
        <f t="shared" si="9"/>
        <v>-14.034563100223741</v>
      </c>
      <c r="AS25" s="108">
        <v>0</v>
      </c>
      <c r="AT25" s="274">
        <f t="shared" si="10"/>
        <v>4.3031818662089591</v>
      </c>
    </row>
    <row r="26" spans="1:46" x14ac:dyDescent="0.2">
      <c r="A26" s="107" t="s">
        <v>239</v>
      </c>
      <c r="B26" s="107" t="s">
        <v>981</v>
      </c>
      <c r="C26" s="107" t="s">
        <v>206</v>
      </c>
      <c r="D26" s="107" t="s">
        <v>809</v>
      </c>
      <c r="E26" s="107">
        <v>33.43</v>
      </c>
      <c r="F26" s="107" t="s">
        <v>220</v>
      </c>
      <c r="G26" s="107" t="s">
        <v>220</v>
      </c>
      <c r="H26" s="107" t="s">
        <v>220</v>
      </c>
      <c r="I26" s="107" t="s">
        <v>220</v>
      </c>
      <c r="J26" s="107" t="s">
        <v>220</v>
      </c>
      <c r="K26" s="107" t="s">
        <v>982</v>
      </c>
      <c r="L26" s="107" t="s">
        <v>239</v>
      </c>
      <c r="M26" s="107" t="s">
        <v>981</v>
      </c>
      <c r="N26" s="107" t="s">
        <v>1296</v>
      </c>
      <c r="O26" s="107" t="s">
        <v>1201</v>
      </c>
      <c r="P26" s="107" t="s">
        <v>809</v>
      </c>
      <c r="Q26" s="107">
        <v>33.43</v>
      </c>
      <c r="R26" s="247" t="s">
        <v>1291</v>
      </c>
      <c r="T26" s="107" t="s">
        <v>982</v>
      </c>
      <c r="U26" s="107" t="s">
        <v>300</v>
      </c>
      <c r="V26" s="107" t="s">
        <v>1080</v>
      </c>
      <c r="W26" s="107" t="s">
        <v>1284</v>
      </c>
      <c r="X26" s="107" t="s">
        <v>1205</v>
      </c>
      <c r="Y26" s="107" t="s">
        <v>210</v>
      </c>
      <c r="Z26" s="107">
        <v>27.27</v>
      </c>
      <c r="AA26" s="247" t="s">
        <v>1285</v>
      </c>
      <c r="AN26" s="273"/>
      <c r="AO26" s="108"/>
      <c r="AP26" s="108"/>
      <c r="AQ26" s="253">
        <v>9.2349999999999972E-16</v>
      </c>
      <c r="AR26" s="108">
        <f t="shared" si="9"/>
        <v>-15.034563100223741</v>
      </c>
      <c r="AS26" s="108">
        <v>0</v>
      </c>
      <c r="AT26" s="274">
        <f t="shared" si="10"/>
        <v>-0.65485677002192233</v>
      </c>
    </row>
    <row r="27" spans="1:46" x14ac:dyDescent="0.2">
      <c r="A27" s="107" t="s">
        <v>239</v>
      </c>
      <c r="B27" s="107" t="s">
        <v>1080</v>
      </c>
      <c r="C27" s="107" t="s">
        <v>206</v>
      </c>
      <c r="D27" s="107" t="s">
        <v>210</v>
      </c>
      <c r="E27" s="107" t="s">
        <v>220</v>
      </c>
      <c r="F27" s="107" t="s">
        <v>220</v>
      </c>
      <c r="G27" s="107" t="s">
        <v>220</v>
      </c>
      <c r="H27" s="107" t="s">
        <v>220</v>
      </c>
      <c r="I27" s="107" t="s">
        <v>220</v>
      </c>
      <c r="J27" s="107" t="s">
        <v>220</v>
      </c>
      <c r="K27" s="107" t="s">
        <v>982</v>
      </c>
      <c r="L27" s="107" t="s">
        <v>239</v>
      </c>
      <c r="M27" s="107" t="s">
        <v>1080</v>
      </c>
      <c r="N27" s="107" t="s">
        <v>1296</v>
      </c>
      <c r="O27" s="107" t="s">
        <v>1201</v>
      </c>
      <c r="P27" s="107" t="s">
        <v>210</v>
      </c>
      <c r="Q27" s="107" t="s">
        <v>220</v>
      </c>
      <c r="R27" s="247" t="s">
        <v>1291</v>
      </c>
      <c r="T27" s="107" t="s">
        <v>982</v>
      </c>
      <c r="U27" s="107" t="s">
        <v>301</v>
      </c>
      <c r="V27" s="107" t="s">
        <v>1080</v>
      </c>
      <c r="W27" s="107" t="s">
        <v>1284</v>
      </c>
      <c r="X27" s="107" t="s">
        <v>1205</v>
      </c>
      <c r="Y27" s="107" t="s">
        <v>210</v>
      </c>
      <c r="Z27" s="107">
        <v>29.94</v>
      </c>
      <c r="AA27" s="247" t="s">
        <v>1286</v>
      </c>
      <c r="AN27" s="273"/>
      <c r="AO27" s="279">
        <f>AP27/1000*20</f>
        <v>100.36069173241829</v>
      </c>
      <c r="AP27" s="279">
        <f>AQ27*0.001/1000000*6.022E+23</f>
        <v>5018.0345866209145</v>
      </c>
      <c r="AQ27" s="280">
        <f>10^AR27</f>
        <v>8.3328372411506375E-12</v>
      </c>
      <c r="AR27" s="279">
        <v>-11.079207100828908</v>
      </c>
      <c r="AS27" s="279"/>
      <c r="AT27" s="281">
        <f t="shared" si="10"/>
        <v>94.99998986199455</v>
      </c>
    </row>
    <row r="28" spans="1:46" x14ac:dyDescent="0.2">
      <c r="A28" s="107" t="s">
        <v>242</v>
      </c>
      <c r="B28" s="107" t="s">
        <v>981</v>
      </c>
      <c r="C28" s="107" t="s">
        <v>206</v>
      </c>
      <c r="D28" s="107" t="s">
        <v>809</v>
      </c>
      <c r="E28" s="107">
        <v>32.94</v>
      </c>
      <c r="F28" s="107" t="s">
        <v>220</v>
      </c>
      <c r="G28" s="107" t="s">
        <v>220</v>
      </c>
      <c r="H28" s="107" t="s">
        <v>220</v>
      </c>
      <c r="I28" s="107" t="s">
        <v>220</v>
      </c>
      <c r="J28" s="107" t="s">
        <v>220</v>
      </c>
      <c r="K28" s="107" t="s">
        <v>982</v>
      </c>
      <c r="L28" s="107" t="s">
        <v>242</v>
      </c>
      <c r="M28" s="107" t="s">
        <v>981</v>
      </c>
      <c r="N28" s="107" t="s">
        <v>1296</v>
      </c>
      <c r="O28" s="107" t="s">
        <v>1201</v>
      </c>
      <c r="P28" s="107" t="s">
        <v>809</v>
      </c>
      <c r="Q28" s="107">
        <v>32.94</v>
      </c>
      <c r="R28" s="247" t="s">
        <v>1294</v>
      </c>
      <c r="T28" s="107" t="s">
        <v>982</v>
      </c>
      <c r="U28" s="107" t="s">
        <v>302</v>
      </c>
      <c r="V28" s="107" t="s">
        <v>1080</v>
      </c>
      <c r="W28" s="107" t="s">
        <v>1284</v>
      </c>
      <c r="X28" s="107" t="s">
        <v>1205</v>
      </c>
      <c r="Y28" s="107" t="s">
        <v>210</v>
      </c>
      <c r="Z28" s="107">
        <v>33.03</v>
      </c>
      <c r="AA28" s="247" t="s">
        <v>1288</v>
      </c>
      <c r="AN28" s="273"/>
      <c r="AO28" s="108"/>
      <c r="AP28" s="108"/>
      <c r="AQ28" s="108"/>
      <c r="AR28" s="108"/>
      <c r="AS28" s="108"/>
      <c r="AT28" s="274"/>
    </row>
    <row r="29" spans="1:46" x14ac:dyDescent="0.2">
      <c r="A29" s="107" t="s">
        <v>242</v>
      </c>
      <c r="B29" s="107" t="s">
        <v>1080</v>
      </c>
      <c r="C29" s="107" t="s">
        <v>206</v>
      </c>
      <c r="D29" s="107" t="s">
        <v>210</v>
      </c>
      <c r="E29" s="107">
        <v>38.35</v>
      </c>
      <c r="F29" s="107" t="s">
        <v>220</v>
      </c>
      <c r="G29" s="107" t="s">
        <v>220</v>
      </c>
      <c r="H29" s="107" t="s">
        <v>220</v>
      </c>
      <c r="I29" s="107" t="s">
        <v>220</v>
      </c>
      <c r="J29" s="107" t="s">
        <v>220</v>
      </c>
      <c r="K29" s="107" t="s">
        <v>982</v>
      </c>
      <c r="L29" s="107" t="s">
        <v>242</v>
      </c>
      <c r="M29" s="107" t="s">
        <v>1080</v>
      </c>
      <c r="N29" s="107" t="s">
        <v>1296</v>
      </c>
      <c r="O29" s="107" t="s">
        <v>1201</v>
      </c>
      <c r="P29" s="107" t="s">
        <v>210</v>
      </c>
      <c r="Q29" s="107">
        <v>38.35</v>
      </c>
      <c r="R29" s="247" t="s">
        <v>1294</v>
      </c>
      <c r="T29" s="107" t="s">
        <v>982</v>
      </c>
      <c r="U29" s="107" t="s">
        <v>303</v>
      </c>
      <c r="V29" s="107" t="s">
        <v>1080</v>
      </c>
      <c r="W29" s="107" t="s">
        <v>1284</v>
      </c>
      <c r="X29" s="107" t="s">
        <v>1205</v>
      </c>
      <c r="Y29" s="107" t="s">
        <v>210</v>
      </c>
      <c r="Z29" s="107" t="s">
        <v>220</v>
      </c>
      <c r="AA29" s="247" t="s">
        <v>1290</v>
      </c>
      <c r="AN29" s="273"/>
      <c r="AO29" s="108"/>
      <c r="AP29" s="108"/>
      <c r="AQ29" s="108"/>
      <c r="AR29" s="108"/>
      <c r="AS29" s="108"/>
      <c r="AT29" s="274" t="s">
        <v>1300</v>
      </c>
    </row>
    <row r="30" spans="1:46" ht="15" x14ac:dyDescent="0.2">
      <c r="A30" s="107" t="s">
        <v>243</v>
      </c>
      <c r="B30" s="107" t="s">
        <v>981</v>
      </c>
      <c r="C30" s="107" t="s">
        <v>206</v>
      </c>
      <c r="D30" s="107" t="s">
        <v>809</v>
      </c>
      <c r="E30" s="107">
        <v>34.31</v>
      </c>
      <c r="F30" s="107" t="s">
        <v>220</v>
      </c>
      <c r="G30" s="107" t="s">
        <v>220</v>
      </c>
      <c r="H30" s="107" t="s">
        <v>220</v>
      </c>
      <c r="I30" s="107" t="s">
        <v>220</v>
      </c>
      <c r="J30" s="107" t="s">
        <v>220</v>
      </c>
      <c r="K30" s="107" t="s">
        <v>982</v>
      </c>
      <c r="L30" s="107" t="s">
        <v>243</v>
      </c>
      <c r="M30" s="107" t="s">
        <v>981</v>
      </c>
      <c r="N30" s="107" t="s">
        <v>1296</v>
      </c>
      <c r="O30" s="107" t="s">
        <v>1201</v>
      </c>
      <c r="P30" s="107" t="s">
        <v>809</v>
      </c>
      <c r="Q30" s="107">
        <v>34.31</v>
      </c>
      <c r="R30" s="247" t="s">
        <v>1295</v>
      </c>
      <c r="T30" s="107" t="s">
        <v>982</v>
      </c>
      <c r="U30" s="107" t="s">
        <v>304</v>
      </c>
      <c r="V30" s="107" t="s">
        <v>1080</v>
      </c>
      <c r="W30" s="107" t="s">
        <v>1284</v>
      </c>
      <c r="X30" s="107" t="s">
        <v>1205</v>
      </c>
      <c r="Y30" s="107" t="s">
        <v>210</v>
      </c>
      <c r="Z30" s="107" t="s">
        <v>220</v>
      </c>
      <c r="AA30" s="247" t="s">
        <v>1291</v>
      </c>
      <c r="AN30" s="273"/>
      <c r="AO30" s="108"/>
      <c r="AP30" s="108"/>
      <c r="AQ30" s="278" t="s">
        <v>21</v>
      </c>
      <c r="AR30" s="108" t="s">
        <v>1137</v>
      </c>
      <c r="AS30" s="108" t="s">
        <v>1279</v>
      </c>
      <c r="AT30" s="274" t="s">
        <v>1297</v>
      </c>
    </row>
    <row r="31" spans="1:46" x14ac:dyDescent="0.2">
      <c r="A31" s="107" t="s">
        <v>243</v>
      </c>
      <c r="B31" s="107" t="s">
        <v>1080</v>
      </c>
      <c r="C31" s="107" t="s">
        <v>206</v>
      </c>
      <c r="D31" s="107" t="s">
        <v>210</v>
      </c>
      <c r="E31" s="107" t="s">
        <v>220</v>
      </c>
      <c r="F31" s="107" t="s">
        <v>220</v>
      </c>
      <c r="G31" s="107" t="s">
        <v>220</v>
      </c>
      <c r="H31" s="107" t="s">
        <v>220</v>
      </c>
      <c r="I31" s="107" t="s">
        <v>220</v>
      </c>
      <c r="J31" s="107" t="s">
        <v>220</v>
      </c>
      <c r="K31" s="107" t="s">
        <v>982</v>
      </c>
      <c r="L31" s="107" t="s">
        <v>243</v>
      </c>
      <c r="M31" s="107" t="s">
        <v>1080</v>
      </c>
      <c r="N31" s="107" t="s">
        <v>1296</v>
      </c>
      <c r="O31" s="107" t="s">
        <v>1201</v>
      </c>
      <c r="P31" s="107" t="s">
        <v>210</v>
      </c>
      <c r="Q31" s="107" t="s">
        <v>220</v>
      </c>
      <c r="R31" s="247" t="s">
        <v>1295</v>
      </c>
      <c r="T31" s="107" t="s">
        <v>982</v>
      </c>
      <c r="U31" s="107" t="s">
        <v>305</v>
      </c>
      <c r="V31" s="107" t="s">
        <v>1080</v>
      </c>
      <c r="W31" s="107" t="s">
        <v>1284</v>
      </c>
      <c r="X31" s="107" t="s">
        <v>1205</v>
      </c>
      <c r="Y31" s="107" t="s">
        <v>210</v>
      </c>
      <c r="Z31" s="107" t="s">
        <v>220</v>
      </c>
      <c r="AA31" s="247" t="s">
        <v>1294</v>
      </c>
      <c r="AN31" s="273"/>
      <c r="AO31" s="108"/>
      <c r="AP31" s="108"/>
      <c r="AQ31" s="108"/>
      <c r="AR31" s="108">
        <v>-9.034563100223739</v>
      </c>
      <c r="AS31" s="108">
        <v>100</v>
      </c>
      <c r="AT31" s="274" t="e">
        <f t="shared" ref="AT31:AT36" si="11" xml:space="preserve"> 100 + (-0.0000003463824 - 100)/(1 + (AR31/-11.87615)^-226.0071)^14.19253</f>
        <v>#NUM!</v>
      </c>
    </row>
    <row r="32" spans="1:46" x14ac:dyDescent="0.2">
      <c r="A32" s="107" t="s">
        <v>244</v>
      </c>
      <c r="B32" s="107" t="s">
        <v>981</v>
      </c>
      <c r="C32" s="107" t="s">
        <v>206</v>
      </c>
      <c r="D32" s="107" t="s">
        <v>809</v>
      </c>
      <c r="E32" s="107">
        <v>34.35</v>
      </c>
      <c r="F32" s="107" t="s">
        <v>220</v>
      </c>
      <c r="G32" s="107" t="s">
        <v>220</v>
      </c>
      <c r="H32" s="107" t="s">
        <v>220</v>
      </c>
      <c r="I32" s="107" t="s">
        <v>220</v>
      </c>
      <c r="J32" s="107" t="s">
        <v>220</v>
      </c>
      <c r="K32" s="107" t="s">
        <v>982</v>
      </c>
      <c r="L32" s="107" t="s">
        <v>244</v>
      </c>
      <c r="M32" s="107" t="s">
        <v>981</v>
      </c>
      <c r="N32" s="107" t="s">
        <v>1296</v>
      </c>
      <c r="O32" s="107" t="s">
        <v>1201</v>
      </c>
      <c r="P32" s="107" t="s">
        <v>809</v>
      </c>
      <c r="Q32" s="107">
        <v>34.35</v>
      </c>
      <c r="R32" s="107" t="s">
        <v>915</v>
      </c>
      <c r="T32" s="107" t="s">
        <v>982</v>
      </c>
      <c r="U32" s="107" t="s">
        <v>306</v>
      </c>
      <c r="V32" s="107" t="s">
        <v>1080</v>
      </c>
      <c r="W32" s="107" t="s">
        <v>1284</v>
      </c>
      <c r="X32" s="107" t="s">
        <v>1205</v>
      </c>
      <c r="Y32" s="107" t="s">
        <v>210</v>
      </c>
      <c r="AA32" s="247" t="s">
        <v>1295</v>
      </c>
      <c r="AN32" s="273"/>
      <c r="AO32" s="108"/>
      <c r="AP32" s="108"/>
      <c r="AQ32" s="108"/>
      <c r="AR32" s="108">
        <v>-10.034563100223739</v>
      </c>
      <c r="AS32" s="108">
        <v>100</v>
      </c>
      <c r="AT32" s="274">
        <f t="shared" si="11"/>
        <v>100</v>
      </c>
    </row>
    <row r="33" spans="1:46" x14ac:dyDescent="0.2">
      <c r="A33" s="107" t="s">
        <v>244</v>
      </c>
      <c r="B33" s="107" t="s">
        <v>1080</v>
      </c>
      <c r="C33" s="107" t="s">
        <v>206</v>
      </c>
      <c r="D33" s="107" t="s">
        <v>210</v>
      </c>
      <c r="E33" s="107">
        <v>39.549999999999997</v>
      </c>
      <c r="F33" s="107" t="s">
        <v>220</v>
      </c>
      <c r="G33" s="107" t="s">
        <v>220</v>
      </c>
      <c r="H33" s="107" t="s">
        <v>220</v>
      </c>
      <c r="I33" s="107" t="s">
        <v>220</v>
      </c>
      <c r="J33" s="107" t="s">
        <v>220</v>
      </c>
      <c r="K33" s="107" t="s">
        <v>982</v>
      </c>
      <c r="L33" s="107" t="s">
        <v>244</v>
      </c>
      <c r="M33" s="107" t="s">
        <v>1080</v>
      </c>
      <c r="N33" s="107" t="s">
        <v>1296</v>
      </c>
      <c r="O33" s="107" t="s">
        <v>1201</v>
      </c>
      <c r="P33" s="107" t="s">
        <v>210</v>
      </c>
      <c r="Q33" s="107">
        <v>39.549999999999997</v>
      </c>
      <c r="R33" s="107" t="s">
        <v>915</v>
      </c>
      <c r="T33" s="107" t="s">
        <v>982</v>
      </c>
      <c r="U33" s="107" t="s">
        <v>307</v>
      </c>
      <c r="V33" s="107" t="s">
        <v>1080</v>
      </c>
      <c r="W33" s="107" t="s">
        <v>1284</v>
      </c>
      <c r="X33" s="107" t="s">
        <v>1205</v>
      </c>
      <c r="Y33" s="107" t="s">
        <v>210</v>
      </c>
      <c r="Z33" s="107" t="s">
        <v>220</v>
      </c>
      <c r="AA33" s="107" t="s">
        <v>915</v>
      </c>
      <c r="AN33" s="273" t="s">
        <v>1301</v>
      </c>
      <c r="AO33" s="108"/>
      <c r="AP33" s="108"/>
      <c r="AQ33" s="108"/>
      <c r="AR33" s="108">
        <v>-11.034563100223739</v>
      </c>
      <c r="AS33" s="108">
        <v>100</v>
      </c>
      <c r="AT33" s="274">
        <f t="shared" si="11"/>
        <v>100</v>
      </c>
    </row>
    <row r="34" spans="1:46" x14ac:dyDescent="0.2">
      <c r="A34" s="107" t="s">
        <v>250</v>
      </c>
      <c r="B34" s="107" t="s">
        <v>981</v>
      </c>
      <c r="C34" s="107" t="s">
        <v>206</v>
      </c>
      <c r="D34" s="107" t="s">
        <v>809</v>
      </c>
      <c r="E34" s="107">
        <v>36.58</v>
      </c>
      <c r="F34" s="107" t="s">
        <v>220</v>
      </c>
      <c r="G34" s="107" t="s">
        <v>220</v>
      </c>
      <c r="H34" s="107" t="s">
        <v>220</v>
      </c>
      <c r="I34" s="107" t="s">
        <v>220</v>
      </c>
      <c r="J34" s="107" t="s">
        <v>220</v>
      </c>
      <c r="K34" s="107" t="s">
        <v>982</v>
      </c>
      <c r="L34" s="107" t="s">
        <v>250</v>
      </c>
      <c r="M34" s="107" t="s">
        <v>981</v>
      </c>
      <c r="N34" s="107" t="s">
        <v>1284</v>
      </c>
      <c r="O34" s="107" t="s">
        <v>1202</v>
      </c>
      <c r="P34" s="107" t="s">
        <v>809</v>
      </c>
      <c r="Q34" s="107">
        <v>36.58</v>
      </c>
      <c r="R34" s="247" t="s">
        <v>1285</v>
      </c>
      <c r="T34" s="107" t="s">
        <v>1043</v>
      </c>
      <c r="U34" s="107" t="s">
        <v>988</v>
      </c>
      <c r="V34" s="107" t="s">
        <v>1080</v>
      </c>
      <c r="W34" s="107" t="s">
        <v>1284</v>
      </c>
      <c r="X34" s="107" t="s">
        <v>1235</v>
      </c>
      <c r="Y34" s="107" t="s">
        <v>210</v>
      </c>
      <c r="Z34" s="107">
        <v>27.34</v>
      </c>
      <c r="AA34" s="247" t="s">
        <v>1285</v>
      </c>
      <c r="AN34" s="282">
        <v>20210623</v>
      </c>
      <c r="AO34" s="108"/>
      <c r="AP34" s="108"/>
      <c r="AQ34" s="108"/>
      <c r="AR34" s="108">
        <v>-12.034563100223739</v>
      </c>
      <c r="AS34" s="108">
        <v>50</v>
      </c>
      <c r="AT34" s="274">
        <f t="shared" si="11"/>
        <v>49.999476538674095</v>
      </c>
    </row>
    <row r="35" spans="1:46" x14ac:dyDescent="0.2">
      <c r="A35" s="107" t="s">
        <v>250</v>
      </c>
      <c r="B35" s="107" t="s">
        <v>1080</v>
      </c>
      <c r="C35" s="107" t="s">
        <v>206</v>
      </c>
      <c r="D35" s="107" t="s">
        <v>210</v>
      </c>
      <c r="E35" s="107">
        <v>26.83</v>
      </c>
      <c r="F35" s="107" t="s">
        <v>220</v>
      </c>
      <c r="G35" s="107" t="s">
        <v>220</v>
      </c>
      <c r="H35" s="107" t="s">
        <v>220</v>
      </c>
      <c r="I35" s="107" t="s">
        <v>220</v>
      </c>
      <c r="J35" s="107" t="s">
        <v>220</v>
      </c>
      <c r="K35" s="107" t="s">
        <v>982</v>
      </c>
      <c r="L35" s="107" t="s">
        <v>250</v>
      </c>
      <c r="M35" s="107" t="s">
        <v>1080</v>
      </c>
      <c r="N35" s="107" t="s">
        <v>1284</v>
      </c>
      <c r="O35" s="107" t="s">
        <v>1202</v>
      </c>
      <c r="P35" s="107" t="s">
        <v>210</v>
      </c>
      <c r="Q35" s="107">
        <v>26.83</v>
      </c>
      <c r="R35" s="247" t="s">
        <v>1285</v>
      </c>
      <c r="T35" s="107" t="s">
        <v>1043</v>
      </c>
      <c r="U35" s="107" t="s">
        <v>996</v>
      </c>
      <c r="V35" s="107" t="s">
        <v>1080</v>
      </c>
      <c r="W35" s="107" t="s">
        <v>1284</v>
      </c>
      <c r="X35" s="107" t="s">
        <v>1235</v>
      </c>
      <c r="Y35" s="107" t="s">
        <v>210</v>
      </c>
      <c r="Z35" s="107">
        <v>31.98</v>
      </c>
      <c r="AA35" s="247" t="s">
        <v>1286</v>
      </c>
      <c r="AN35" s="273"/>
      <c r="AO35" s="108"/>
      <c r="AP35" s="108"/>
      <c r="AQ35" s="108"/>
      <c r="AR35" s="108">
        <v>-13.034563100223741</v>
      </c>
      <c r="AS35" s="108">
        <v>0</v>
      </c>
      <c r="AT35" s="274">
        <f t="shared" si="11"/>
        <v>6.9275033354188054E-7</v>
      </c>
    </row>
    <row r="36" spans="1:46" x14ac:dyDescent="0.2">
      <c r="A36" s="107" t="s">
        <v>251</v>
      </c>
      <c r="B36" s="107" t="s">
        <v>981</v>
      </c>
      <c r="C36" s="107" t="s">
        <v>206</v>
      </c>
      <c r="D36" s="107" t="s">
        <v>809</v>
      </c>
      <c r="E36" s="107">
        <v>32.11</v>
      </c>
      <c r="F36" s="107" t="s">
        <v>220</v>
      </c>
      <c r="G36" s="107" t="s">
        <v>220</v>
      </c>
      <c r="H36" s="107" t="s">
        <v>220</v>
      </c>
      <c r="I36" s="107" t="s">
        <v>220</v>
      </c>
      <c r="J36" s="107" t="s">
        <v>220</v>
      </c>
      <c r="K36" s="107" t="s">
        <v>982</v>
      </c>
      <c r="L36" s="107" t="s">
        <v>251</v>
      </c>
      <c r="M36" s="107" t="s">
        <v>981</v>
      </c>
      <c r="N36" s="107" t="s">
        <v>1284</v>
      </c>
      <c r="O36" s="107" t="s">
        <v>1202</v>
      </c>
      <c r="P36" s="107" t="s">
        <v>809</v>
      </c>
      <c r="Q36" s="107">
        <v>32.11</v>
      </c>
      <c r="R36" s="247" t="s">
        <v>1286</v>
      </c>
      <c r="T36" s="107" t="s">
        <v>1043</v>
      </c>
      <c r="U36" s="107" t="s">
        <v>999</v>
      </c>
      <c r="V36" s="107" t="s">
        <v>1080</v>
      </c>
      <c r="W36" s="107" t="s">
        <v>1284</v>
      </c>
      <c r="X36" s="107" t="s">
        <v>1235</v>
      </c>
      <c r="Y36" s="107" t="s">
        <v>210</v>
      </c>
      <c r="Z36" s="107">
        <v>32.81</v>
      </c>
      <c r="AA36" s="247" t="s">
        <v>1288</v>
      </c>
      <c r="AN36" s="273"/>
      <c r="AO36" s="108"/>
      <c r="AP36" s="108"/>
      <c r="AQ36" s="108"/>
      <c r="AR36" s="108">
        <v>-14.034563100223741</v>
      </c>
      <c r="AS36" s="108">
        <v>0</v>
      </c>
      <c r="AT36" s="274">
        <f t="shared" si="11"/>
        <v>-3.4638239299056295E-7</v>
      </c>
    </row>
    <row r="37" spans="1:46" x14ac:dyDescent="0.2">
      <c r="A37" s="107" t="s">
        <v>251</v>
      </c>
      <c r="B37" s="107" t="s">
        <v>1080</v>
      </c>
      <c r="C37" s="107" t="s">
        <v>206</v>
      </c>
      <c r="D37" s="107" t="s">
        <v>210</v>
      </c>
      <c r="E37" s="107">
        <v>29.71</v>
      </c>
      <c r="F37" s="107" t="s">
        <v>220</v>
      </c>
      <c r="G37" s="107" t="s">
        <v>220</v>
      </c>
      <c r="H37" s="107" t="s">
        <v>220</v>
      </c>
      <c r="I37" s="107" t="s">
        <v>220</v>
      </c>
      <c r="J37" s="107" t="s">
        <v>220</v>
      </c>
      <c r="K37" s="107" t="s">
        <v>982</v>
      </c>
      <c r="L37" s="107" t="s">
        <v>251</v>
      </c>
      <c r="M37" s="107" t="s">
        <v>1080</v>
      </c>
      <c r="N37" s="107" t="s">
        <v>1284</v>
      </c>
      <c r="O37" s="107" t="s">
        <v>1202</v>
      </c>
      <c r="P37" s="107" t="s">
        <v>210</v>
      </c>
      <c r="Q37" s="107">
        <v>29.71</v>
      </c>
      <c r="R37" s="247" t="s">
        <v>1286</v>
      </c>
      <c r="T37" s="107" t="s">
        <v>1043</v>
      </c>
      <c r="U37" s="107" t="s">
        <v>1003</v>
      </c>
      <c r="V37" s="107" t="s">
        <v>1080</v>
      </c>
      <c r="W37" s="107" t="s">
        <v>1284</v>
      </c>
      <c r="X37" s="107" t="s">
        <v>1235</v>
      </c>
      <c r="Y37" s="107" t="s">
        <v>210</v>
      </c>
      <c r="Z37" s="107">
        <v>37.65</v>
      </c>
      <c r="AA37" s="247" t="s">
        <v>1290</v>
      </c>
      <c r="AN37" s="273"/>
      <c r="AO37" s="108"/>
      <c r="AP37" s="108"/>
      <c r="AQ37" s="108"/>
      <c r="AR37" s="108">
        <v>-15.034563100223741</v>
      </c>
      <c r="AS37" s="108">
        <v>0</v>
      </c>
      <c r="AT37" s="274"/>
    </row>
    <row r="38" spans="1:46" x14ac:dyDescent="0.2">
      <c r="A38" s="107" t="s">
        <v>252</v>
      </c>
      <c r="B38" s="107" t="s">
        <v>981</v>
      </c>
      <c r="C38" s="107" t="s">
        <v>206</v>
      </c>
      <c r="D38" s="107" t="s">
        <v>809</v>
      </c>
      <c r="E38" s="107">
        <v>32.26</v>
      </c>
      <c r="F38" s="107" t="s">
        <v>220</v>
      </c>
      <c r="G38" s="107" t="s">
        <v>220</v>
      </c>
      <c r="H38" s="107" t="s">
        <v>220</v>
      </c>
      <c r="I38" s="107" t="s">
        <v>220</v>
      </c>
      <c r="J38" s="107" t="s">
        <v>220</v>
      </c>
      <c r="K38" s="107" t="s">
        <v>982</v>
      </c>
      <c r="L38" s="107" t="s">
        <v>252</v>
      </c>
      <c r="M38" s="107" t="s">
        <v>981</v>
      </c>
      <c r="N38" s="107" t="s">
        <v>1284</v>
      </c>
      <c r="O38" s="107" t="s">
        <v>1202</v>
      </c>
      <c r="P38" s="107" t="s">
        <v>809</v>
      </c>
      <c r="Q38" s="107">
        <v>32.26</v>
      </c>
      <c r="R38" s="247" t="s">
        <v>1288</v>
      </c>
      <c r="T38" s="107" t="s">
        <v>1043</v>
      </c>
      <c r="U38" s="107" t="s">
        <v>1006</v>
      </c>
      <c r="V38" s="107" t="s">
        <v>1080</v>
      </c>
      <c r="W38" s="107" t="s">
        <v>1284</v>
      </c>
      <c r="X38" s="107" t="s">
        <v>1235</v>
      </c>
      <c r="Y38" s="107" t="s">
        <v>210</v>
      </c>
      <c r="AA38" s="247" t="s">
        <v>1291</v>
      </c>
      <c r="AN38" s="273"/>
      <c r="AO38" s="283">
        <f>AP38/1000*20</f>
        <v>13.436323887387697</v>
      </c>
      <c r="AP38" s="283">
        <f>AQ38*0.001/1000000*6.022E+23</f>
        <v>671.8161943693849</v>
      </c>
      <c r="AQ38" s="284">
        <f>10^AR38</f>
        <v>1.1156031125363414E-12</v>
      </c>
      <c r="AR38" s="283">
        <v>-11.952490282721268</v>
      </c>
      <c r="AS38" s="283"/>
      <c r="AT38" s="285">
        <f xml:space="preserve"> 100 + (-0.0000003463824 - 100)/(1 + (AR38/-11.87615)^-226.0071)^14.19253</f>
        <v>95.000007693739349</v>
      </c>
    </row>
    <row r="39" spans="1:46" x14ac:dyDescent="0.2">
      <c r="A39" s="107" t="s">
        <v>252</v>
      </c>
      <c r="B39" s="107" t="s">
        <v>1080</v>
      </c>
      <c r="C39" s="107" t="s">
        <v>206</v>
      </c>
      <c r="D39" s="107" t="s">
        <v>210</v>
      </c>
      <c r="E39" s="107">
        <v>32.840000000000003</v>
      </c>
      <c r="F39" s="107" t="s">
        <v>220</v>
      </c>
      <c r="G39" s="107" t="s">
        <v>220</v>
      </c>
      <c r="H39" s="107" t="s">
        <v>220</v>
      </c>
      <c r="I39" s="107" t="s">
        <v>220</v>
      </c>
      <c r="J39" s="107" t="s">
        <v>220</v>
      </c>
      <c r="K39" s="107" t="s">
        <v>982</v>
      </c>
      <c r="L39" s="107" t="s">
        <v>252</v>
      </c>
      <c r="M39" s="107" t="s">
        <v>1080</v>
      </c>
      <c r="N39" s="107" t="s">
        <v>1284</v>
      </c>
      <c r="O39" s="107" t="s">
        <v>1202</v>
      </c>
      <c r="P39" s="107" t="s">
        <v>210</v>
      </c>
      <c r="Q39" s="107">
        <v>32.840000000000003</v>
      </c>
      <c r="R39" s="247" t="s">
        <v>1288</v>
      </c>
      <c r="T39" s="107" t="s">
        <v>1043</v>
      </c>
      <c r="U39" s="107" t="s">
        <v>1009</v>
      </c>
      <c r="V39" s="107" t="s">
        <v>1080</v>
      </c>
      <c r="W39" s="107" t="s">
        <v>1284</v>
      </c>
      <c r="X39" s="107" t="s">
        <v>1235</v>
      </c>
      <c r="Y39" s="107" t="s">
        <v>210</v>
      </c>
      <c r="AA39" s="247" t="s">
        <v>1294</v>
      </c>
      <c r="AN39" s="273"/>
      <c r="AO39" s="108"/>
      <c r="AP39" s="108"/>
      <c r="AQ39" s="108"/>
      <c r="AR39" s="108"/>
      <c r="AS39" s="108"/>
      <c r="AT39" s="274"/>
    </row>
    <row r="40" spans="1:46" ht="13.5" thickBot="1" x14ac:dyDescent="0.25">
      <c r="A40" s="107" t="s">
        <v>253</v>
      </c>
      <c r="B40" s="107" t="s">
        <v>981</v>
      </c>
      <c r="C40" s="107" t="s">
        <v>206</v>
      </c>
      <c r="D40" s="107" t="s">
        <v>809</v>
      </c>
      <c r="E40" s="107">
        <v>32.049999999999997</v>
      </c>
      <c r="F40" s="107" t="s">
        <v>220</v>
      </c>
      <c r="G40" s="107" t="s">
        <v>220</v>
      </c>
      <c r="H40" s="107" t="s">
        <v>220</v>
      </c>
      <c r="I40" s="107" t="s">
        <v>220</v>
      </c>
      <c r="J40" s="107" t="s">
        <v>220</v>
      </c>
      <c r="K40" s="107" t="s">
        <v>982</v>
      </c>
      <c r="L40" s="107" t="s">
        <v>253</v>
      </c>
      <c r="M40" s="107" t="s">
        <v>981</v>
      </c>
      <c r="N40" s="107" t="s">
        <v>1284</v>
      </c>
      <c r="O40" s="107" t="s">
        <v>1202</v>
      </c>
      <c r="P40" s="107" t="s">
        <v>809</v>
      </c>
      <c r="Q40" s="107">
        <v>32.049999999999997</v>
      </c>
      <c r="R40" s="247" t="s">
        <v>1290</v>
      </c>
      <c r="T40" s="107" t="s">
        <v>1043</v>
      </c>
      <c r="U40" s="107" t="s">
        <v>1012</v>
      </c>
      <c r="V40" s="107" t="s">
        <v>1080</v>
      </c>
      <c r="W40" s="107" t="s">
        <v>1284</v>
      </c>
      <c r="X40" s="107" t="s">
        <v>1235</v>
      </c>
      <c r="Y40" s="107" t="s">
        <v>210</v>
      </c>
      <c r="AA40" s="247" t="s">
        <v>1295</v>
      </c>
      <c r="AN40" s="286"/>
      <c r="AO40" s="287"/>
      <c r="AP40" s="287"/>
      <c r="AQ40" s="287"/>
      <c r="AR40" s="287"/>
      <c r="AS40" s="287"/>
      <c r="AT40" s="288" t="s">
        <v>1302</v>
      </c>
    </row>
    <row r="41" spans="1:46" x14ac:dyDescent="0.2">
      <c r="A41" s="107" t="s">
        <v>253</v>
      </c>
      <c r="B41" s="107" t="s">
        <v>1080</v>
      </c>
      <c r="C41" s="107" t="s">
        <v>206</v>
      </c>
      <c r="D41" s="107" t="s">
        <v>210</v>
      </c>
      <c r="E41" s="107">
        <v>36.86</v>
      </c>
      <c r="F41" s="107" t="s">
        <v>220</v>
      </c>
      <c r="G41" s="107" t="s">
        <v>220</v>
      </c>
      <c r="H41" s="107" t="s">
        <v>220</v>
      </c>
      <c r="I41" s="107" t="s">
        <v>220</v>
      </c>
      <c r="J41" s="107" t="s">
        <v>220</v>
      </c>
      <c r="K41" s="107" t="s">
        <v>982</v>
      </c>
      <c r="L41" s="107" t="s">
        <v>253</v>
      </c>
      <c r="M41" s="107" t="s">
        <v>1080</v>
      </c>
      <c r="N41" s="107" t="s">
        <v>1284</v>
      </c>
      <c r="O41" s="107" t="s">
        <v>1202</v>
      </c>
      <c r="P41" s="107" t="s">
        <v>210</v>
      </c>
      <c r="Q41" s="107">
        <v>36.86</v>
      </c>
      <c r="R41" s="247" t="s">
        <v>1290</v>
      </c>
      <c r="T41" s="107" t="s">
        <v>1043</v>
      </c>
      <c r="U41" s="107" t="s">
        <v>1015</v>
      </c>
      <c r="V41" s="107" t="s">
        <v>1080</v>
      </c>
      <c r="W41" s="107" t="s">
        <v>1284</v>
      </c>
      <c r="X41" s="107" t="s">
        <v>1235</v>
      </c>
      <c r="Y41" s="107" t="s">
        <v>210</v>
      </c>
      <c r="AA41" s="107" t="s">
        <v>915</v>
      </c>
    </row>
    <row r="42" spans="1:46" x14ac:dyDescent="0.2">
      <c r="A42" s="107" t="s">
        <v>254</v>
      </c>
      <c r="B42" s="107" t="s">
        <v>981</v>
      </c>
      <c r="C42" s="107" t="s">
        <v>206</v>
      </c>
      <c r="D42" s="107" t="s">
        <v>809</v>
      </c>
      <c r="E42" s="107">
        <v>31.99</v>
      </c>
      <c r="F42" s="107" t="s">
        <v>220</v>
      </c>
      <c r="G42" s="107" t="s">
        <v>220</v>
      </c>
      <c r="H42" s="107" t="s">
        <v>220</v>
      </c>
      <c r="I42" s="107" t="s">
        <v>220</v>
      </c>
      <c r="J42" s="107" t="s">
        <v>220</v>
      </c>
      <c r="K42" s="107" t="s">
        <v>982</v>
      </c>
      <c r="L42" s="107" t="s">
        <v>254</v>
      </c>
      <c r="M42" s="107" t="s">
        <v>981</v>
      </c>
      <c r="N42" s="107" t="s">
        <v>1284</v>
      </c>
      <c r="O42" s="107" t="s">
        <v>1202</v>
      </c>
      <c r="P42" s="107" t="s">
        <v>809</v>
      </c>
      <c r="Q42" s="107">
        <v>31.99</v>
      </c>
      <c r="R42" s="247" t="s">
        <v>1291</v>
      </c>
      <c r="T42" s="107" t="s">
        <v>982</v>
      </c>
      <c r="U42" s="107" t="s">
        <v>235</v>
      </c>
      <c r="V42" s="107" t="s">
        <v>1080</v>
      </c>
      <c r="W42" s="107" t="s">
        <v>1296</v>
      </c>
      <c r="X42" s="107" t="s">
        <v>1201</v>
      </c>
      <c r="Y42" s="107" t="s">
        <v>210</v>
      </c>
      <c r="Z42" s="107">
        <v>31.65</v>
      </c>
      <c r="AA42" s="247" t="s">
        <v>1285</v>
      </c>
    </row>
    <row r="43" spans="1:46" x14ac:dyDescent="0.2">
      <c r="A43" s="107" t="s">
        <v>254</v>
      </c>
      <c r="B43" s="107" t="s">
        <v>1080</v>
      </c>
      <c r="C43" s="107" t="s">
        <v>206</v>
      </c>
      <c r="D43" s="107" t="s">
        <v>210</v>
      </c>
      <c r="E43" s="107">
        <v>38.81</v>
      </c>
      <c r="F43" s="107" t="s">
        <v>220</v>
      </c>
      <c r="G43" s="107" t="s">
        <v>220</v>
      </c>
      <c r="H43" s="107" t="s">
        <v>220</v>
      </c>
      <c r="I43" s="107" t="s">
        <v>220</v>
      </c>
      <c r="J43" s="107" t="s">
        <v>220</v>
      </c>
      <c r="K43" s="107" t="s">
        <v>982</v>
      </c>
      <c r="L43" s="107" t="s">
        <v>254</v>
      </c>
      <c r="M43" s="107" t="s">
        <v>1080</v>
      </c>
      <c r="N43" s="107" t="s">
        <v>1284</v>
      </c>
      <c r="O43" s="107" t="s">
        <v>1202</v>
      </c>
      <c r="P43" s="107" t="s">
        <v>210</v>
      </c>
      <c r="Q43" s="107">
        <v>38.81</v>
      </c>
      <c r="R43" s="247" t="s">
        <v>1291</v>
      </c>
      <c r="T43" s="107" t="s">
        <v>982</v>
      </c>
      <c r="U43" s="107" t="s">
        <v>236</v>
      </c>
      <c r="V43" s="107" t="s">
        <v>1080</v>
      </c>
      <c r="W43" s="107" t="s">
        <v>1296</v>
      </c>
      <c r="X43" s="107" t="s">
        <v>1201</v>
      </c>
      <c r="Y43" s="107" t="s">
        <v>210</v>
      </c>
      <c r="Z43" s="107">
        <v>35.700000000000003</v>
      </c>
      <c r="AA43" s="247" t="s">
        <v>1286</v>
      </c>
    </row>
    <row r="44" spans="1:46" ht="13.5" thickBot="1" x14ac:dyDescent="0.25">
      <c r="A44" s="107" t="s">
        <v>255</v>
      </c>
      <c r="B44" s="107" t="s">
        <v>981</v>
      </c>
      <c r="C44" s="107" t="s">
        <v>206</v>
      </c>
      <c r="D44" s="107" t="s">
        <v>809</v>
      </c>
      <c r="E44" s="107">
        <v>32.159999999999997</v>
      </c>
      <c r="F44" s="107" t="s">
        <v>220</v>
      </c>
      <c r="G44" s="107" t="s">
        <v>220</v>
      </c>
      <c r="H44" s="107" t="s">
        <v>220</v>
      </c>
      <c r="I44" s="107" t="s">
        <v>220</v>
      </c>
      <c r="J44" s="107" t="s">
        <v>220</v>
      </c>
      <c r="K44" s="107" t="s">
        <v>982</v>
      </c>
      <c r="L44" s="107" t="s">
        <v>255</v>
      </c>
      <c r="M44" s="107" t="s">
        <v>981</v>
      </c>
      <c r="N44" s="107" t="s">
        <v>1284</v>
      </c>
      <c r="O44" s="107" t="s">
        <v>1202</v>
      </c>
      <c r="P44" s="107" t="s">
        <v>809</v>
      </c>
      <c r="Q44" s="107">
        <v>32.159999999999997</v>
      </c>
      <c r="R44" s="247" t="s">
        <v>1294</v>
      </c>
      <c r="T44" s="107" t="s">
        <v>982</v>
      </c>
      <c r="U44" s="107" t="s">
        <v>237</v>
      </c>
      <c r="V44" s="107" t="s">
        <v>1080</v>
      </c>
      <c r="W44" s="107" t="s">
        <v>1296</v>
      </c>
      <c r="X44" s="107" t="s">
        <v>1201</v>
      </c>
      <c r="Y44" s="107" t="s">
        <v>210</v>
      </c>
      <c r="Z44" s="107" t="s">
        <v>220</v>
      </c>
      <c r="AA44" s="247" t="s">
        <v>1288</v>
      </c>
      <c r="AN44" s="261" t="s">
        <v>1303</v>
      </c>
    </row>
    <row r="45" spans="1:46" x14ac:dyDescent="0.2">
      <c r="A45" s="107" t="s">
        <v>255</v>
      </c>
      <c r="B45" s="107" t="s">
        <v>1080</v>
      </c>
      <c r="C45" s="107" t="s">
        <v>206</v>
      </c>
      <c r="D45" s="107" t="s">
        <v>210</v>
      </c>
      <c r="E45" s="107" t="s">
        <v>220</v>
      </c>
      <c r="F45" s="107" t="s">
        <v>220</v>
      </c>
      <c r="G45" s="107" t="s">
        <v>220</v>
      </c>
      <c r="H45" s="107" t="s">
        <v>220</v>
      </c>
      <c r="I45" s="107" t="s">
        <v>220</v>
      </c>
      <c r="J45" s="107" t="s">
        <v>220</v>
      </c>
      <c r="K45" s="107" t="s">
        <v>982</v>
      </c>
      <c r="L45" s="107" t="s">
        <v>255</v>
      </c>
      <c r="M45" s="107" t="s">
        <v>1080</v>
      </c>
      <c r="N45" s="107" t="s">
        <v>1284</v>
      </c>
      <c r="O45" s="107" t="s">
        <v>1202</v>
      </c>
      <c r="P45" s="107" t="s">
        <v>210</v>
      </c>
      <c r="Q45" s="107" t="s">
        <v>220</v>
      </c>
      <c r="R45" s="247" t="s">
        <v>1294</v>
      </c>
      <c r="T45" s="107" t="s">
        <v>982</v>
      </c>
      <c r="U45" s="107" t="s">
        <v>238</v>
      </c>
      <c r="V45" s="107" t="s">
        <v>1080</v>
      </c>
      <c r="W45" s="107" t="s">
        <v>1296</v>
      </c>
      <c r="X45" s="107" t="s">
        <v>1201</v>
      </c>
      <c r="Y45" s="107" t="s">
        <v>210</v>
      </c>
      <c r="Z45" s="107" t="s">
        <v>220</v>
      </c>
      <c r="AA45" s="247" t="s">
        <v>1290</v>
      </c>
      <c r="AN45" s="289"/>
      <c r="AO45" s="290"/>
      <c r="AP45" s="271" t="s">
        <v>1283</v>
      </c>
      <c r="AQ45" s="271" t="s">
        <v>80</v>
      </c>
      <c r="AR45" s="271" t="s">
        <v>1292</v>
      </c>
      <c r="AS45" s="271" t="s">
        <v>1293</v>
      </c>
      <c r="AT45" s="272"/>
    </row>
    <row r="46" spans="1:46" ht="15" x14ac:dyDescent="0.25">
      <c r="A46" s="107" t="s">
        <v>256</v>
      </c>
      <c r="B46" s="107" t="s">
        <v>981</v>
      </c>
      <c r="C46" s="107" t="s">
        <v>206</v>
      </c>
      <c r="D46" s="107" t="s">
        <v>809</v>
      </c>
      <c r="E46" s="107">
        <v>32.130000000000003</v>
      </c>
      <c r="F46" s="107" t="s">
        <v>220</v>
      </c>
      <c r="G46" s="107" t="s">
        <v>220</v>
      </c>
      <c r="H46" s="107" t="s">
        <v>220</v>
      </c>
      <c r="I46" s="107" t="s">
        <v>220</v>
      </c>
      <c r="J46" s="107" t="s">
        <v>220</v>
      </c>
      <c r="K46" s="107" t="s">
        <v>982</v>
      </c>
      <c r="L46" s="107" t="s">
        <v>256</v>
      </c>
      <c r="M46" s="107" t="s">
        <v>981</v>
      </c>
      <c r="N46" s="107" t="s">
        <v>1284</v>
      </c>
      <c r="O46" s="107" t="s">
        <v>1202</v>
      </c>
      <c r="P46" s="107" t="s">
        <v>809</v>
      </c>
      <c r="Q46" s="107">
        <v>32.130000000000003</v>
      </c>
      <c r="R46" s="247" t="s">
        <v>1295</v>
      </c>
      <c r="T46" s="107" t="s">
        <v>982</v>
      </c>
      <c r="U46" s="107" t="s">
        <v>239</v>
      </c>
      <c r="V46" s="107" t="s">
        <v>1080</v>
      </c>
      <c r="W46" s="107" t="s">
        <v>1296</v>
      </c>
      <c r="X46" s="107" t="s">
        <v>1201</v>
      </c>
      <c r="Y46" s="107" t="s">
        <v>210</v>
      </c>
      <c r="Z46" s="107" t="s">
        <v>220</v>
      </c>
      <c r="AA46" s="247" t="s">
        <v>1291</v>
      </c>
      <c r="AN46" s="282"/>
      <c r="AP46" s="275" t="s">
        <v>1285</v>
      </c>
      <c r="AQ46" s="108">
        <v>4</v>
      </c>
      <c r="AR46" s="108">
        <v>4</v>
      </c>
      <c r="AS46" s="276">
        <f>AR46/AQ46</f>
        <v>1</v>
      </c>
      <c r="AT46" s="274">
        <v>100</v>
      </c>
    </row>
    <row r="47" spans="1:46" ht="15" x14ac:dyDescent="0.25">
      <c r="A47" s="107" t="s">
        <v>256</v>
      </c>
      <c r="B47" s="107" t="s">
        <v>1080</v>
      </c>
      <c r="C47" s="107" t="s">
        <v>206</v>
      </c>
      <c r="D47" s="107" t="s">
        <v>210</v>
      </c>
      <c r="E47" s="107">
        <v>39.46</v>
      </c>
      <c r="F47" s="107" t="s">
        <v>220</v>
      </c>
      <c r="G47" s="107" t="s">
        <v>220</v>
      </c>
      <c r="H47" s="107" t="s">
        <v>220</v>
      </c>
      <c r="I47" s="107" t="s">
        <v>220</v>
      </c>
      <c r="J47" s="107" t="s">
        <v>220</v>
      </c>
      <c r="K47" s="107" t="s">
        <v>982</v>
      </c>
      <c r="L47" s="107" t="s">
        <v>256</v>
      </c>
      <c r="M47" s="107" t="s">
        <v>1080</v>
      </c>
      <c r="N47" s="107" t="s">
        <v>1284</v>
      </c>
      <c r="O47" s="107" t="s">
        <v>1202</v>
      </c>
      <c r="P47" s="107" t="s">
        <v>210</v>
      </c>
      <c r="Q47" s="107">
        <v>39.46</v>
      </c>
      <c r="R47" s="247" t="s">
        <v>1295</v>
      </c>
      <c r="T47" s="107" t="s">
        <v>982</v>
      </c>
      <c r="U47" s="107" t="s">
        <v>242</v>
      </c>
      <c r="V47" s="107" t="s">
        <v>1080</v>
      </c>
      <c r="W47" s="107" t="s">
        <v>1296</v>
      </c>
      <c r="X47" s="107" t="s">
        <v>1201</v>
      </c>
      <c r="Y47" s="107" t="s">
        <v>210</v>
      </c>
      <c r="AA47" s="247" t="s">
        <v>1294</v>
      </c>
      <c r="AN47" s="282"/>
      <c r="AP47" s="275" t="s">
        <v>1286</v>
      </c>
      <c r="AQ47" s="108">
        <v>4</v>
      </c>
      <c r="AR47" s="108">
        <v>4</v>
      </c>
      <c r="AS47" s="276">
        <f t="shared" ref="AS47:AS53" si="12">AR47/AQ47</f>
        <v>1</v>
      </c>
      <c r="AT47" s="274">
        <v>100</v>
      </c>
    </row>
    <row r="48" spans="1:46" ht="15" x14ac:dyDescent="0.25">
      <c r="A48" s="107" t="s">
        <v>257</v>
      </c>
      <c r="B48" s="107" t="s">
        <v>981</v>
      </c>
      <c r="C48" s="107" t="s">
        <v>206</v>
      </c>
      <c r="D48" s="107" t="s">
        <v>809</v>
      </c>
      <c r="E48" s="107">
        <v>33.25</v>
      </c>
      <c r="F48" s="107" t="s">
        <v>220</v>
      </c>
      <c r="G48" s="107" t="s">
        <v>220</v>
      </c>
      <c r="H48" s="107" t="s">
        <v>220</v>
      </c>
      <c r="I48" s="107" t="s">
        <v>220</v>
      </c>
      <c r="J48" s="107" t="s">
        <v>220</v>
      </c>
      <c r="K48" s="107" t="s">
        <v>982</v>
      </c>
      <c r="L48" s="107" t="s">
        <v>257</v>
      </c>
      <c r="M48" s="107" t="s">
        <v>981</v>
      </c>
      <c r="N48" s="107" t="s">
        <v>1284</v>
      </c>
      <c r="O48" s="107" t="s">
        <v>1202</v>
      </c>
      <c r="P48" s="107" t="s">
        <v>809</v>
      </c>
      <c r="Q48" s="107">
        <v>33.25</v>
      </c>
      <c r="R48" s="107" t="s">
        <v>915</v>
      </c>
      <c r="T48" s="107" t="s">
        <v>982</v>
      </c>
      <c r="U48" s="107" t="s">
        <v>243</v>
      </c>
      <c r="V48" s="107" t="s">
        <v>1080</v>
      </c>
      <c r="W48" s="107" t="s">
        <v>1296</v>
      </c>
      <c r="X48" s="107" t="s">
        <v>1201</v>
      </c>
      <c r="Y48" s="107" t="s">
        <v>210</v>
      </c>
      <c r="Z48" s="107" t="s">
        <v>220</v>
      </c>
      <c r="AA48" s="247" t="s">
        <v>1295</v>
      </c>
      <c r="AN48" s="282"/>
      <c r="AP48" s="275" t="s">
        <v>1288</v>
      </c>
      <c r="AQ48" s="108">
        <v>4</v>
      </c>
      <c r="AR48" s="108">
        <v>2</v>
      </c>
      <c r="AS48" s="276">
        <f t="shared" si="12"/>
        <v>0.5</v>
      </c>
      <c r="AT48" s="274">
        <v>50</v>
      </c>
    </row>
    <row r="49" spans="1:46" ht="15" x14ac:dyDescent="0.25">
      <c r="A49" s="107" t="s">
        <v>257</v>
      </c>
      <c r="B49" s="107" t="s">
        <v>1080</v>
      </c>
      <c r="C49" s="107" t="s">
        <v>206</v>
      </c>
      <c r="D49" s="107" t="s">
        <v>210</v>
      </c>
      <c r="E49" s="107">
        <v>37.270000000000003</v>
      </c>
      <c r="F49" s="107" t="s">
        <v>220</v>
      </c>
      <c r="G49" s="107" t="s">
        <v>220</v>
      </c>
      <c r="H49" s="107" t="s">
        <v>220</v>
      </c>
      <c r="I49" s="107" t="s">
        <v>220</v>
      </c>
      <c r="J49" s="107" t="s">
        <v>220</v>
      </c>
      <c r="K49" s="107" t="s">
        <v>982</v>
      </c>
      <c r="L49" s="107" t="s">
        <v>257</v>
      </c>
      <c r="M49" s="107" t="s">
        <v>1080</v>
      </c>
      <c r="N49" s="107" t="s">
        <v>1284</v>
      </c>
      <c r="O49" s="107" t="s">
        <v>1202</v>
      </c>
      <c r="P49" s="107" t="s">
        <v>210</v>
      </c>
      <c r="Q49" s="107">
        <v>37.270000000000003</v>
      </c>
      <c r="R49" s="107" t="s">
        <v>915</v>
      </c>
      <c r="T49" s="107" t="s">
        <v>982</v>
      </c>
      <c r="U49" s="107" t="s">
        <v>244</v>
      </c>
      <c r="V49" s="107" t="s">
        <v>1080</v>
      </c>
      <c r="W49" s="107" t="s">
        <v>1296</v>
      </c>
      <c r="X49" s="107" t="s">
        <v>1201</v>
      </c>
      <c r="Y49" s="107" t="s">
        <v>210</v>
      </c>
      <c r="Z49" s="107">
        <v>39.549999999999997</v>
      </c>
      <c r="AA49" s="107" t="s">
        <v>915</v>
      </c>
      <c r="AN49" s="282"/>
      <c r="AP49" s="275" t="s">
        <v>1290</v>
      </c>
      <c r="AQ49" s="108">
        <v>4</v>
      </c>
      <c r="AR49" s="108">
        <v>1</v>
      </c>
      <c r="AS49" s="276">
        <f t="shared" si="12"/>
        <v>0.25</v>
      </c>
      <c r="AT49" s="274">
        <v>25</v>
      </c>
    </row>
    <row r="50" spans="1:46" ht="15" x14ac:dyDescent="0.25">
      <c r="A50" s="107" t="s">
        <v>262</v>
      </c>
      <c r="B50" s="107" t="s">
        <v>981</v>
      </c>
      <c r="C50" s="107" t="s">
        <v>206</v>
      </c>
      <c r="D50" s="107" t="s">
        <v>809</v>
      </c>
      <c r="E50" s="107">
        <v>42.7</v>
      </c>
      <c r="F50" s="107" t="s">
        <v>220</v>
      </c>
      <c r="G50" s="107" t="s">
        <v>220</v>
      </c>
      <c r="H50" s="107" t="s">
        <v>220</v>
      </c>
      <c r="I50" s="107" t="s">
        <v>220</v>
      </c>
      <c r="J50" s="107" t="s">
        <v>220</v>
      </c>
      <c r="K50" s="107" t="s">
        <v>982</v>
      </c>
      <c r="L50" s="107" t="s">
        <v>262</v>
      </c>
      <c r="M50" s="107" t="s">
        <v>981</v>
      </c>
      <c r="N50" s="107" t="s">
        <v>1296</v>
      </c>
      <c r="O50" s="107" t="s">
        <v>1202</v>
      </c>
      <c r="P50" s="107" t="s">
        <v>809</v>
      </c>
      <c r="Q50" s="107">
        <v>42.7</v>
      </c>
      <c r="R50" s="247" t="s">
        <v>1285</v>
      </c>
      <c r="T50" s="107" t="s">
        <v>982</v>
      </c>
      <c r="U50" s="107" t="s">
        <v>262</v>
      </c>
      <c r="V50" s="107" t="s">
        <v>1080</v>
      </c>
      <c r="W50" s="107" t="s">
        <v>1296</v>
      </c>
      <c r="X50" s="107" t="s">
        <v>1202</v>
      </c>
      <c r="Y50" s="107" t="s">
        <v>210</v>
      </c>
      <c r="Z50" s="107">
        <v>29.44</v>
      </c>
      <c r="AA50" s="247" t="s">
        <v>1285</v>
      </c>
      <c r="AN50" s="282"/>
      <c r="AP50" s="275" t="s">
        <v>1291</v>
      </c>
      <c r="AQ50" s="108">
        <v>4</v>
      </c>
      <c r="AR50" s="108">
        <v>0</v>
      </c>
      <c r="AS50" s="276">
        <f t="shared" si="12"/>
        <v>0</v>
      </c>
      <c r="AT50" s="274">
        <v>0</v>
      </c>
    </row>
    <row r="51" spans="1:46" ht="15" x14ac:dyDescent="0.25">
      <c r="A51" s="107" t="s">
        <v>262</v>
      </c>
      <c r="B51" s="107" t="s">
        <v>1080</v>
      </c>
      <c r="C51" s="107" t="s">
        <v>206</v>
      </c>
      <c r="D51" s="107" t="s">
        <v>210</v>
      </c>
      <c r="E51" s="107">
        <v>29.44</v>
      </c>
      <c r="F51" s="107" t="s">
        <v>220</v>
      </c>
      <c r="G51" s="107" t="s">
        <v>220</v>
      </c>
      <c r="H51" s="107" t="s">
        <v>220</v>
      </c>
      <c r="I51" s="107" t="s">
        <v>220</v>
      </c>
      <c r="J51" s="107" t="s">
        <v>220</v>
      </c>
      <c r="K51" s="107" t="s">
        <v>982</v>
      </c>
      <c r="L51" s="107" t="s">
        <v>262</v>
      </c>
      <c r="M51" s="107" t="s">
        <v>1080</v>
      </c>
      <c r="N51" s="107" t="s">
        <v>1296</v>
      </c>
      <c r="O51" s="107" t="s">
        <v>1202</v>
      </c>
      <c r="P51" s="107" t="s">
        <v>210</v>
      </c>
      <c r="Q51" s="107">
        <v>29.44</v>
      </c>
      <c r="R51" s="247" t="s">
        <v>1285</v>
      </c>
      <c r="T51" s="107" t="s">
        <v>982</v>
      </c>
      <c r="U51" s="107" t="s">
        <v>263</v>
      </c>
      <c r="V51" s="107" t="s">
        <v>1080</v>
      </c>
      <c r="W51" s="107" t="s">
        <v>1296</v>
      </c>
      <c r="X51" s="107" t="s">
        <v>1202</v>
      </c>
      <c r="Y51" s="107" t="s">
        <v>210</v>
      </c>
      <c r="Z51" s="107">
        <v>33.08</v>
      </c>
      <c r="AA51" s="247" t="s">
        <v>1286</v>
      </c>
      <c r="AN51" s="282"/>
      <c r="AP51" s="275" t="s">
        <v>1294</v>
      </c>
      <c r="AQ51" s="108">
        <v>4</v>
      </c>
      <c r="AR51" s="108">
        <v>0</v>
      </c>
      <c r="AS51" s="276">
        <f t="shared" si="12"/>
        <v>0</v>
      </c>
      <c r="AT51" s="274">
        <v>0</v>
      </c>
    </row>
    <row r="52" spans="1:46" ht="15" x14ac:dyDescent="0.25">
      <c r="A52" s="107" t="s">
        <v>263</v>
      </c>
      <c r="B52" s="107" t="s">
        <v>981</v>
      </c>
      <c r="C52" s="107" t="s">
        <v>206</v>
      </c>
      <c r="D52" s="107" t="s">
        <v>809</v>
      </c>
      <c r="E52" s="107">
        <v>34</v>
      </c>
      <c r="F52" s="107" t="s">
        <v>220</v>
      </c>
      <c r="G52" s="107" t="s">
        <v>220</v>
      </c>
      <c r="H52" s="107" t="s">
        <v>220</v>
      </c>
      <c r="I52" s="107" t="s">
        <v>220</v>
      </c>
      <c r="J52" s="107" t="s">
        <v>220</v>
      </c>
      <c r="K52" s="107" t="s">
        <v>982</v>
      </c>
      <c r="L52" s="107" t="s">
        <v>263</v>
      </c>
      <c r="M52" s="107" t="s">
        <v>981</v>
      </c>
      <c r="N52" s="107" t="s">
        <v>1296</v>
      </c>
      <c r="O52" s="107" t="s">
        <v>1202</v>
      </c>
      <c r="P52" s="107" t="s">
        <v>809</v>
      </c>
      <c r="Q52" s="107">
        <v>34</v>
      </c>
      <c r="R52" s="247" t="s">
        <v>1286</v>
      </c>
      <c r="T52" s="107" t="s">
        <v>982</v>
      </c>
      <c r="U52" s="107" t="s">
        <v>264</v>
      </c>
      <c r="V52" s="107" t="s">
        <v>1080</v>
      </c>
      <c r="W52" s="107" t="s">
        <v>1296</v>
      </c>
      <c r="X52" s="107" t="s">
        <v>1202</v>
      </c>
      <c r="Y52" s="107" t="s">
        <v>210</v>
      </c>
      <c r="Z52" s="107">
        <v>35.46</v>
      </c>
      <c r="AA52" s="247" t="s">
        <v>1288</v>
      </c>
      <c r="AN52" s="282"/>
      <c r="AP52" s="275" t="s">
        <v>1295</v>
      </c>
      <c r="AQ52" s="108">
        <v>4</v>
      </c>
      <c r="AR52" s="108">
        <v>0</v>
      </c>
      <c r="AS52" s="276">
        <f t="shared" si="12"/>
        <v>0</v>
      </c>
      <c r="AT52" s="274">
        <v>0</v>
      </c>
    </row>
    <row r="53" spans="1:46" ht="15" x14ac:dyDescent="0.25">
      <c r="A53" s="107" t="s">
        <v>263</v>
      </c>
      <c r="B53" s="107" t="s">
        <v>1080</v>
      </c>
      <c r="C53" s="107" t="s">
        <v>206</v>
      </c>
      <c r="D53" s="107" t="s">
        <v>210</v>
      </c>
      <c r="E53" s="107">
        <v>33.08</v>
      </c>
      <c r="F53" s="107" t="s">
        <v>220</v>
      </c>
      <c r="G53" s="107" t="s">
        <v>220</v>
      </c>
      <c r="H53" s="107" t="s">
        <v>220</v>
      </c>
      <c r="I53" s="107" t="s">
        <v>220</v>
      </c>
      <c r="J53" s="107" t="s">
        <v>220</v>
      </c>
      <c r="K53" s="107" t="s">
        <v>982</v>
      </c>
      <c r="L53" s="107" t="s">
        <v>263</v>
      </c>
      <c r="M53" s="107" t="s">
        <v>1080</v>
      </c>
      <c r="N53" s="107" t="s">
        <v>1296</v>
      </c>
      <c r="O53" s="107" t="s">
        <v>1202</v>
      </c>
      <c r="P53" s="107" t="s">
        <v>210</v>
      </c>
      <c r="Q53" s="107">
        <v>33.08</v>
      </c>
      <c r="R53" s="247" t="s">
        <v>1286</v>
      </c>
      <c r="T53" s="107" t="s">
        <v>982</v>
      </c>
      <c r="U53" s="107" t="s">
        <v>265</v>
      </c>
      <c r="V53" s="107" t="s">
        <v>1080</v>
      </c>
      <c r="W53" s="107" t="s">
        <v>1296</v>
      </c>
      <c r="X53" s="107" t="s">
        <v>1202</v>
      </c>
      <c r="Y53" s="107" t="s">
        <v>210</v>
      </c>
      <c r="Z53" s="107">
        <v>44.72</v>
      </c>
      <c r="AA53" s="247" t="s">
        <v>1290</v>
      </c>
      <c r="AN53" s="282"/>
      <c r="AP53" s="108" t="s">
        <v>915</v>
      </c>
      <c r="AQ53" s="108">
        <v>4</v>
      </c>
      <c r="AR53" s="108">
        <v>0</v>
      </c>
      <c r="AS53" s="276">
        <f t="shared" si="12"/>
        <v>0</v>
      </c>
      <c r="AT53" s="274">
        <v>0</v>
      </c>
    </row>
    <row r="54" spans="1:46" x14ac:dyDescent="0.2">
      <c r="A54" s="107" t="s">
        <v>264</v>
      </c>
      <c r="B54" s="107" t="s">
        <v>981</v>
      </c>
      <c r="C54" s="107" t="s">
        <v>206</v>
      </c>
      <c r="D54" s="107" t="s">
        <v>809</v>
      </c>
      <c r="E54" s="107">
        <v>33.83</v>
      </c>
      <c r="F54" s="107" t="s">
        <v>220</v>
      </c>
      <c r="G54" s="107" t="s">
        <v>220</v>
      </c>
      <c r="H54" s="107" t="s">
        <v>220</v>
      </c>
      <c r="I54" s="107" t="s">
        <v>220</v>
      </c>
      <c r="J54" s="107" t="s">
        <v>220</v>
      </c>
      <c r="K54" s="107" t="s">
        <v>982</v>
      </c>
      <c r="L54" s="107" t="s">
        <v>264</v>
      </c>
      <c r="M54" s="107" t="s">
        <v>981</v>
      </c>
      <c r="N54" s="107" t="s">
        <v>1296</v>
      </c>
      <c r="O54" s="107" t="s">
        <v>1202</v>
      </c>
      <c r="P54" s="107" t="s">
        <v>809</v>
      </c>
      <c r="Q54" s="107">
        <v>33.83</v>
      </c>
      <c r="R54" s="247" t="s">
        <v>1288</v>
      </c>
      <c r="T54" s="107" t="s">
        <v>982</v>
      </c>
      <c r="U54" s="107" t="s">
        <v>266</v>
      </c>
      <c r="V54" s="107" t="s">
        <v>1080</v>
      </c>
      <c r="W54" s="107" t="s">
        <v>1296</v>
      </c>
      <c r="X54" s="107" t="s">
        <v>1202</v>
      </c>
      <c r="Y54" s="107" t="s">
        <v>210</v>
      </c>
      <c r="Z54" s="107" t="s">
        <v>220</v>
      </c>
      <c r="AA54" s="247" t="s">
        <v>1291</v>
      </c>
      <c r="AN54" s="282"/>
      <c r="AT54" s="291"/>
    </row>
    <row r="55" spans="1:46" x14ac:dyDescent="0.2">
      <c r="A55" s="107" t="s">
        <v>264</v>
      </c>
      <c r="B55" s="107" t="s">
        <v>1080</v>
      </c>
      <c r="C55" s="107" t="s">
        <v>206</v>
      </c>
      <c r="D55" s="107" t="s">
        <v>210</v>
      </c>
      <c r="E55" s="107">
        <v>35.46</v>
      </c>
      <c r="F55" s="107" t="s">
        <v>220</v>
      </c>
      <c r="G55" s="107" t="s">
        <v>220</v>
      </c>
      <c r="H55" s="107" t="s">
        <v>220</v>
      </c>
      <c r="I55" s="107" t="s">
        <v>220</v>
      </c>
      <c r="J55" s="107" t="s">
        <v>220</v>
      </c>
      <c r="K55" s="107" t="s">
        <v>982</v>
      </c>
      <c r="L55" s="107" t="s">
        <v>264</v>
      </c>
      <c r="M55" s="107" t="s">
        <v>1080</v>
      </c>
      <c r="N55" s="107" t="s">
        <v>1296</v>
      </c>
      <c r="O55" s="107" t="s">
        <v>1202</v>
      </c>
      <c r="P55" s="107" t="s">
        <v>210</v>
      </c>
      <c r="Q55" s="107">
        <v>35.46</v>
      </c>
      <c r="R55" s="247" t="s">
        <v>1288</v>
      </c>
      <c r="T55" s="107" t="s">
        <v>982</v>
      </c>
      <c r="U55" s="107" t="s">
        <v>267</v>
      </c>
      <c r="V55" s="107" t="s">
        <v>1080</v>
      </c>
      <c r="W55" s="107" t="s">
        <v>1296</v>
      </c>
      <c r="X55" s="107" t="s">
        <v>1202</v>
      </c>
      <c r="Y55" s="107" t="s">
        <v>210</v>
      </c>
      <c r="Z55" s="107" t="s">
        <v>220</v>
      </c>
      <c r="AA55" s="247" t="s">
        <v>1294</v>
      </c>
      <c r="AN55" s="282"/>
      <c r="AT55" s="291"/>
    </row>
    <row r="56" spans="1:46" x14ac:dyDescent="0.2">
      <c r="A56" s="107" t="s">
        <v>265</v>
      </c>
      <c r="B56" s="107" t="s">
        <v>981</v>
      </c>
      <c r="C56" s="107" t="s">
        <v>206</v>
      </c>
      <c r="D56" s="107" t="s">
        <v>809</v>
      </c>
      <c r="E56" s="107">
        <v>33.57</v>
      </c>
      <c r="F56" s="107" t="s">
        <v>220</v>
      </c>
      <c r="G56" s="107" t="s">
        <v>220</v>
      </c>
      <c r="H56" s="107" t="s">
        <v>220</v>
      </c>
      <c r="I56" s="107" t="s">
        <v>220</v>
      </c>
      <c r="J56" s="107" t="s">
        <v>220</v>
      </c>
      <c r="K56" s="107" t="s">
        <v>982</v>
      </c>
      <c r="L56" s="107" t="s">
        <v>265</v>
      </c>
      <c r="M56" s="107" t="s">
        <v>981</v>
      </c>
      <c r="N56" s="107" t="s">
        <v>1296</v>
      </c>
      <c r="O56" s="107" t="s">
        <v>1202</v>
      </c>
      <c r="P56" s="107" t="s">
        <v>809</v>
      </c>
      <c r="Q56" s="107">
        <v>33.57</v>
      </c>
      <c r="R56" s="247" t="s">
        <v>1290</v>
      </c>
      <c r="T56" s="107" t="s">
        <v>982</v>
      </c>
      <c r="U56" s="107" t="s">
        <v>268</v>
      </c>
      <c r="V56" s="107" t="s">
        <v>1080</v>
      </c>
      <c r="W56" s="107" t="s">
        <v>1296</v>
      </c>
      <c r="X56" s="107" t="s">
        <v>1202</v>
      </c>
      <c r="Y56" s="107" t="s">
        <v>210</v>
      </c>
      <c r="Z56" s="107" t="s">
        <v>220</v>
      </c>
      <c r="AA56" s="247" t="s">
        <v>1295</v>
      </c>
      <c r="AN56" s="282"/>
      <c r="AR56" s="108" t="s">
        <v>1137</v>
      </c>
      <c r="AS56" s="107" t="s">
        <v>1232</v>
      </c>
      <c r="AT56" s="291" t="s">
        <v>1297</v>
      </c>
    </row>
    <row r="57" spans="1:46" x14ac:dyDescent="0.2">
      <c r="A57" s="107" t="s">
        <v>265</v>
      </c>
      <c r="B57" s="107" t="s">
        <v>1080</v>
      </c>
      <c r="C57" s="107" t="s">
        <v>206</v>
      </c>
      <c r="D57" s="107" t="s">
        <v>210</v>
      </c>
      <c r="E57" s="107">
        <v>44.72</v>
      </c>
      <c r="F57" s="107" t="s">
        <v>220</v>
      </c>
      <c r="G57" s="107" t="s">
        <v>220</v>
      </c>
      <c r="H57" s="107" t="s">
        <v>220</v>
      </c>
      <c r="I57" s="107" t="s">
        <v>220</v>
      </c>
      <c r="J57" s="107" t="s">
        <v>220</v>
      </c>
      <c r="K57" s="107" t="s">
        <v>982</v>
      </c>
      <c r="L57" s="107" t="s">
        <v>265</v>
      </c>
      <c r="M57" s="107" t="s">
        <v>1080</v>
      </c>
      <c r="N57" s="107" t="s">
        <v>1296</v>
      </c>
      <c r="O57" s="107" t="s">
        <v>1202</v>
      </c>
      <c r="P57" s="107" t="s">
        <v>210</v>
      </c>
      <c r="Q57" s="107">
        <v>44.72</v>
      </c>
      <c r="R57" s="247" t="s">
        <v>1290</v>
      </c>
      <c r="T57" s="107" t="s">
        <v>982</v>
      </c>
      <c r="U57" s="107" t="s">
        <v>270</v>
      </c>
      <c r="V57" s="107" t="s">
        <v>1080</v>
      </c>
      <c r="W57" s="107" t="s">
        <v>1296</v>
      </c>
      <c r="X57" s="107" t="s">
        <v>1202</v>
      </c>
      <c r="Y57" s="107" t="s">
        <v>210</v>
      </c>
      <c r="Z57" s="107" t="s">
        <v>220</v>
      </c>
      <c r="AA57" s="107" t="s">
        <v>915</v>
      </c>
      <c r="AN57" s="282"/>
      <c r="AR57" s="108">
        <v>-9.034563100223739</v>
      </c>
      <c r="AS57" s="108">
        <v>100</v>
      </c>
      <c r="AT57" s="291">
        <f xml:space="preserve"> 102.0532 + (-2.267969 - 102.0532)/(1 + (AR57/-3.26389)^-14.25711)^26634450</f>
        <v>102.05301146994803</v>
      </c>
    </row>
    <row r="58" spans="1:46" x14ac:dyDescent="0.2">
      <c r="A58" s="107" t="s">
        <v>266</v>
      </c>
      <c r="B58" s="107" t="s">
        <v>981</v>
      </c>
      <c r="C58" s="107" t="s">
        <v>206</v>
      </c>
      <c r="D58" s="107" t="s">
        <v>809</v>
      </c>
      <c r="E58" s="107">
        <v>33.53</v>
      </c>
      <c r="F58" s="107" t="s">
        <v>220</v>
      </c>
      <c r="G58" s="107" t="s">
        <v>220</v>
      </c>
      <c r="H58" s="107" t="s">
        <v>220</v>
      </c>
      <c r="I58" s="107" t="s">
        <v>220</v>
      </c>
      <c r="J58" s="107" t="s">
        <v>220</v>
      </c>
      <c r="K58" s="107" t="s">
        <v>982</v>
      </c>
      <c r="L58" s="107" t="s">
        <v>266</v>
      </c>
      <c r="M58" s="107" t="s">
        <v>981</v>
      </c>
      <c r="N58" s="107" t="s">
        <v>1296</v>
      </c>
      <c r="O58" s="107" t="s">
        <v>1202</v>
      </c>
      <c r="P58" s="107" t="s">
        <v>809</v>
      </c>
      <c r="Q58" s="107">
        <v>33.53</v>
      </c>
      <c r="R58" s="247" t="s">
        <v>1291</v>
      </c>
      <c r="T58" s="107" t="s">
        <v>982</v>
      </c>
      <c r="U58" s="107" t="s">
        <v>288</v>
      </c>
      <c r="V58" s="107" t="s">
        <v>1080</v>
      </c>
      <c r="W58" s="107" t="s">
        <v>1296</v>
      </c>
      <c r="X58" s="107" t="s">
        <v>1203</v>
      </c>
      <c r="Y58" s="107" t="s">
        <v>210</v>
      </c>
      <c r="Z58" s="107">
        <v>31.81</v>
      </c>
      <c r="AA58" s="247" t="s">
        <v>1285</v>
      </c>
      <c r="AN58" s="282"/>
      <c r="AR58" s="108">
        <v>-10.034563100223739</v>
      </c>
      <c r="AS58" s="108">
        <v>100</v>
      </c>
      <c r="AT58" s="291">
        <f t="shared" ref="AT58:AT64" si="13" xml:space="preserve"> 102.0532 + (-2.267969 - 102.0532)/(1 + (AR58/-3.26389)^-14.25711)^26634450</f>
        <v>96.64967035488371</v>
      </c>
    </row>
    <row r="59" spans="1:46" x14ac:dyDescent="0.2">
      <c r="A59" s="107" t="s">
        <v>266</v>
      </c>
      <c r="B59" s="107" t="s">
        <v>1080</v>
      </c>
      <c r="C59" s="107" t="s">
        <v>206</v>
      </c>
      <c r="D59" s="107" t="s">
        <v>210</v>
      </c>
      <c r="E59" s="107" t="s">
        <v>220</v>
      </c>
      <c r="F59" s="107" t="s">
        <v>220</v>
      </c>
      <c r="G59" s="107" t="s">
        <v>220</v>
      </c>
      <c r="H59" s="107" t="s">
        <v>220</v>
      </c>
      <c r="I59" s="107" t="s">
        <v>220</v>
      </c>
      <c r="J59" s="107" t="s">
        <v>220</v>
      </c>
      <c r="K59" s="107" t="s">
        <v>982</v>
      </c>
      <c r="L59" s="107" t="s">
        <v>266</v>
      </c>
      <c r="M59" s="107" t="s">
        <v>1080</v>
      </c>
      <c r="N59" s="107" t="s">
        <v>1296</v>
      </c>
      <c r="O59" s="107" t="s">
        <v>1202</v>
      </c>
      <c r="P59" s="107" t="s">
        <v>210</v>
      </c>
      <c r="Q59" s="107" t="s">
        <v>220</v>
      </c>
      <c r="R59" s="247" t="s">
        <v>1291</v>
      </c>
      <c r="T59" s="107" t="s">
        <v>982</v>
      </c>
      <c r="U59" s="107" t="s">
        <v>289</v>
      </c>
      <c r="V59" s="107" t="s">
        <v>1080</v>
      </c>
      <c r="W59" s="107" t="s">
        <v>1296</v>
      </c>
      <c r="X59" s="107" t="s">
        <v>1203</v>
      </c>
      <c r="Y59" s="107" t="s">
        <v>210</v>
      </c>
      <c r="Z59" s="107">
        <v>32.44</v>
      </c>
      <c r="AA59" s="247" t="s">
        <v>1286</v>
      </c>
      <c r="AN59" s="282"/>
      <c r="AR59" s="108">
        <v>-11.034563100223739</v>
      </c>
      <c r="AS59" s="108">
        <v>50</v>
      </c>
      <c r="AT59" s="291">
        <f t="shared" si="13"/>
        <v>53.465523665253393</v>
      </c>
    </row>
    <row r="60" spans="1:46" x14ac:dyDescent="0.2">
      <c r="A60" s="107" t="s">
        <v>267</v>
      </c>
      <c r="B60" s="107" t="s">
        <v>981</v>
      </c>
      <c r="C60" s="107" t="s">
        <v>206</v>
      </c>
      <c r="D60" s="107" t="s">
        <v>809</v>
      </c>
      <c r="E60" s="107">
        <v>33.700000000000003</v>
      </c>
      <c r="F60" s="107" t="s">
        <v>220</v>
      </c>
      <c r="G60" s="107" t="s">
        <v>220</v>
      </c>
      <c r="H60" s="107" t="s">
        <v>220</v>
      </c>
      <c r="I60" s="107" t="s">
        <v>220</v>
      </c>
      <c r="J60" s="107" t="s">
        <v>220</v>
      </c>
      <c r="K60" s="107" t="s">
        <v>982</v>
      </c>
      <c r="L60" s="107" t="s">
        <v>267</v>
      </c>
      <c r="M60" s="107" t="s">
        <v>981</v>
      </c>
      <c r="N60" s="107" t="s">
        <v>1296</v>
      </c>
      <c r="O60" s="107" t="s">
        <v>1202</v>
      </c>
      <c r="P60" s="107" t="s">
        <v>809</v>
      </c>
      <c r="Q60" s="107">
        <v>33.700000000000003</v>
      </c>
      <c r="R60" s="247" t="s">
        <v>1294</v>
      </c>
      <c r="T60" s="107" t="s">
        <v>982</v>
      </c>
      <c r="U60" s="107" t="s">
        <v>290</v>
      </c>
      <c r="V60" s="107" t="s">
        <v>1080</v>
      </c>
      <c r="W60" s="107" t="s">
        <v>1296</v>
      </c>
      <c r="X60" s="107" t="s">
        <v>1203</v>
      </c>
      <c r="Y60" s="107" t="s">
        <v>210</v>
      </c>
      <c r="Z60" s="107">
        <v>34.85</v>
      </c>
      <c r="AA60" s="247" t="s">
        <v>1288</v>
      </c>
      <c r="AN60" s="282"/>
      <c r="AR60" s="108">
        <v>-12.034563100223739</v>
      </c>
      <c r="AS60" s="108">
        <v>25</v>
      </c>
      <c r="AT60" s="291">
        <f t="shared" si="13"/>
        <v>18.486274995500949</v>
      </c>
    </row>
    <row r="61" spans="1:46" x14ac:dyDescent="0.2">
      <c r="A61" s="107" t="s">
        <v>267</v>
      </c>
      <c r="B61" s="107" t="s">
        <v>1080</v>
      </c>
      <c r="C61" s="107" t="s">
        <v>206</v>
      </c>
      <c r="D61" s="107" t="s">
        <v>210</v>
      </c>
      <c r="E61" s="107" t="s">
        <v>220</v>
      </c>
      <c r="F61" s="107" t="s">
        <v>220</v>
      </c>
      <c r="G61" s="107" t="s">
        <v>220</v>
      </c>
      <c r="H61" s="107" t="s">
        <v>220</v>
      </c>
      <c r="I61" s="107" t="s">
        <v>220</v>
      </c>
      <c r="J61" s="107" t="s">
        <v>220</v>
      </c>
      <c r="K61" s="107" t="s">
        <v>982</v>
      </c>
      <c r="L61" s="107" t="s">
        <v>267</v>
      </c>
      <c r="M61" s="107" t="s">
        <v>1080</v>
      </c>
      <c r="N61" s="107" t="s">
        <v>1296</v>
      </c>
      <c r="O61" s="107" t="s">
        <v>1202</v>
      </c>
      <c r="P61" s="107" t="s">
        <v>210</v>
      </c>
      <c r="Q61" s="107" t="s">
        <v>220</v>
      </c>
      <c r="R61" s="247" t="s">
        <v>1294</v>
      </c>
      <c r="T61" s="107" t="s">
        <v>982</v>
      </c>
      <c r="U61" s="107" t="s">
        <v>291</v>
      </c>
      <c r="V61" s="107" t="s">
        <v>1080</v>
      </c>
      <c r="W61" s="107" t="s">
        <v>1296</v>
      </c>
      <c r="X61" s="107" t="s">
        <v>1203</v>
      </c>
      <c r="Y61" s="107" t="s">
        <v>210</v>
      </c>
      <c r="Z61" s="107" t="s">
        <v>220</v>
      </c>
      <c r="AA61" s="247" t="s">
        <v>1290</v>
      </c>
      <c r="AN61" s="282"/>
      <c r="AR61" s="108">
        <v>-13.034563100223741</v>
      </c>
      <c r="AS61" s="108">
        <v>0</v>
      </c>
      <c r="AT61" s="291">
        <f t="shared" si="13"/>
        <v>4.8902073769344696</v>
      </c>
    </row>
    <row r="62" spans="1:46" x14ac:dyDescent="0.2">
      <c r="A62" s="107" t="s">
        <v>268</v>
      </c>
      <c r="B62" s="107" t="s">
        <v>981</v>
      </c>
      <c r="C62" s="107" t="s">
        <v>206</v>
      </c>
      <c r="D62" s="107" t="s">
        <v>809</v>
      </c>
      <c r="E62" s="107">
        <v>34.06</v>
      </c>
      <c r="F62" s="107" t="s">
        <v>220</v>
      </c>
      <c r="G62" s="107" t="s">
        <v>220</v>
      </c>
      <c r="H62" s="107" t="s">
        <v>220</v>
      </c>
      <c r="I62" s="107" t="s">
        <v>220</v>
      </c>
      <c r="J62" s="107" t="s">
        <v>220</v>
      </c>
      <c r="K62" s="107" t="s">
        <v>982</v>
      </c>
      <c r="L62" s="107" t="s">
        <v>268</v>
      </c>
      <c r="M62" s="107" t="s">
        <v>981</v>
      </c>
      <c r="N62" s="107" t="s">
        <v>1296</v>
      </c>
      <c r="O62" s="107" t="s">
        <v>1202</v>
      </c>
      <c r="P62" s="107" t="s">
        <v>809</v>
      </c>
      <c r="Q62" s="107">
        <v>34.06</v>
      </c>
      <c r="R62" s="247" t="s">
        <v>1295</v>
      </c>
      <c r="T62" s="107" t="s">
        <v>982</v>
      </c>
      <c r="U62" s="107" t="s">
        <v>292</v>
      </c>
      <c r="V62" s="107" t="s">
        <v>1080</v>
      </c>
      <c r="W62" s="107" t="s">
        <v>1296</v>
      </c>
      <c r="X62" s="107" t="s">
        <v>1203</v>
      </c>
      <c r="Y62" s="107" t="s">
        <v>210</v>
      </c>
      <c r="Z62" s="107" t="s">
        <v>220</v>
      </c>
      <c r="AA62" s="247" t="s">
        <v>1291</v>
      </c>
      <c r="AN62" s="282"/>
      <c r="AR62" s="108">
        <v>-14.034563100223741</v>
      </c>
      <c r="AS62" s="108">
        <v>0</v>
      </c>
      <c r="AT62" s="291">
        <f t="shared" si="13"/>
        <v>0.28525786960928201</v>
      </c>
    </row>
    <row r="63" spans="1:46" x14ac:dyDescent="0.2">
      <c r="A63" s="107" t="s">
        <v>268</v>
      </c>
      <c r="B63" s="107" t="s">
        <v>1080</v>
      </c>
      <c r="C63" s="107" t="s">
        <v>206</v>
      </c>
      <c r="D63" s="107" t="s">
        <v>210</v>
      </c>
      <c r="E63" s="107" t="s">
        <v>220</v>
      </c>
      <c r="F63" s="107" t="s">
        <v>220</v>
      </c>
      <c r="G63" s="107" t="s">
        <v>220</v>
      </c>
      <c r="H63" s="107" t="s">
        <v>220</v>
      </c>
      <c r="I63" s="107" t="s">
        <v>220</v>
      </c>
      <c r="J63" s="107" t="s">
        <v>220</v>
      </c>
      <c r="K63" s="107" t="s">
        <v>982</v>
      </c>
      <c r="L63" s="107" t="s">
        <v>268</v>
      </c>
      <c r="M63" s="107" t="s">
        <v>1080</v>
      </c>
      <c r="N63" s="107" t="s">
        <v>1296</v>
      </c>
      <c r="O63" s="107" t="s">
        <v>1202</v>
      </c>
      <c r="P63" s="107" t="s">
        <v>210</v>
      </c>
      <c r="Q63" s="107" t="s">
        <v>220</v>
      </c>
      <c r="R63" s="247" t="s">
        <v>1295</v>
      </c>
      <c r="T63" s="107" t="s">
        <v>982</v>
      </c>
      <c r="U63" s="107" t="s">
        <v>293</v>
      </c>
      <c r="V63" s="107" t="s">
        <v>1080</v>
      </c>
      <c r="W63" s="107" t="s">
        <v>1296</v>
      </c>
      <c r="X63" s="107" t="s">
        <v>1203</v>
      </c>
      <c r="Y63" s="107" t="s">
        <v>210</v>
      </c>
      <c r="Z63" s="107" t="s">
        <v>220</v>
      </c>
      <c r="AA63" s="247" t="s">
        <v>1294</v>
      </c>
      <c r="AN63" s="282"/>
      <c r="AR63" s="108">
        <v>-15.034563100223741</v>
      </c>
      <c r="AS63" s="108">
        <v>0</v>
      </c>
      <c r="AT63" s="291">
        <f t="shared" si="13"/>
        <v>-1.3035376143851636</v>
      </c>
    </row>
    <row r="64" spans="1:46" ht="15" x14ac:dyDescent="0.25">
      <c r="A64" s="107" t="s">
        <v>270</v>
      </c>
      <c r="B64" s="107" t="s">
        <v>981</v>
      </c>
      <c r="C64" s="107" t="s">
        <v>206</v>
      </c>
      <c r="D64" s="107" t="s">
        <v>809</v>
      </c>
      <c r="E64" s="107">
        <v>33.24</v>
      </c>
      <c r="F64" s="107" t="s">
        <v>220</v>
      </c>
      <c r="G64" s="107" t="s">
        <v>220</v>
      </c>
      <c r="H64" s="107" t="s">
        <v>220</v>
      </c>
      <c r="I64" s="107" t="s">
        <v>220</v>
      </c>
      <c r="J64" s="107" t="s">
        <v>220</v>
      </c>
      <c r="K64" s="107" t="s">
        <v>982</v>
      </c>
      <c r="L64" s="107" t="s">
        <v>270</v>
      </c>
      <c r="M64" s="107" t="s">
        <v>981</v>
      </c>
      <c r="N64" s="107" t="s">
        <v>1296</v>
      </c>
      <c r="O64" s="107" t="s">
        <v>1202</v>
      </c>
      <c r="P64" s="107" t="s">
        <v>809</v>
      </c>
      <c r="Q64" s="107">
        <v>33.24</v>
      </c>
      <c r="R64" s="107" t="s">
        <v>915</v>
      </c>
      <c r="T64" s="107" t="s">
        <v>982</v>
      </c>
      <c r="U64" s="107" t="s">
        <v>294</v>
      </c>
      <c r="V64" s="107" t="s">
        <v>1080</v>
      </c>
      <c r="W64" s="107" t="s">
        <v>1296</v>
      </c>
      <c r="X64" s="107" t="s">
        <v>1203</v>
      </c>
      <c r="Y64" s="107" t="s">
        <v>210</v>
      </c>
      <c r="Z64" s="107" t="s">
        <v>220</v>
      </c>
      <c r="AA64" s="247" t="s">
        <v>1295</v>
      </c>
      <c r="AN64" s="282"/>
      <c r="AO64" s="292">
        <f>AP64/1000*20</f>
        <v>954.05925790018262</v>
      </c>
      <c r="AP64" s="280">
        <f>AQ64*0.001/1000000*6.022E+23</f>
        <v>47702.962895009128</v>
      </c>
      <c r="AQ64" s="293">
        <f>10^AR64</f>
        <v>7.9214485046511333E-11</v>
      </c>
      <c r="AR64" s="279">
        <v>-10.101195396686089</v>
      </c>
      <c r="AS64" s="279"/>
      <c r="AT64" s="294">
        <f t="shared" si="13"/>
        <v>94.999033108350801</v>
      </c>
    </row>
    <row r="65" spans="1:46" x14ac:dyDescent="0.2">
      <c r="A65" s="107" t="s">
        <v>270</v>
      </c>
      <c r="B65" s="107" t="s">
        <v>1080</v>
      </c>
      <c r="C65" s="107" t="s">
        <v>206</v>
      </c>
      <c r="D65" s="107" t="s">
        <v>210</v>
      </c>
      <c r="E65" s="107" t="s">
        <v>220</v>
      </c>
      <c r="F65" s="107" t="s">
        <v>220</v>
      </c>
      <c r="G65" s="107" t="s">
        <v>220</v>
      </c>
      <c r="H65" s="107" t="s">
        <v>220</v>
      </c>
      <c r="I65" s="107" t="s">
        <v>220</v>
      </c>
      <c r="J65" s="107" t="s">
        <v>220</v>
      </c>
      <c r="K65" s="107" t="s">
        <v>982</v>
      </c>
      <c r="L65" s="107" t="s">
        <v>270</v>
      </c>
      <c r="M65" s="107" t="s">
        <v>1080</v>
      </c>
      <c r="N65" s="107" t="s">
        <v>1296</v>
      </c>
      <c r="O65" s="107" t="s">
        <v>1202</v>
      </c>
      <c r="P65" s="107" t="s">
        <v>210</v>
      </c>
      <c r="Q65" s="107" t="s">
        <v>220</v>
      </c>
      <c r="R65" s="107" t="s">
        <v>915</v>
      </c>
      <c r="T65" s="107" t="s">
        <v>982</v>
      </c>
      <c r="U65" s="107" t="s">
        <v>295</v>
      </c>
      <c r="V65" s="107" t="s">
        <v>1080</v>
      </c>
      <c r="W65" s="107" t="s">
        <v>1296</v>
      </c>
      <c r="X65" s="107" t="s">
        <v>1203</v>
      </c>
      <c r="Y65" s="107" t="s">
        <v>210</v>
      </c>
      <c r="Z65" s="107" t="s">
        <v>220</v>
      </c>
      <c r="AA65" s="107" t="s">
        <v>915</v>
      </c>
      <c r="AN65" s="282"/>
      <c r="AT65" s="291"/>
    </row>
    <row r="66" spans="1:46" ht="13.5" thickBot="1" x14ac:dyDescent="0.25">
      <c r="A66" s="107" t="s">
        <v>276</v>
      </c>
      <c r="B66" s="107" t="s">
        <v>981</v>
      </c>
      <c r="C66" s="107" t="s">
        <v>206</v>
      </c>
      <c r="D66" s="107" t="s">
        <v>809</v>
      </c>
      <c r="E66" s="107">
        <v>33.770000000000003</v>
      </c>
      <c r="F66" s="107" t="s">
        <v>220</v>
      </c>
      <c r="G66" s="107" t="s">
        <v>220</v>
      </c>
      <c r="H66" s="107" t="s">
        <v>220</v>
      </c>
      <c r="I66" s="107" t="s">
        <v>220</v>
      </c>
      <c r="J66" s="107" t="s">
        <v>220</v>
      </c>
      <c r="K66" s="107" t="s">
        <v>982</v>
      </c>
      <c r="L66" s="107" t="s">
        <v>276</v>
      </c>
      <c r="M66" s="107" t="s">
        <v>981</v>
      </c>
      <c r="N66" s="107" t="s">
        <v>1284</v>
      </c>
      <c r="O66" s="107" t="s">
        <v>1203</v>
      </c>
      <c r="P66" s="107" t="s">
        <v>809</v>
      </c>
      <c r="Q66" s="107">
        <v>33.770000000000003</v>
      </c>
      <c r="R66" s="247" t="s">
        <v>1285</v>
      </c>
      <c r="T66" s="107" t="s">
        <v>982</v>
      </c>
      <c r="U66" s="107" t="s">
        <v>312</v>
      </c>
      <c r="V66" s="107" t="s">
        <v>1080</v>
      </c>
      <c r="W66" s="107" t="s">
        <v>1296</v>
      </c>
      <c r="X66" s="107" t="s">
        <v>1205</v>
      </c>
      <c r="Y66" s="107" t="s">
        <v>210</v>
      </c>
      <c r="Z66" s="107">
        <v>27.53</v>
      </c>
      <c r="AA66" s="247" t="s">
        <v>1285</v>
      </c>
      <c r="AN66" s="295"/>
      <c r="AO66" s="296"/>
      <c r="AP66" s="296"/>
      <c r="AQ66" s="296"/>
      <c r="AR66" s="296"/>
      <c r="AS66" s="296"/>
      <c r="AT66" s="297" t="s">
        <v>1304</v>
      </c>
    </row>
    <row r="67" spans="1:46" ht="13.5" thickBot="1" x14ac:dyDescent="0.25">
      <c r="A67" s="107" t="s">
        <v>276</v>
      </c>
      <c r="B67" s="107" t="s">
        <v>1080</v>
      </c>
      <c r="C67" s="107" t="s">
        <v>206</v>
      </c>
      <c r="D67" s="107" t="s">
        <v>210</v>
      </c>
      <c r="E67" s="107">
        <v>27.24</v>
      </c>
      <c r="F67" s="107" t="s">
        <v>220</v>
      </c>
      <c r="G67" s="107" t="s">
        <v>220</v>
      </c>
      <c r="H67" s="107" t="s">
        <v>220</v>
      </c>
      <c r="I67" s="107" t="s">
        <v>220</v>
      </c>
      <c r="J67" s="107" t="s">
        <v>220</v>
      </c>
      <c r="K67" s="107" t="s">
        <v>982</v>
      </c>
      <c r="L67" s="107" t="s">
        <v>276</v>
      </c>
      <c r="M67" s="107" t="s">
        <v>1080</v>
      </c>
      <c r="N67" s="107" t="s">
        <v>1284</v>
      </c>
      <c r="O67" s="107" t="s">
        <v>1203</v>
      </c>
      <c r="P67" s="107" t="s">
        <v>210</v>
      </c>
      <c r="Q67" s="107">
        <v>27.24</v>
      </c>
      <c r="R67" s="247" t="s">
        <v>1285</v>
      </c>
      <c r="T67" s="107" t="s">
        <v>982</v>
      </c>
      <c r="U67" s="107" t="s">
        <v>313</v>
      </c>
      <c r="V67" s="107" t="s">
        <v>1080</v>
      </c>
      <c r="W67" s="107" t="s">
        <v>1296</v>
      </c>
      <c r="X67" s="107" t="s">
        <v>1205</v>
      </c>
      <c r="Y67" s="107" t="s">
        <v>210</v>
      </c>
      <c r="Z67" s="107">
        <v>35.93</v>
      </c>
      <c r="AA67" s="247" t="s">
        <v>1286</v>
      </c>
    </row>
    <row r="68" spans="1:46" x14ac:dyDescent="0.2">
      <c r="A68" s="107" t="s">
        <v>277</v>
      </c>
      <c r="B68" s="107" t="s">
        <v>981</v>
      </c>
      <c r="C68" s="107" t="s">
        <v>206</v>
      </c>
      <c r="D68" s="107" t="s">
        <v>809</v>
      </c>
      <c r="E68" s="107">
        <v>32.869999999999997</v>
      </c>
      <c r="F68" s="107" t="s">
        <v>220</v>
      </c>
      <c r="G68" s="107" t="s">
        <v>220</v>
      </c>
      <c r="H68" s="107" t="s">
        <v>220</v>
      </c>
      <c r="I68" s="107" t="s">
        <v>220</v>
      </c>
      <c r="J68" s="107" t="s">
        <v>220</v>
      </c>
      <c r="K68" s="107" t="s">
        <v>982</v>
      </c>
      <c r="L68" s="107" t="s">
        <v>277</v>
      </c>
      <c r="M68" s="107" t="s">
        <v>981</v>
      </c>
      <c r="N68" s="107" t="s">
        <v>1284</v>
      </c>
      <c r="O68" s="107" t="s">
        <v>1203</v>
      </c>
      <c r="P68" s="107" t="s">
        <v>809</v>
      </c>
      <c r="Q68" s="107">
        <v>32.869999999999997</v>
      </c>
      <c r="R68" s="247" t="s">
        <v>1286</v>
      </c>
      <c r="T68" s="107" t="s">
        <v>982</v>
      </c>
      <c r="U68" s="107" t="s">
        <v>314</v>
      </c>
      <c r="V68" s="107" t="s">
        <v>1080</v>
      </c>
      <c r="W68" s="107" t="s">
        <v>1296</v>
      </c>
      <c r="X68" s="107" t="s">
        <v>1205</v>
      </c>
      <c r="Y68" s="107" t="s">
        <v>210</v>
      </c>
      <c r="Z68" s="107" t="s">
        <v>220</v>
      </c>
      <c r="AA68" s="247" t="s">
        <v>1288</v>
      </c>
      <c r="AN68" s="268" t="s">
        <v>1305</v>
      </c>
    </row>
    <row r="69" spans="1:46" x14ac:dyDescent="0.2">
      <c r="A69" s="107" t="s">
        <v>277</v>
      </c>
      <c r="B69" s="107" t="s">
        <v>1080</v>
      </c>
      <c r="C69" s="107" t="s">
        <v>206</v>
      </c>
      <c r="D69" s="107" t="s">
        <v>210</v>
      </c>
      <c r="E69" s="107">
        <v>31.04</v>
      </c>
      <c r="F69" s="107" t="s">
        <v>220</v>
      </c>
      <c r="G69" s="107" t="s">
        <v>220</v>
      </c>
      <c r="H69" s="107" t="s">
        <v>220</v>
      </c>
      <c r="I69" s="107" t="s">
        <v>220</v>
      </c>
      <c r="J69" s="107" t="s">
        <v>220</v>
      </c>
      <c r="K69" s="107" t="s">
        <v>982</v>
      </c>
      <c r="L69" s="107" t="s">
        <v>277</v>
      </c>
      <c r="M69" s="107" t="s">
        <v>1080</v>
      </c>
      <c r="N69" s="107" t="s">
        <v>1284</v>
      </c>
      <c r="O69" s="107" t="s">
        <v>1203</v>
      </c>
      <c r="P69" s="107" t="s">
        <v>210</v>
      </c>
      <c r="Q69" s="107">
        <v>31.04</v>
      </c>
      <c r="R69" s="247" t="s">
        <v>1286</v>
      </c>
      <c r="T69" s="107" t="s">
        <v>982</v>
      </c>
      <c r="U69" s="107" t="s">
        <v>315</v>
      </c>
      <c r="V69" s="107" t="s">
        <v>1080</v>
      </c>
      <c r="W69" s="107" t="s">
        <v>1296</v>
      </c>
      <c r="X69" s="107" t="s">
        <v>1205</v>
      </c>
      <c r="Y69" s="107" t="s">
        <v>210</v>
      </c>
      <c r="Z69" s="107" t="s">
        <v>220</v>
      </c>
      <c r="AA69" s="247" t="s">
        <v>1290</v>
      </c>
      <c r="AN69" s="107" t="s">
        <v>1306</v>
      </c>
    </row>
    <row r="70" spans="1:46" x14ac:dyDescent="0.2">
      <c r="A70" s="107" t="s">
        <v>278</v>
      </c>
      <c r="B70" s="107" t="s">
        <v>981</v>
      </c>
      <c r="C70" s="107" t="s">
        <v>206</v>
      </c>
      <c r="D70" s="107" t="s">
        <v>809</v>
      </c>
      <c r="E70" s="107">
        <v>32.85</v>
      </c>
      <c r="F70" s="107" t="s">
        <v>220</v>
      </c>
      <c r="G70" s="107" t="s">
        <v>220</v>
      </c>
      <c r="H70" s="107" t="s">
        <v>220</v>
      </c>
      <c r="I70" s="107" t="s">
        <v>220</v>
      </c>
      <c r="J70" s="107" t="s">
        <v>220</v>
      </c>
      <c r="K70" s="107" t="s">
        <v>982</v>
      </c>
      <c r="L70" s="107" t="s">
        <v>278</v>
      </c>
      <c r="M70" s="107" t="s">
        <v>981</v>
      </c>
      <c r="N70" s="107" t="s">
        <v>1284</v>
      </c>
      <c r="O70" s="107" t="s">
        <v>1203</v>
      </c>
      <c r="P70" s="107" t="s">
        <v>809</v>
      </c>
      <c r="Q70" s="107">
        <v>32.85</v>
      </c>
      <c r="R70" s="247" t="s">
        <v>1288</v>
      </c>
      <c r="T70" s="107" t="s">
        <v>982</v>
      </c>
      <c r="U70" s="107" t="s">
        <v>316</v>
      </c>
      <c r="V70" s="107" t="s">
        <v>1080</v>
      </c>
      <c r="W70" s="107" t="s">
        <v>1296</v>
      </c>
      <c r="X70" s="107" t="s">
        <v>1205</v>
      </c>
      <c r="Y70" s="107" t="s">
        <v>210</v>
      </c>
      <c r="Z70" s="107" t="s">
        <v>220</v>
      </c>
      <c r="AA70" s="247" t="s">
        <v>1291</v>
      </c>
      <c r="AN70" s="107" t="s">
        <v>1307</v>
      </c>
    </row>
    <row r="71" spans="1:46" x14ac:dyDescent="0.2">
      <c r="A71" s="107" t="s">
        <v>278</v>
      </c>
      <c r="B71" s="107" t="s">
        <v>1080</v>
      </c>
      <c r="C71" s="107" t="s">
        <v>206</v>
      </c>
      <c r="D71" s="107" t="s">
        <v>210</v>
      </c>
      <c r="E71" s="107">
        <v>32.83</v>
      </c>
      <c r="F71" s="107" t="s">
        <v>220</v>
      </c>
      <c r="G71" s="107" t="s">
        <v>220</v>
      </c>
      <c r="H71" s="107" t="s">
        <v>220</v>
      </c>
      <c r="I71" s="107" t="s">
        <v>220</v>
      </c>
      <c r="J71" s="107" t="s">
        <v>220</v>
      </c>
      <c r="K71" s="107" t="s">
        <v>982</v>
      </c>
      <c r="L71" s="107" t="s">
        <v>278</v>
      </c>
      <c r="M71" s="107" t="s">
        <v>1080</v>
      </c>
      <c r="N71" s="107" t="s">
        <v>1284</v>
      </c>
      <c r="O71" s="107" t="s">
        <v>1203</v>
      </c>
      <c r="P71" s="107" t="s">
        <v>210</v>
      </c>
      <c r="Q71" s="107">
        <v>32.83</v>
      </c>
      <c r="R71" s="247" t="s">
        <v>1288</v>
      </c>
      <c r="T71" s="107" t="s">
        <v>982</v>
      </c>
      <c r="U71" s="107" t="s">
        <v>317</v>
      </c>
      <c r="V71" s="107" t="s">
        <v>1080</v>
      </c>
      <c r="W71" s="107" t="s">
        <v>1296</v>
      </c>
      <c r="X71" s="107" t="s">
        <v>1205</v>
      </c>
      <c r="Y71" s="107" t="s">
        <v>210</v>
      </c>
      <c r="Z71" s="107" t="s">
        <v>220</v>
      </c>
      <c r="AA71" s="247" t="s">
        <v>1294</v>
      </c>
    </row>
    <row r="72" spans="1:46" x14ac:dyDescent="0.2">
      <c r="A72" s="107" t="s">
        <v>279</v>
      </c>
      <c r="B72" s="107" t="s">
        <v>981</v>
      </c>
      <c r="C72" s="107" t="s">
        <v>206</v>
      </c>
      <c r="D72" s="107" t="s">
        <v>809</v>
      </c>
      <c r="E72" s="107">
        <v>32.69</v>
      </c>
      <c r="F72" s="107" t="s">
        <v>220</v>
      </c>
      <c r="G72" s="107" t="s">
        <v>220</v>
      </c>
      <c r="H72" s="107" t="s">
        <v>220</v>
      </c>
      <c r="I72" s="107" t="s">
        <v>220</v>
      </c>
      <c r="J72" s="107" t="s">
        <v>220</v>
      </c>
      <c r="K72" s="107" t="s">
        <v>982</v>
      </c>
      <c r="L72" s="107" t="s">
        <v>279</v>
      </c>
      <c r="M72" s="107" t="s">
        <v>981</v>
      </c>
      <c r="N72" s="107" t="s">
        <v>1284</v>
      </c>
      <c r="O72" s="107" t="s">
        <v>1203</v>
      </c>
      <c r="P72" s="107" t="s">
        <v>809</v>
      </c>
      <c r="Q72" s="107">
        <v>32.69</v>
      </c>
      <c r="R72" s="247" t="s">
        <v>1290</v>
      </c>
      <c r="T72" s="107" t="s">
        <v>982</v>
      </c>
      <c r="U72" s="107" t="s">
        <v>318</v>
      </c>
      <c r="V72" s="107" t="s">
        <v>1080</v>
      </c>
      <c r="W72" s="107" t="s">
        <v>1296</v>
      </c>
      <c r="X72" s="107" t="s">
        <v>1205</v>
      </c>
      <c r="Y72" s="107" t="s">
        <v>210</v>
      </c>
      <c r="Z72" s="107" t="s">
        <v>220</v>
      </c>
      <c r="AA72" s="247" t="s">
        <v>1295</v>
      </c>
    </row>
    <row r="73" spans="1:46" x14ac:dyDescent="0.2">
      <c r="A73" s="107" t="s">
        <v>279</v>
      </c>
      <c r="B73" s="107" t="s">
        <v>1080</v>
      </c>
      <c r="C73" s="107" t="s">
        <v>206</v>
      </c>
      <c r="D73" s="107" t="s">
        <v>210</v>
      </c>
      <c r="E73" s="107" t="s">
        <v>220</v>
      </c>
      <c r="F73" s="107" t="s">
        <v>220</v>
      </c>
      <c r="G73" s="107" t="s">
        <v>220</v>
      </c>
      <c r="H73" s="107" t="s">
        <v>220</v>
      </c>
      <c r="I73" s="107" t="s">
        <v>220</v>
      </c>
      <c r="J73" s="107" t="s">
        <v>220</v>
      </c>
      <c r="K73" s="107" t="s">
        <v>982</v>
      </c>
      <c r="L73" s="107" t="s">
        <v>279</v>
      </c>
      <c r="M73" s="107" t="s">
        <v>1080</v>
      </c>
      <c r="N73" s="107" t="s">
        <v>1284</v>
      </c>
      <c r="O73" s="107" t="s">
        <v>1203</v>
      </c>
      <c r="P73" s="107" t="s">
        <v>210</v>
      </c>
      <c r="Q73" s="107" t="s">
        <v>220</v>
      </c>
      <c r="R73" s="247" t="s">
        <v>1290</v>
      </c>
      <c r="T73" s="107" t="s">
        <v>982</v>
      </c>
      <c r="U73" s="107" t="s">
        <v>319</v>
      </c>
      <c r="V73" s="107" t="s">
        <v>1080</v>
      </c>
      <c r="W73" s="107" t="s">
        <v>1296</v>
      </c>
      <c r="X73" s="107" t="s">
        <v>1205</v>
      </c>
      <c r="Y73" s="107" t="s">
        <v>210</v>
      </c>
      <c r="Z73" s="107" t="s">
        <v>220</v>
      </c>
      <c r="AA73" s="107" t="s">
        <v>915</v>
      </c>
    </row>
    <row r="74" spans="1:46" x14ac:dyDescent="0.2">
      <c r="A74" s="107" t="s">
        <v>280</v>
      </c>
      <c r="B74" s="107" t="s">
        <v>981</v>
      </c>
      <c r="C74" s="107" t="s">
        <v>206</v>
      </c>
      <c r="D74" s="107" t="s">
        <v>809</v>
      </c>
      <c r="E74" s="107">
        <v>32.229999999999997</v>
      </c>
      <c r="F74" s="107" t="s">
        <v>220</v>
      </c>
      <c r="G74" s="107" t="s">
        <v>220</v>
      </c>
      <c r="H74" s="107" t="s">
        <v>220</v>
      </c>
      <c r="I74" s="107" t="s">
        <v>220</v>
      </c>
      <c r="J74" s="107" t="s">
        <v>220</v>
      </c>
      <c r="K74" s="107" t="s">
        <v>982</v>
      </c>
      <c r="L74" s="107" t="s">
        <v>280</v>
      </c>
      <c r="M74" s="107" t="s">
        <v>981</v>
      </c>
      <c r="N74" s="107" t="s">
        <v>1284</v>
      </c>
      <c r="O74" s="107" t="s">
        <v>1203</v>
      </c>
      <c r="P74" s="107" t="s">
        <v>809</v>
      </c>
      <c r="Q74" s="107">
        <v>32.229999999999997</v>
      </c>
      <c r="R74" s="247" t="s">
        <v>1291</v>
      </c>
      <c r="T74" s="107" t="s">
        <v>1043</v>
      </c>
      <c r="U74" s="107" t="s">
        <v>1019</v>
      </c>
      <c r="V74" s="107" t="s">
        <v>1080</v>
      </c>
      <c r="W74" s="107" t="s">
        <v>1296</v>
      </c>
      <c r="X74" s="107" t="s">
        <v>1235</v>
      </c>
      <c r="Y74" s="107" t="s">
        <v>210</v>
      </c>
      <c r="Z74" s="107">
        <v>28.15</v>
      </c>
      <c r="AA74" s="247" t="s">
        <v>1285</v>
      </c>
    </row>
    <row r="75" spans="1:46" x14ac:dyDescent="0.2">
      <c r="A75" s="107" t="s">
        <v>280</v>
      </c>
      <c r="B75" s="107" t="s">
        <v>1080</v>
      </c>
      <c r="C75" s="107" t="s">
        <v>206</v>
      </c>
      <c r="D75" s="107" t="s">
        <v>210</v>
      </c>
      <c r="E75" s="107" t="s">
        <v>220</v>
      </c>
      <c r="F75" s="107" t="s">
        <v>220</v>
      </c>
      <c r="G75" s="107" t="s">
        <v>220</v>
      </c>
      <c r="H75" s="107" t="s">
        <v>220</v>
      </c>
      <c r="I75" s="107" t="s">
        <v>220</v>
      </c>
      <c r="J75" s="107" t="s">
        <v>220</v>
      </c>
      <c r="K75" s="107" t="s">
        <v>982</v>
      </c>
      <c r="L75" s="107" t="s">
        <v>280</v>
      </c>
      <c r="M75" s="107" t="s">
        <v>1080</v>
      </c>
      <c r="N75" s="107" t="s">
        <v>1284</v>
      </c>
      <c r="O75" s="107" t="s">
        <v>1203</v>
      </c>
      <c r="P75" s="107" t="s">
        <v>210</v>
      </c>
      <c r="Q75" s="107" t="s">
        <v>220</v>
      </c>
      <c r="R75" s="247" t="s">
        <v>1291</v>
      </c>
      <c r="T75" s="107" t="s">
        <v>1043</v>
      </c>
      <c r="U75" s="107" t="s">
        <v>1022</v>
      </c>
      <c r="V75" s="107" t="s">
        <v>1080</v>
      </c>
      <c r="W75" s="107" t="s">
        <v>1296</v>
      </c>
      <c r="X75" s="107" t="s">
        <v>1235</v>
      </c>
      <c r="Y75" s="107" t="s">
        <v>210</v>
      </c>
      <c r="Z75" s="107">
        <v>30.74</v>
      </c>
      <c r="AA75" s="107" t="s">
        <v>1286</v>
      </c>
    </row>
    <row r="76" spans="1:46" x14ac:dyDescent="0.2">
      <c r="A76" s="107" t="s">
        <v>281</v>
      </c>
      <c r="B76" s="107" t="s">
        <v>981</v>
      </c>
      <c r="C76" s="107" t="s">
        <v>206</v>
      </c>
      <c r="D76" s="107" t="s">
        <v>809</v>
      </c>
      <c r="E76" s="107">
        <v>32.659999999999997</v>
      </c>
      <c r="F76" s="107" t="s">
        <v>220</v>
      </c>
      <c r="G76" s="107" t="s">
        <v>220</v>
      </c>
      <c r="H76" s="107" t="s">
        <v>220</v>
      </c>
      <c r="I76" s="107" t="s">
        <v>220</v>
      </c>
      <c r="J76" s="107" t="s">
        <v>220</v>
      </c>
      <c r="K76" s="107" t="s">
        <v>982</v>
      </c>
      <c r="L76" s="107" t="s">
        <v>281</v>
      </c>
      <c r="M76" s="107" t="s">
        <v>981</v>
      </c>
      <c r="N76" s="107" t="s">
        <v>1284</v>
      </c>
      <c r="O76" s="107" t="s">
        <v>1203</v>
      </c>
      <c r="P76" s="107" t="s">
        <v>809</v>
      </c>
      <c r="Q76" s="107">
        <v>32.659999999999997</v>
      </c>
      <c r="R76" s="247" t="s">
        <v>1294</v>
      </c>
      <c r="T76" s="107" t="s">
        <v>1043</v>
      </c>
      <c r="U76" s="107" t="s">
        <v>1025</v>
      </c>
      <c r="V76" s="107" t="s">
        <v>1080</v>
      </c>
      <c r="W76" s="107" t="s">
        <v>1296</v>
      </c>
      <c r="X76" s="107" t="s">
        <v>1235</v>
      </c>
      <c r="Y76" s="107" t="s">
        <v>210</v>
      </c>
      <c r="AA76" s="107" t="s">
        <v>1288</v>
      </c>
    </row>
    <row r="77" spans="1:46" x14ac:dyDescent="0.2">
      <c r="A77" s="107" t="s">
        <v>281</v>
      </c>
      <c r="B77" s="107" t="s">
        <v>1080</v>
      </c>
      <c r="C77" s="107" t="s">
        <v>206</v>
      </c>
      <c r="D77" s="107" t="s">
        <v>210</v>
      </c>
      <c r="E77" s="107" t="s">
        <v>220</v>
      </c>
      <c r="F77" s="107" t="s">
        <v>220</v>
      </c>
      <c r="G77" s="107" t="s">
        <v>220</v>
      </c>
      <c r="H77" s="107" t="s">
        <v>220</v>
      </c>
      <c r="I77" s="107" t="s">
        <v>220</v>
      </c>
      <c r="J77" s="107" t="s">
        <v>220</v>
      </c>
      <c r="K77" s="107" t="s">
        <v>982</v>
      </c>
      <c r="L77" s="107" t="s">
        <v>281</v>
      </c>
      <c r="M77" s="107" t="s">
        <v>1080</v>
      </c>
      <c r="N77" s="107" t="s">
        <v>1284</v>
      </c>
      <c r="O77" s="107" t="s">
        <v>1203</v>
      </c>
      <c r="P77" s="107" t="s">
        <v>210</v>
      </c>
      <c r="Q77" s="107" t="s">
        <v>220</v>
      </c>
      <c r="R77" s="247" t="s">
        <v>1294</v>
      </c>
      <c r="T77" s="107" t="s">
        <v>1043</v>
      </c>
      <c r="U77" s="107" t="s">
        <v>1028</v>
      </c>
      <c r="V77" s="107" t="s">
        <v>1080</v>
      </c>
      <c r="W77" s="107" t="s">
        <v>1296</v>
      </c>
      <c r="X77" s="107" t="s">
        <v>1235</v>
      </c>
      <c r="Y77" s="107" t="s">
        <v>210</v>
      </c>
      <c r="AA77" s="107" t="s">
        <v>1290</v>
      </c>
    </row>
    <row r="78" spans="1:46" x14ac:dyDescent="0.2">
      <c r="A78" s="107" t="s">
        <v>282</v>
      </c>
      <c r="B78" s="107" t="s">
        <v>981</v>
      </c>
      <c r="C78" s="107" t="s">
        <v>206</v>
      </c>
      <c r="D78" s="107" t="s">
        <v>809</v>
      </c>
      <c r="E78" s="107">
        <v>32.39</v>
      </c>
      <c r="F78" s="107" t="s">
        <v>220</v>
      </c>
      <c r="G78" s="107" t="s">
        <v>220</v>
      </c>
      <c r="H78" s="107" t="s">
        <v>220</v>
      </c>
      <c r="I78" s="107" t="s">
        <v>220</v>
      </c>
      <c r="J78" s="107" t="s">
        <v>220</v>
      </c>
      <c r="K78" s="107" t="s">
        <v>982</v>
      </c>
      <c r="L78" s="107" t="s">
        <v>282</v>
      </c>
      <c r="M78" s="107" t="s">
        <v>981</v>
      </c>
      <c r="N78" s="107" t="s">
        <v>1284</v>
      </c>
      <c r="O78" s="107" t="s">
        <v>1203</v>
      </c>
      <c r="P78" s="107" t="s">
        <v>809</v>
      </c>
      <c r="Q78" s="107">
        <v>32.39</v>
      </c>
      <c r="R78" s="247" t="s">
        <v>1295</v>
      </c>
      <c r="T78" s="107" t="s">
        <v>1043</v>
      </c>
      <c r="U78" s="107" t="s">
        <v>1031</v>
      </c>
      <c r="V78" s="107" t="s">
        <v>1080</v>
      </c>
      <c r="W78" s="107" t="s">
        <v>1296</v>
      </c>
      <c r="X78" s="107" t="s">
        <v>1235</v>
      </c>
      <c r="Y78" s="107" t="s">
        <v>210</v>
      </c>
      <c r="AA78" s="107" t="s">
        <v>1291</v>
      </c>
    </row>
    <row r="79" spans="1:46" x14ac:dyDescent="0.2">
      <c r="A79" s="107" t="s">
        <v>282</v>
      </c>
      <c r="B79" s="107" t="s">
        <v>1080</v>
      </c>
      <c r="C79" s="107" t="s">
        <v>206</v>
      </c>
      <c r="D79" s="107" t="s">
        <v>210</v>
      </c>
      <c r="E79" s="107">
        <v>36.78</v>
      </c>
      <c r="F79" s="107" t="s">
        <v>220</v>
      </c>
      <c r="G79" s="107" t="s">
        <v>220</v>
      </c>
      <c r="H79" s="107" t="s">
        <v>220</v>
      </c>
      <c r="I79" s="107" t="s">
        <v>220</v>
      </c>
      <c r="J79" s="107" t="s">
        <v>220</v>
      </c>
      <c r="K79" s="107" t="s">
        <v>982</v>
      </c>
      <c r="L79" s="107" t="s">
        <v>282</v>
      </c>
      <c r="M79" s="107" t="s">
        <v>1080</v>
      </c>
      <c r="N79" s="107" t="s">
        <v>1284</v>
      </c>
      <c r="O79" s="107" t="s">
        <v>1203</v>
      </c>
      <c r="P79" s="107" t="s">
        <v>210</v>
      </c>
      <c r="Q79" s="107">
        <v>36.78</v>
      </c>
      <c r="R79" s="247" t="s">
        <v>1295</v>
      </c>
      <c r="T79" s="107" t="s">
        <v>1043</v>
      </c>
      <c r="U79" s="107" t="s">
        <v>1034</v>
      </c>
      <c r="V79" s="107" t="s">
        <v>1080</v>
      </c>
      <c r="W79" s="107" t="s">
        <v>1296</v>
      </c>
      <c r="X79" s="107" t="s">
        <v>1235</v>
      </c>
      <c r="Y79" s="107" t="s">
        <v>210</v>
      </c>
      <c r="AA79" s="107" t="s">
        <v>1294</v>
      </c>
    </row>
    <row r="80" spans="1:46" x14ac:dyDescent="0.2">
      <c r="A80" s="107" t="s">
        <v>283</v>
      </c>
      <c r="B80" s="107" t="s">
        <v>981</v>
      </c>
      <c r="C80" s="107" t="s">
        <v>206</v>
      </c>
      <c r="D80" s="107" t="s">
        <v>809</v>
      </c>
      <c r="E80" s="107">
        <v>31.83</v>
      </c>
      <c r="F80" s="107" t="s">
        <v>220</v>
      </c>
      <c r="G80" s="107" t="s">
        <v>220</v>
      </c>
      <c r="H80" s="107" t="s">
        <v>220</v>
      </c>
      <c r="I80" s="107" t="s">
        <v>220</v>
      </c>
      <c r="J80" s="107" t="s">
        <v>220</v>
      </c>
      <c r="K80" s="107" t="s">
        <v>982</v>
      </c>
      <c r="L80" s="107" t="s">
        <v>283</v>
      </c>
      <c r="M80" s="107" t="s">
        <v>981</v>
      </c>
      <c r="N80" s="107" t="s">
        <v>1284</v>
      </c>
      <c r="O80" s="107" t="s">
        <v>1203</v>
      </c>
      <c r="P80" s="107" t="s">
        <v>809</v>
      </c>
      <c r="Q80" s="107">
        <v>31.83</v>
      </c>
      <c r="R80" s="107" t="s">
        <v>915</v>
      </c>
      <c r="T80" s="107" t="s">
        <v>1043</v>
      </c>
      <c r="U80" s="107" t="s">
        <v>1037</v>
      </c>
      <c r="V80" s="107" t="s">
        <v>1080</v>
      </c>
      <c r="W80" s="107" t="s">
        <v>1296</v>
      </c>
      <c r="X80" s="107" t="s">
        <v>1235</v>
      </c>
      <c r="Y80" s="107" t="s">
        <v>210</v>
      </c>
      <c r="AA80" s="107" t="s">
        <v>1295</v>
      </c>
    </row>
    <row r="81" spans="1:45" x14ac:dyDescent="0.2">
      <c r="A81" s="107" t="s">
        <v>283</v>
      </c>
      <c r="B81" s="107" t="s">
        <v>1080</v>
      </c>
      <c r="C81" s="107" t="s">
        <v>206</v>
      </c>
      <c r="D81" s="107" t="s">
        <v>210</v>
      </c>
      <c r="E81" s="107" t="s">
        <v>220</v>
      </c>
      <c r="F81" s="107" t="s">
        <v>220</v>
      </c>
      <c r="G81" s="107" t="s">
        <v>220</v>
      </c>
      <c r="H81" s="107" t="s">
        <v>220</v>
      </c>
      <c r="I81" s="107" t="s">
        <v>220</v>
      </c>
      <c r="J81" s="107" t="s">
        <v>220</v>
      </c>
      <c r="K81" s="107" t="s">
        <v>982</v>
      </c>
      <c r="L81" s="107" t="s">
        <v>283</v>
      </c>
      <c r="M81" s="107" t="s">
        <v>1080</v>
      </c>
      <c r="N81" s="107" t="s">
        <v>1284</v>
      </c>
      <c r="O81" s="107" t="s">
        <v>1203</v>
      </c>
      <c r="P81" s="107" t="s">
        <v>210</v>
      </c>
      <c r="Q81" s="107" t="s">
        <v>220</v>
      </c>
      <c r="R81" s="107" t="s">
        <v>915</v>
      </c>
      <c r="T81" s="107" t="s">
        <v>1043</v>
      </c>
      <c r="U81" s="107" t="s">
        <v>1040</v>
      </c>
      <c r="V81" s="107" t="s">
        <v>1080</v>
      </c>
      <c r="W81" s="107" t="s">
        <v>1296</v>
      </c>
      <c r="X81" s="107" t="s">
        <v>1235</v>
      </c>
      <c r="Y81" s="107" t="s">
        <v>210</v>
      </c>
      <c r="AA81" s="107" t="s">
        <v>915</v>
      </c>
    </row>
    <row r="82" spans="1:45" x14ac:dyDescent="0.2">
      <c r="A82" s="107" t="s">
        <v>288</v>
      </c>
      <c r="B82" s="107" t="s">
        <v>981</v>
      </c>
      <c r="C82" s="107" t="s">
        <v>206</v>
      </c>
      <c r="D82" s="107" t="s">
        <v>809</v>
      </c>
      <c r="E82" s="107">
        <v>44.31</v>
      </c>
      <c r="F82" s="107" t="s">
        <v>220</v>
      </c>
      <c r="G82" s="107" t="s">
        <v>220</v>
      </c>
      <c r="H82" s="107" t="s">
        <v>220</v>
      </c>
      <c r="I82" s="107" t="s">
        <v>220</v>
      </c>
      <c r="J82" s="107" t="s">
        <v>220</v>
      </c>
      <c r="K82" s="107" t="s">
        <v>982</v>
      </c>
      <c r="L82" s="107" t="s">
        <v>288</v>
      </c>
      <c r="M82" s="107" t="s">
        <v>981</v>
      </c>
      <c r="N82" s="107" t="s">
        <v>1296</v>
      </c>
      <c r="O82" s="107" t="s">
        <v>1203</v>
      </c>
      <c r="P82" s="107" t="s">
        <v>809</v>
      </c>
      <c r="Q82" s="107">
        <v>44.31</v>
      </c>
      <c r="R82" s="247" t="s">
        <v>1285</v>
      </c>
      <c r="T82" s="107" t="s">
        <v>982</v>
      </c>
      <c r="U82" s="107" t="s">
        <v>212</v>
      </c>
      <c r="V82" s="107" t="s">
        <v>981</v>
      </c>
      <c r="W82" s="107" t="s">
        <v>1284</v>
      </c>
      <c r="X82" s="107" t="s">
        <v>1201</v>
      </c>
      <c r="Y82" s="107" t="s">
        <v>809</v>
      </c>
      <c r="Z82" s="107">
        <v>35.93</v>
      </c>
      <c r="AA82" s="247" t="s">
        <v>1285</v>
      </c>
    </row>
    <row r="83" spans="1:45" x14ac:dyDescent="0.2">
      <c r="A83" s="107" t="s">
        <v>288</v>
      </c>
      <c r="B83" s="107" t="s">
        <v>1080</v>
      </c>
      <c r="C83" s="107" t="s">
        <v>206</v>
      </c>
      <c r="D83" s="107" t="s">
        <v>210</v>
      </c>
      <c r="E83" s="107">
        <v>31.81</v>
      </c>
      <c r="F83" s="107" t="s">
        <v>220</v>
      </c>
      <c r="G83" s="107" t="s">
        <v>220</v>
      </c>
      <c r="H83" s="107" t="s">
        <v>220</v>
      </c>
      <c r="I83" s="107" t="s">
        <v>220</v>
      </c>
      <c r="J83" s="107" t="s">
        <v>220</v>
      </c>
      <c r="K83" s="107" t="s">
        <v>982</v>
      </c>
      <c r="L83" s="107" t="s">
        <v>288</v>
      </c>
      <c r="M83" s="107" t="s">
        <v>1080</v>
      </c>
      <c r="N83" s="107" t="s">
        <v>1296</v>
      </c>
      <c r="O83" s="107" t="s">
        <v>1203</v>
      </c>
      <c r="P83" s="107" t="s">
        <v>210</v>
      </c>
      <c r="Q83" s="107">
        <v>31.81</v>
      </c>
      <c r="R83" s="247" t="s">
        <v>1285</v>
      </c>
      <c r="T83" s="107" t="s">
        <v>982</v>
      </c>
      <c r="U83" s="107" t="s">
        <v>213</v>
      </c>
      <c r="V83" s="107" t="s">
        <v>981</v>
      </c>
      <c r="W83" s="107" t="s">
        <v>1284</v>
      </c>
      <c r="X83" s="107" t="s">
        <v>1201</v>
      </c>
      <c r="Y83" s="107" t="s">
        <v>809</v>
      </c>
      <c r="Z83" s="107">
        <v>33.22</v>
      </c>
      <c r="AA83" s="247" t="s">
        <v>1286</v>
      </c>
    </row>
    <row r="84" spans="1:45" x14ac:dyDescent="0.2">
      <c r="A84" s="107" t="s">
        <v>289</v>
      </c>
      <c r="B84" s="107" t="s">
        <v>981</v>
      </c>
      <c r="C84" s="107" t="s">
        <v>206</v>
      </c>
      <c r="D84" s="107" t="s">
        <v>809</v>
      </c>
      <c r="E84" s="107">
        <v>34.96</v>
      </c>
      <c r="F84" s="107" t="s">
        <v>220</v>
      </c>
      <c r="G84" s="107" t="s">
        <v>220</v>
      </c>
      <c r="H84" s="107" t="s">
        <v>220</v>
      </c>
      <c r="I84" s="107" t="s">
        <v>220</v>
      </c>
      <c r="J84" s="107" t="s">
        <v>220</v>
      </c>
      <c r="K84" s="107" t="s">
        <v>982</v>
      </c>
      <c r="L84" s="107" t="s">
        <v>289</v>
      </c>
      <c r="M84" s="107" t="s">
        <v>981</v>
      </c>
      <c r="N84" s="107" t="s">
        <v>1296</v>
      </c>
      <c r="O84" s="107" t="s">
        <v>1203</v>
      </c>
      <c r="P84" s="107" t="s">
        <v>809</v>
      </c>
      <c r="Q84" s="107">
        <v>34.96</v>
      </c>
      <c r="R84" s="247" t="s">
        <v>1286</v>
      </c>
      <c r="T84" s="107" t="s">
        <v>982</v>
      </c>
      <c r="U84" s="107" t="s">
        <v>214</v>
      </c>
      <c r="V84" s="107" t="s">
        <v>981</v>
      </c>
      <c r="W84" s="107" t="s">
        <v>1284</v>
      </c>
      <c r="X84" s="107" t="s">
        <v>1201</v>
      </c>
      <c r="Y84" s="107" t="s">
        <v>809</v>
      </c>
      <c r="Z84" s="107">
        <v>31.96</v>
      </c>
      <c r="AA84" s="247" t="s">
        <v>1288</v>
      </c>
    </row>
    <row r="85" spans="1:45" x14ac:dyDescent="0.2">
      <c r="A85" s="107" t="s">
        <v>289</v>
      </c>
      <c r="B85" s="107" t="s">
        <v>1080</v>
      </c>
      <c r="C85" s="107" t="s">
        <v>206</v>
      </c>
      <c r="D85" s="107" t="s">
        <v>210</v>
      </c>
      <c r="E85" s="107">
        <v>32.44</v>
      </c>
      <c r="F85" s="107" t="s">
        <v>220</v>
      </c>
      <c r="G85" s="107" t="s">
        <v>220</v>
      </c>
      <c r="H85" s="107" t="s">
        <v>220</v>
      </c>
      <c r="I85" s="107" t="s">
        <v>220</v>
      </c>
      <c r="J85" s="107" t="s">
        <v>220</v>
      </c>
      <c r="K85" s="107" t="s">
        <v>982</v>
      </c>
      <c r="L85" s="107" t="s">
        <v>289</v>
      </c>
      <c r="M85" s="107" t="s">
        <v>1080</v>
      </c>
      <c r="N85" s="107" t="s">
        <v>1296</v>
      </c>
      <c r="O85" s="107" t="s">
        <v>1203</v>
      </c>
      <c r="P85" s="107" t="s">
        <v>210</v>
      </c>
      <c r="Q85" s="107">
        <v>32.44</v>
      </c>
      <c r="R85" s="247" t="s">
        <v>1286</v>
      </c>
      <c r="T85" s="107" t="s">
        <v>982</v>
      </c>
      <c r="U85" s="107" t="s">
        <v>215</v>
      </c>
      <c r="V85" s="107" t="s">
        <v>981</v>
      </c>
      <c r="W85" s="107" t="s">
        <v>1284</v>
      </c>
      <c r="X85" s="107" t="s">
        <v>1201</v>
      </c>
      <c r="Y85" s="107" t="s">
        <v>809</v>
      </c>
      <c r="Z85" s="107">
        <v>32.9</v>
      </c>
      <c r="AA85" s="247" t="s">
        <v>1290</v>
      </c>
    </row>
    <row r="86" spans="1:45" x14ac:dyDescent="0.2">
      <c r="A86" s="107" t="s">
        <v>290</v>
      </c>
      <c r="B86" s="107" t="s">
        <v>981</v>
      </c>
      <c r="C86" s="107" t="s">
        <v>206</v>
      </c>
      <c r="D86" s="107" t="s">
        <v>809</v>
      </c>
      <c r="E86" s="107">
        <v>33.32</v>
      </c>
      <c r="F86" s="107" t="s">
        <v>220</v>
      </c>
      <c r="G86" s="107" t="s">
        <v>220</v>
      </c>
      <c r="H86" s="107" t="s">
        <v>220</v>
      </c>
      <c r="I86" s="107" t="s">
        <v>220</v>
      </c>
      <c r="J86" s="107" t="s">
        <v>220</v>
      </c>
      <c r="K86" s="107" t="s">
        <v>982</v>
      </c>
      <c r="L86" s="107" t="s">
        <v>290</v>
      </c>
      <c r="M86" s="107" t="s">
        <v>981</v>
      </c>
      <c r="N86" s="107" t="s">
        <v>1296</v>
      </c>
      <c r="O86" s="107" t="s">
        <v>1203</v>
      </c>
      <c r="P86" s="107" t="s">
        <v>809</v>
      </c>
      <c r="Q86" s="107">
        <v>33.32</v>
      </c>
      <c r="R86" s="247" t="s">
        <v>1288</v>
      </c>
      <c r="T86" s="107" t="s">
        <v>982</v>
      </c>
      <c r="U86" s="107" t="s">
        <v>216</v>
      </c>
      <c r="V86" s="107" t="s">
        <v>981</v>
      </c>
      <c r="W86" s="107" t="s">
        <v>1284</v>
      </c>
      <c r="X86" s="107" t="s">
        <v>1201</v>
      </c>
      <c r="Y86" s="107" t="s">
        <v>809</v>
      </c>
      <c r="Z86" s="107">
        <v>31.97</v>
      </c>
      <c r="AA86" s="247" t="s">
        <v>1291</v>
      </c>
    </row>
    <row r="87" spans="1:45" x14ac:dyDescent="0.2">
      <c r="A87" s="107" t="s">
        <v>290</v>
      </c>
      <c r="B87" s="107" t="s">
        <v>1080</v>
      </c>
      <c r="C87" s="107" t="s">
        <v>206</v>
      </c>
      <c r="D87" s="107" t="s">
        <v>210</v>
      </c>
      <c r="E87" s="107">
        <v>34.85</v>
      </c>
      <c r="F87" s="107" t="s">
        <v>220</v>
      </c>
      <c r="G87" s="107" t="s">
        <v>220</v>
      </c>
      <c r="H87" s="107" t="s">
        <v>220</v>
      </c>
      <c r="I87" s="107" t="s">
        <v>220</v>
      </c>
      <c r="J87" s="107" t="s">
        <v>220</v>
      </c>
      <c r="K87" s="107" t="s">
        <v>982</v>
      </c>
      <c r="L87" s="107" t="s">
        <v>290</v>
      </c>
      <c r="M87" s="107" t="s">
        <v>1080</v>
      </c>
      <c r="N87" s="107" t="s">
        <v>1296</v>
      </c>
      <c r="O87" s="107" t="s">
        <v>1203</v>
      </c>
      <c r="P87" s="107" t="s">
        <v>210</v>
      </c>
      <c r="Q87" s="107">
        <v>34.85</v>
      </c>
      <c r="R87" s="247" t="s">
        <v>1288</v>
      </c>
      <c r="T87" s="107" t="s">
        <v>982</v>
      </c>
      <c r="U87" s="107" t="s">
        <v>217</v>
      </c>
      <c r="V87" s="107" t="s">
        <v>981</v>
      </c>
      <c r="W87" s="107" t="s">
        <v>1284</v>
      </c>
      <c r="X87" s="107" t="s">
        <v>1201</v>
      </c>
      <c r="Y87" s="107" t="s">
        <v>809</v>
      </c>
      <c r="Z87" s="107">
        <v>32.54</v>
      </c>
      <c r="AA87" s="247" t="s">
        <v>1294</v>
      </c>
    </row>
    <row r="88" spans="1:45" x14ac:dyDescent="0.2">
      <c r="A88" s="107" t="s">
        <v>291</v>
      </c>
      <c r="B88" s="107" t="s">
        <v>981</v>
      </c>
      <c r="C88" s="107" t="s">
        <v>206</v>
      </c>
      <c r="D88" s="107" t="s">
        <v>809</v>
      </c>
      <c r="E88" s="107">
        <v>33.86</v>
      </c>
      <c r="F88" s="107" t="s">
        <v>220</v>
      </c>
      <c r="G88" s="107" t="s">
        <v>220</v>
      </c>
      <c r="H88" s="107" t="s">
        <v>220</v>
      </c>
      <c r="I88" s="107" t="s">
        <v>220</v>
      </c>
      <c r="J88" s="107" t="s">
        <v>220</v>
      </c>
      <c r="K88" s="107" t="s">
        <v>982</v>
      </c>
      <c r="L88" s="107" t="s">
        <v>291</v>
      </c>
      <c r="M88" s="107" t="s">
        <v>981</v>
      </c>
      <c r="N88" s="107" t="s">
        <v>1296</v>
      </c>
      <c r="O88" s="107" t="s">
        <v>1203</v>
      </c>
      <c r="P88" s="107" t="s">
        <v>809</v>
      </c>
      <c r="Q88" s="107">
        <v>33.86</v>
      </c>
      <c r="R88" s="247" t="s">
        <v>1290</v>
      </c>
      <c r="T88" s="107" t="s">
        <v>982</v>
      </c>
      <c r="U88" s="107" t="s">
        <v>218</v>
      </c>
      <c r="V88" s="107" t="s">
        <v>981</v>
      </c>
      <c r="W88" s="107" t="s">
        <v>1284</v>
      </c>
      <c r="X88" s="107" t="s">
        <v>1201</v>
      </c>
      <c r="Y88" s="107" t="s">
        <v>809</v>
      </c>
      <c r="Z88" s="107">
        <v>32.78</v>
      </c>
      <c r="AA88" s="247" t="s">
        <v>1295</v>
      </c>
    </row>
    <row r="89" spans="1:45" x14ac:dyDescent="0.2">
      <c r="A89" s="107" t="s">
        <v>291</v>
      </c>
      <c r="B89" s="107" t="s">
        <v>1080</v>
      </c>
      <c r="C89" s="107" t="s">
        <v>206</v>
      </c>
      <c r="D89" s="107" t="s">
        <v>210</v>
      </c>
      <c r="E89" s="107" t="s">
        <v>220</v>
      </c>
      <c r="F89" s="107" t="s">
        <v>220</v>
      </c>
      <c r="G89" s="107" t="s">
        <v>220</v>
      </c>
      <c r="H89" s="107" t="s">
        <v>220</v>
      </c>
      <c r="I89" s="107" t="s">
        <v>220</v>
      </c>
      <c r="J89" s="107" t="s">
        <v>220</v>
      </c>
      <c r="K89" s="107" t="s">
        <v>982</v>
      </c>
      <c r="L89" s="107" t="s">
        <v>291</v>
      </c>
      <c r="M89" s="107" t="s">
        <v>1080</v>
      </c>
      <c r="N89" s="107" t="s">
        <v>1296</v>
      </c>
      <c r="O89" s="107" t="s">
        <v>1203</v>
      </c>
      <c r="P89" s="107" t="s">
        <v>210</v>
      </c>
      <c r="Q89" s="107" t="s">
        <v>220</v>
      </c>
      <c r="R89" s="247" t="s">
        <v>1290</v>
      </c>
      <c r="T89" s="107" t="s">
        <v>982</v>
      </c>
      <c r="U89" s="107" t="s">
        <v>219</v>
      </c>
      <c r="V89" s="107" t="s">
        <v>981</v>
      </c>
      <c r="W89" s="107" t="s">
        <v>1284</v>
      </c>
      <c r="X89" s="107" t="s">
        <v>1201</v>
      </c>
      <c r="Y89" s="107" t="s">
        <v>809</v>
      </c>
      <c r="Z89" s="107">
        <v>32.880000000000003</v>
      </c>
      <c r="AA89" s="107" t="s">
        <v>915</v>
      </c>
    </row>
    <row r="90" spans="1:45" x14ac:dyDescent="0.2">
      <c r="A90" s="107" t="s">
        <v>292</v>
      </c>
      <c r="B90" s="107" t="s">
        <v>981</v>
      </c>
      <c r="C90" s="107" t="s">
        <v>206</v>
      </c>
      <c r="D90" s="107" t="s">
        <v>809</v>
      </c>
      <c r="E90" s="107">
        <v>34.19</v>
      </c>
      <c r="F90" s="107" t="s">
        <v>220</v>
      </c>
      <c r="G90" s="107" t="s">
        <v>220</v>
      </c>
      <c r="H90" s="107" t="s">
        <v>220</v>
      </c>
      <c r="I90" s="107" t="s">
        <v>220</v>
      </c>
      <c r="J90" s="107" t="s">
        <v>220</v>
      </c>
      <c r="K90" s="107" t="s">
        <v>982</v>
      </c>
      <c r="L90" s="107" t="s">
        <v>292</v>
      </c>
      <c r="M90" s="107" t="s">
        <v>981</v>
      </c>
      <c r="N90" s="107" t="s">
        <v>1296</v>
      </c>
      <c r="O90" s="107" t="s">
        <v>1203</v>
      </c>
      <c r="P90" s="107" t="s">
        <v>809</v>
      </c>
      <c r="Q90" s="107">
        <v>34.19</v>
      </c>
      <c r="R90" s="247" t="s">
        <v>1291</v>
      </c>
      <c r="T90" s="107" t="s">
        <v>982</v>
      </c>
      <c r="U90" s="107" t="s">
        <v>250</v>
      </c>
      <c r="V90" s="107" t="s">
        <v>981</v>
      </c>
      <c r="W90" s="107" t="s">
        <v>1284</v>
      </c>
      <c r="X90" s="107" t="s">
        <v>1202</v>
      </c>
      <c r="Y90" s="107" t="s">
        <v>809</v>
      </c>
      <c r="Z90" s="107">
        <v>36.58</v>
      </c>
      <c r="AA90" s="247" t="s">
        <v>1285</v>
      </c>
      <c r="AP90" s="107">
        <v>-11.1861561</v>
      </c>
      <c r="AQ90" s="107">
        <f>10^AP90</f>
        <v>6.513942190526473E-12</v>
      </c>
      <c r="AR90" s="107">
        <f>AQ90*0.001/1000000*6.022E+23</f>
        <v>3922.6959871350423</v>
      </c>
      <c r="AS90" s="193">
        <f>AR90/1000*20</f>
        <v>78.453919742700847</v>
      </c>
    </row>
    <row r="91" spans="1:45" x14ac:dyDescent="0.2">
      <c r="A91" s="107" t="s">
        <v>292</v>
      </c>
      <c r="B91" s="107" t="s">
        <v>1080</v>
      </c>
      <c r="C91" s="107" t="s">
        <v>206</v>
      </c>
      <c r="D91" s="107" t="s">
        <v>210</v>
      </c>
      <c r="E91" s="107" t="s">
        <v>220</v>
      </c>
      <c r="F91" s="107" t="s">
        <v>220</v>
      </c>
      <c r="G91" s="107" t="s">
        <v>220</v>
      </c>
      <c r="H91" s="107" t="s">
        <v>220</v>
      </c>
      <c r="I91" s="107" t="s">
        <v>220</v>
      </c>
      <c r="J91" s="107" t="s">
        <v>220</v>
      </c>
      <c r="K91" s="107" t="s">
        <v>982</v>
      </c>
      <c r="L91" s="107" t="s">
        <v>292</v>
      </c>
      <c r="M91" s="107" t="s">
        <v>1080</v>
      </c>
      <c r="N91" s="107" t="s">
        <v>1296</v>
      </c>
      <c r="O91" s="107" t="s">
        <v>1203</v>
      </c>
      <c r="P91" s="107" t="s">
        <v>210</v>
      </c>
      <c r="Q91" s="107" t="s">
        <v>220</v>
      </c>
      <c r="R91" s="247" t="s">
        <v>1291</v>
      </c>
      <c r="T91" s="107" t="s">
        <v>982</v>
      </c>
      <c r="U91" s="107" t="s">
        <v>251</v>
      </c>
      <c r="V91" s="107" t="s">
        <v>981</v>
      </c>
      <c r="W91" s="107" t="s">
        <v>1284</v>
      </c>
      <c r="X91" s="107" t="s">
        <v>1202</v>
      </c>
      <c r="Y91" s="107" t="s">
        <v>809</v>
      </c>
      <c r="Z91" s="107">
        <v>32.11</v>
      </c>
      <c r="AA91" s="247" t="s">
        <v>1286</v>
      </c>
    </row>
    <row r="92" spans="1:45" x14ac:dyDescent="0.2">
      <c r="A92" s="107" t="s">
        <v>293</v>
      </c>
      <c r="B92" s="107" t="s">
        <v>981</v>
      </c>
      <c r="C92" s="107" t="s">
        <v>206</v>
      </c>
      <c r="D92" s="107" t="s">
        <v>809</v>
      </c>
      <c r="E92" s="107">
        <v>33.33</v>
      </c>
      <c r="F92" s="107" t="s">
        <v>220</v>
      </c>
      <c r="G92" s="107" t="s">
        <v>220</v>
      </c>
      <c r="H92" s="107" t="s">
        <v>220</v>
      </c>
      <c r="I92" s="107" t="s">
        <v>220</v>
      </c>
      <c r="J92" s="107" t="s">
        <v>220</v>
      </c>
      <c r="K92" s="107" t="s">
        <v>982</v>
      </c>
      <c r="L92" s="107" t="s">
        <v>293</v>
      </c>
      <c r="M92" s="107" t="s">
        <v>981</v>
      </c>
      <c r="N92" s="107" t="s">
        <v>1296</v>
      </c>
      <c r="O92" s="107" t="s">
        <v>1203</v>
      </c>
      <c r="P92" s="107" t="s">
        <v>809</v>
      </c>
      <c r="Q92" s="107">
        <v>33.33</v>
      </c>
      <c r="R92" s="247" t="s">
        <v>1294</v>
      </c>
      <c r="T92" s="107" t="s">
        <v>982</v>
      </c>
      <c r="U92" s="107" t="s">
        <v>252</v>
      </c>
      <c r="V92" s="107" t="s">
        <v>981</v>
      </c>
      <c r="W92" s="107" t="s">
        <v>1284</v>
      </c>
      <c r="X92" s="107" t="s">
        <v>1202</v>
      </c>
      <c r="Y92" s="107" t="s">
        <v>809</v>
      </c>
      <c r="Z92" s="107">
        <v>32.26</v>
      </c>
      <c r="AA92" s="247" t="s">
        <v>1288</v>
      </c>
    </row>
    <row r="93" spans="1:45" x14ac:dyDescent="0.2">
      <c r="A93" s="107" t="s">
        <v>293</v>
      </c>
      <c r="B93" s="107" t="s">
        <v>1080</v>
      </c>
      <c r="C93" s="107" t="s">
        <v>206</v>
      </c>
      <c r="D93" s="107" t="s">
        <v>210</v>
      </c>
      <c r="E93" s="107" t="s">
        <v>220</v>
      </c>
      <c r="F93" s="107" t="s">
        <v>220</v>
      </c>
      <c r="G93" s="107" t="s">
        <v>220</v>
      </c>
      <c r="H93" s="107" t="s">
        <v>220</v>
      </c>
      <c r="I93" s="107" t="s">
        <v>220</v>
      </c>
      <c r="J93" s="107" t="s">
        <v>220</v>
      </c>
      <c r="K93" s="107" t="s">
        <v>982</v>
      </c>
      <c r="L93" s="107" t="s">
        <v>293</v>
      </c>
      <c r="M93" s="107" t="s">
        <v>1080</v>
      </c>
      <c r="N93" s="107" t="s">
        <v>1296</v>
      </c>
      <c r="O93" s="107" t="s">
        <v>1203</v>
      </c>
      <c r="P93" s="107" t="s">
        <v>210</v>
      </c>
      <c r="Q93" s="107" t="s">
        <v>220</v>
      </c>
      <c r="R93" s="247" t="s">
        <v>1294</v>
      </c>
      <c r="T93" s="107" t="s">
        <v>982</v>
      </c>
      <c r="U93" s="107" t="s">
        <v>253</v>
      </c>
      <c r="V93" s="107" t="s">
        <v>981</v>
      </c>
      <c r="W93" s="107" t="s">
        <v>1284</v>
      </c>
      <c r="X93" s="107" t="s">
        <v>1202</v>
      </c>
      <c r="Y93" s="107" t="s">
        <v>809</v>
      </c>
      <c r="Z93" s="107">
        <v>32.049999999999997</v>
      </c>
      <c r="AA93" s="247" t="s">
        <v>1290</v>
      </c>
    </row>
    <row r="94" spans="1:45" x14ac:dyDescent="0.2">
      <c r="A94" s="107" t="s">
        <v>294</v>
      </c>
      <c r="B94" s="107" t="s">
        <v>981</v>
      </c>
      <c r="C94" s="107" t="s">
        <v>206</v>
      </c>
      <c r="D94" s="107" t="s">
        <v>809</v>
      </c>
      <c r="E94" s="107">
        <v>34.729999999999997</v>
      </c>
      <c r="F94" s="107" t="s">
        <v>220</v>
      </c>
      <c r="G94" s="107" t="s">
        <v>220</v>
      </c>
      <c r="H94" s="107" t="s">
        <v>220</v>
      </c>
      <c r="I94" s="107" t="s">
        <v>220</v>
      </c>
      <c r="J94" s="107" t="s">
        <v>220</v>
      </c>
      <c r="K94" s="107" t="s">
        <v>982</v>
      </c>
      <c r="L94" s="107" t="s">
        <v>294</v>
      </c>
      <c r="M94" s="107" t="s">
        <v>981</v>
      </c>
      <c r="N94" s="107" t="s">
        <v>1296</v>
      </c>
      <c r="O94" s="107" t="s">
        <v>1203</v>
      </c>
      <c r="P94" s="107" t="s">
        <v>809</v>
      </c>
      <c r="Q94" s="107">
        <v>34.729999999999997</v>
      </c>
      <c r="R94" s="247" t="s">
        <v>1295</v>
      </c>
      <c r="T94" s="107" t="s">
        <v>982</v>
      </c>
      <c r="U94" s="107" t="s">
        <v>254</v>
      </c>
      <c r="V94" s="107" t="s">
        <v>981</v>
      </c>
      <c r="W94" s="107" t="s">
        <v>1284</v>
      </c>
      <c r="X94" s="107" t="s">
        <v>1202</v>
      </c>
      <c r="Y94" s="107" t="s">
        <v>809</v>
      </c>
      <c r="Z94" s="107">
        <v>31.99</v>
      </c>
      <c r="AA94" s="247" t="s">
        <v>1291</v>
      </c>
    </row>
    <row r="95" spans="1:45" ht="13.5" thickBot="1" x14ac:dyDescent="0.25">
      <c r="A95" s="107" t="s">
        <v>294</v>
      </c>
      <c r="B95" s="107" t="s">
        <v>1080</v>
      </c>
      <c r="C95" s="107" t="s">
        <v>206</v>
      </c>
      <c r="D95" s="107" t="s">
        <v>210</v>
      </c>
      <c r="E95" s="107" t="s">
        <v>220</v>
      </c>
      <c r="F95" s="107" t="s">
        <v>220</v>
      </c>
      <c r="G95" s="107" t="s">
        <v>220</v>
      </c>
      <c r="H95" s="107" t="s">
        <v>220</v>
      </c>
      <c r="I95" s="107" t="s">
        <v>220</v>
      </c>
      <c r="J95" s="107" t="s">
        <v>220</v>
      </c>
      <c r="K95" s="107" t="s">
        <v>982</v>
      </c>
      <c r="L95" s="107" t="s">
        <v>294</v>
      </c>
      <c r="M95" s="107" t="s">
        <v>1080</v>
      </c>
      <c r="N95" s="107" t="s">
        <v>1296</v>
      </c>
      <c r="O95" s="107" t="s">
        <v>1203</v>
      </c>
      <c r="P95" s="107" t="s">
        <v>210</v>
      </c>
      <c r="Q95" s="107" t="s">
        <v>220</v>
      </c>
      <c r="R95" s="247" t="s">
        <v>1295</v>
      </c>
      <c r="T95" s="107" t="s">
        <v>982</v>
      </c>
      <c r="U95" s="107" t="s">
        <v>255</v>
      </c>
      <c r="V95" s="107" t="s">
        <v>981</v>
      </c>
      <c r="W95" s="107" t="s">
        <v>1284</v>
      </c>
      <c r="X95" s="107" t="s">
        <v>1202</v>
      </c>
      <c r="Y95" s="107" t="s">
        <v>809</v>
      </c>
      <c r="Z95" s="107">
        <v>32.159999999999997</v>
      </c>
      <c r="AA95" s="247" t="s">
        <v>1294</v>
      </c>
    </row>
    <row r="96" spans="1:45" x14ac:dyDescent="0.2">
      <c r="A96" s="107" t="s">
        <v>295</v>
      </c>
      <c r="B96" s="107" t="s">
        <v>981</v>
      </c>
      <c r="C96" s="107" t="s">
        <v>206</v>
      </c>
      <c r="D96" s="107" t="s">
        <v>809</v>
      </c>
      <c r="E96" s="107">
        <v>32.770000000000003</v>
      </c>
      <c r="F96" s="107" t="s">
        <v>220</v>
      </c>
      <c r="G96" s="107" t="s">
        <v>220</v>
      </c>
      <c r="H96" s="107" t="s">
        <v>220</v>
      </c>
      <c r="I96" s="107" t="s">
        <v>220</v>
      </c>
      <c r="J96" s="107" t="s">
        <v>220</v>
      </c>
      <c r="K96" s="107" t="s">
        <v>982</v>
      </c>
      <c r="L96" s="107" t="s">
        <v>295</v>
      </c>
      <c r="M96" s="107" t="s">
        <v>981</v>
      </c>
      <c r="N96" s="107" t="s">
        <v>1296</v>
      </c>
      <c r="O96" s="107" t="s">
        <v>1203</v>
      </c>
      <c r="P96" s="107" t="s">
        <v>809</v>
      </c>
      <c r="Q96" s="107">
        <v>32.770000000000003</v>
      </c>
      <c r="R96" s="107" t="s">
        <v>915</v>
      </c>
      <c r="T96" s="107" t="s">
        <v>982</v>
      </c>
      <c r="U96" s="107" t="s">
        <v>256</v>
      </c>
      <c r="V96" s="107" t="s">
        <v>981</v>
      </c>
      <c r="W96" s="107" t="s">
        <v>1284</v>
      </c>
      <c r="X96" s="107" t="s">
        <v>1202</v>
      </c>
      <c r="Y96" s="107" t="s">
        <v>809</v>
      </c>
      <c r="Z96" s="107">
        <v>32.130000000000003</v>
      </c>
      <c r="AA96" s="247" t="s">
        <v>1295</v>
      </c>
      <c r="AN96" s="268" t="s">
        <v>1308</v>
      </c>
    </row>
    <row r="97" spans="1:45" x14ac:dyDescent="0.2">
      <c r="A97" s="107" t="s">
        <v>295</v>
      </c>
      <c r="B97" s="107" t="s">
        <v>1080</v>
      </c>
      <c r="C97" s="107" t="s">
        <v>206</v>
      </c>
      <c r="D97" s="107" t="s">
        <v>210</v>
      </c>
      <c r="E97" s="107" t="s">
        <v>220</v>
      </c>
      <c r="F97" s="107" t="s">
        <v>220</v>
      </c>
      <c r="G97" s="107" t="s">
        <v>220</v>
      </c>
      <c r="H97" s="107" t="s">
        <v>220</v>
      </c>
      <c r="I97" s="107" t="s">
        <v>220</v>
      </c>
      <c r="J97" s="107" t="s">
        <v>220</v>
      </c>
      <c r="K97" s="107" t="s">
        <v>982</v>
      </c>
      <c r="L97" s="107" t="s">
        <v>295</v>
      </c>
      <c r="M97" s="107" t="s">
        <v>1080</v>
      </c>
      <c r="N97" s="107" t="s">
        <v>1296</v>
      </c>
      <c r="O97" s="107" t="s">
        <v>1203</v>
      </c>
      <c r="P97" s="107" t="s">
        <v>210</v>
      </c>
      <c r="Q97" s="107" t="s">
        <v>220</v>
      </c>
      <c r="R97" s="107" t="s">
        <v>915</v>
      </c>
      <c r="T97" s="107" t="s">
        <v>982</v>
      </c>
      <c r="U97" s="107" t="s">
        <v>257</v>
      </c>
      <c r="V97" s="107" t="s">
        <v>981</v>
      </c>
      <c r="W97" s="107" t="s">
        <v>1284</v>
      </c>
      <c r="X97" s="107" t="s">
        <v>1202</v>
      </c>
      <c r="Y97" s="107" t="s">
        <v>809</v>
      </c>
      <c r="Z97" s="107">
        <v>33.25</v>
      </c>
      <c r="AA97" s="107" t="s">
        <v>915</v>
      </c>
      <c r="AN97" s="107" t="s">
        <v>1306</v>
      </c>
    </row>
    <row r="98" spans="1:45" x14ac:dyDescent="0.2">
      <c r="A98" s="107" t="s">
        <v>300</v>
      </c>
      <c r="B98" s="107" t="s">
        <v>981</v>
      </c>
      <c r="C98" s="107" t="s">
        <v>206</v>
      </c>
      <c r="D98" s="107" t="s">
        <v>809</v>
      </c>
      <c r="E98" s="107">
        <v>35.29</v>
      </c>
      <c r="F98" s="107" t="s">
        <v>220</v>
      </c>
      <c r="G98" s="107" t="s">
        <v>220</v>
      </c>
      <c r="H98" s="107" t="s">
        <v>220</v>
      </c>
      <c r="I98" s="107" t="s">
        <v>220</v>
      </c>
      <c r="J98" s="107" t="s">
        <v>220</v>
      </c>
      <c r="K98" s="107" t="s">
        <v>982</v>
      </c>
      <c r="L98" s="107" t="s">
        <v>300</v>
      </c>
      <c r="M98" s="107" t="s">
        <v>981</v>
      </c>
      <c r="N98" s="107" t="s">
        <v>1284</v>
      </c>
      <c r="O98" s="107" t="s">
        <v>1205</v>
      </c>
      <c r="P98" s="107" t="s">
        <v>809</v>
      </c>
      <c r="Q98" s="107">
        <v>35.29</v>
      </c>
      <c r="R98" s="247" t="s">
        <v>1285</v>
      </c>
      <c r="T98" s="107" t="s">
        <v>982</v>
      </c>
      <c r="U98" s="107" t="s">
        <v>276</v>
      </c>
      <c r="V98" s="107" t="s">
        <v>981</v>
      </c>
      <c r="W98" s="107" t="s">
        <v>1284</v>
      </c>
      <c r="X98" s="107" t="s">
        <v>1203</v>
      </c>
      <c r="Y98" s="107" t="s">
        <v>809</v>
      </c>
      <c r="Z98" s="107">
        <v>33.770000000000003</v>
      </c>
      <c r="AA98" s="247" t="s">
        <v>1285</v>
      </c>
      <c r="AN98" s="107" t="s">
        <v>1309</v>
      </c>
    </row>
    <row r="99" spans="1:45" x14ac:dyDescent="0.2">
      <c r="A99" s="107" t="s">
        <v>300</v>
      </c>
      <c r="B99" s="107" t="s">
        <v>1080</v>
      </c>
      <c r="C99" s="107" t="s">
        <v>206</v>
      </c>
      <c r="D99" s="107" t="s">
        <v>210</v>
      </c>
      <c r="E99" s="107">
        <v>27.27</v>
      </c>
      <c r="F99" s="107" t="s">
        <v>220</v>
      </c>
      <c r="G99" s="107" t="s">
        <v>220</v>
      </c>
      <c r="H99" s="107" t="s">
        <v>220</v>
      </c>
      <c r="I99" s="107" t="s">
        <v>220</v>
      </c>
      <c r="J99" s="107" t="s">
        <v>220</v>
      </c>
      <c r="K99" s="107" t="s">
        <v>982</v>
      </c>
      <c r="L99" s="107" t="s">
        <v>300</v>
      </c>
      <c r="M99" s="107" t="s">
        <v>1080</v>
      </c>
      <c r="N99" s="107" t="s">
        <v>1284</v>
      </c>
      <c r="O99" s="107" t="s">
        <v>1205</v>
      </c>
      <c r="P99" s="107" t="s">
        <v>210</v>
      </c>
      <c r="Q99" s="107">
        <v>27.27</v>
      </c>
      <c r="R99" s="247" t="s">
        <v>1285</v>
      </c>
      <c r="T99" s="107" t="s">
        <v>982</v>
      </c>
      <c r="U99" s="107" t="s">
        <v>277</v>
      </c>
      <c r="V99" s="107" t="s">
        <v>981</v>
      </c>
      <c r="W99" s="107" t="s">
        <v>1284</v>
      </c>
      <c r="X99" s="107" t="s">
        <v>1203</v>
      </c>
      <c r="Y99" s="107" t="s">
        <v>809</v>
      </c>
      <c r="Z99" s="107">
        <v>32.869999999999997</v>
      </c>
      <c r="AA99" s="247" t="s">
        <v>1286</v>
      </c>
    </row>
    <row r="100" spans="1:45" x14ac:dyDescent="0.2">
      <c r="A100" s="107" t="s">
        <v>301</v>
      </c>
      <c r="B100" s="107" t="s">
        <v>981</v>
      </c>
      <c r="C100" s="107" t="s">
        <v>206</v>
      </c>
      <c r="D100" s="107" t="s">
        <v>809</v>
      </c>
      <c r="E100" s="107">
        <v>31.99</v>
      </c>
      <c r="F100" s="107" t="s">
        <v>220</v>
      </c>
      <c r="G100" s="107" t="s">
        <v>220</v>
      </c>
      <c r="H100" s="107" t="s">
        <v>220</v>
      </c>
      <c r="I100" s="107" t="s">
        <v>220</v>
      </c>
      <c r="J100" s="107" t="s">
        <v>220</v>
      </c>
      <c r="K100" s="107" t="s">
        <v>982</v>
      </c>
      <c r="L100" s="107" t="s">
        <v>301</v>
      </c>
      <c r="M100" s="107" t="s">
        <v>981</v>
      </c>
      <c r="N100" s="107" t="s">
        <v>1284</v>
      </c>
      <c r="O100" s="107" t="s">
        <v>1205</v>
      </c>
      <c r="P100" s="107" t="s">
        <v>809</v>
      </c>
      <c r="Q100" s="107">
        <v>31.99</v>
      </c>
      <c r="R100" s="247" t="s">
        <v>1286</v>
      </c>
      <c r="T100" s="107" t="s">
        <v>982</v>
      </c>
      <c r="U100" s="107" t="s">
        <v>278</v>
      </c>
      <c r="V100" s="107" t="s">
        <v>981</v>
      </c>
      <c r="W100" s="107" t="s">
        <v>1284</v>
      </c>
      <c r="X100" s="107" t="s">
        <v>1203</v>
      </c>
      <c r="Y100" s="107" t="s">
        <v>809</v>
      </c>
      <c r="Z100" s="107">
        <v>32.85</v>
      </c>
      <c r="AA100" s="247" t="s">
        <v>1288</v>
      </c>
      <c r="AP100" s="107">
        <v>-10.80777</v>
      </c>
      <c r="AQ100" s="107">
        <f>10^AP100</f>
        <v>1.5567898807965222E-11</v>
      </c>
      <c r="AR100" s="107">
        <f>AQ100*0.001/1000000*6.022E+23</f>
        <v>9374.9886621566584</v>
      </c>
      <c r="AS100" s="193">
        <f>AR100/1000*20</f>
        <v>187.49977324313318</v>
      </c>
    </row>
    <row r="101" spans="1:45" x14ac:dyDescent="0.2">
      <c r="A101" s="107" t="s">
        <v>301</v>
      </c>
      <c r="B101" s="107" t="s">
        <v>1080</v>
      </c>
      <c r="C101" s="107" t="s">
        <v>206</v>
      </c>
      <c r="D101" s="107" t="s">
        <v>210</v>
      </c>
      <c r="E101" s="107">
        <v>29.94</v>
      </c>
      <c r="F101" s="107" t="s">
        <v>220</v>
      </c>
      <c r="G101" s="107" t="s">
        <v>220</v>
      </c>
      <c r="H101" s="107" t="s">
        <v>220</v>
      </c>
      <c r="I101" s="107" t="s">
        <v>220</v>
      </c>
      <c r="J101" s="107" t="s">
        <v>220</v>
      </c>
      <c r="K101" s="107" t="s">
        <v>982</v>
      </c>
      <c r="L101" s="107" t="s">
        <v>301</v>
      </c>
      <c r="M101" s="107" t="s">
        <v>1080</v>
      </c>
      <c r="N101" s="107" t="s">
        <v>1284</v>
      </c>
      <c r="O101" s="107" t="s">
        <v>1205</v>
      </c>
      <c r="P101" s="107" t="s">
        <v>210</v>
      </c>
      <c r="Q101" s="107">
        <v>29.94</v>
      </c>
      <c r="R101" s="247" t="s">
        <v>1286</v>
      </c>
      <c r="T101" s="107" t="s">
        <v>982</v>
      </c>
      <c r="U101" s="107" t="s">
        <v>279</v>
      </c>
      <c r="V101" s="107" t="s">
        <v>981</v>
      </c>
      <c r="W101" s="107" t="s">
        <v>1284</v>
      </c>
      <c r="X101" s="107" t="s">
        <v>1203</v>
      </c>
      <c r="Y101" s="107" t="s">
        <v>809</v>
      </c>
      <c r="Z101" s="107">
        <v>32.69</v>
      </c>
      <c r="AA101" s="247" t="s">
        <v>1290</v>
      </c>
    </row>
    <row r="102" spans="1:45" x14ac:dyDescent="0.2">
      <c r="A102" s="107" t="s">
        <v>302</v>
      </c>
      <c r="B102" s="107" t="s">
        <v>981</v>
      </c>
      <c r="C102" s="107" t="s">
        <v>206</v>
      </c>
      <c r="D102" s="107" t="s">
        <v>809</v>
      </c>
      <c r="E102" s="107">
        <v>32.96</v>
      </c>
      <c r="F102" s="107" t="s">
        <v>220</v>
      </c>
      <c r="G102" s="107" t="s">
        <v>220</v>
      </c>
      <c r="H102" s="107" t="s">
        <v>220</v>
      </c>
      <c r="I102" s="107" t="s">
        <v>220</v>
      </c>
      <c r="J102" s="107" t="s">
        <v>220</v>
      </c>
      <c r="K102" s="107" t="s">
        <v>982</v>
      </c>
      <c r="L102" s="107" t="s">
        <v>302</v>
      </c>
      <c r="M102" s="107" t="s">
        <v>981</v>
      </c>
      <c r="N102" s="107" t="s">
        <v>1284</v>
      </c>
      <c r="O102" s="107" t="s">
        <v>1205</v>
      </c>
      <c r="P102" s="107" t="s">
        <v>809</v>
      </c>
      <c r="Q102" s="107">
        <v>32.96</v>
      </c>
      <c r="R102" s="247" t="s">
        <v>1288</v>
      </c>
      <c r="T102" s="107" t="s">
        <v>982</v>
      </c>
      <c r="U102" s="107" t="s">
        <v>280</v>
      </c>
      <c r="V102" s="107" t="s">
        <v>981</v>
      </c>
      <c r="W102" s="107" t="s">
        <v>1284</v>
      </c>
      <c r="X102" s="107" t="s">
        <v>1203</v>
      </c>
      <c r="Y102" s="107" t="s">
        <v>809</v>
      </c>
      <c r="Z102" s="107">
        <v>32.229999999999997</v>
      </c>
      <c r="AA102" s="247" t="s">
        <v>1291</v>
      </c>
      <c r="AP102" s="247" t="s">
        <v>1310</v>
      </c>
      <c r="AQ102" s="107">
        <v>17.327999999999999</v>
      </c>
    </row>
    <row r="103" spans="1:45" x14ac:dyDescent="0.2">
      <c r="A103" s="107" t="s">
        <v>302</v>
      </c>
      <c r="B103" s="107" t="s">
        <v>1080</v>
      </c>
      <c r="C103" s="107" t="s">
        <v>206</v>
      </c>
      <c r="D103" s="107" t="s">
        <v>210</v>
      </c>
      <c r="E103" s="107">
        <v>33.03</v>
      </c>
      <c r="F103" s="107" t="s">
        <v>220</v>
      </c>
      <c r="G103" s="107" t="s">
        <v>220</v>
      </c>
      <c r="H103" s="107" t="s">
        <v>220</v>
      </c>
      <c r="I103" s="107" t="s">
        <v>220</v>
      </c>
      <c r="J103" s="107" t="s">
        <v>220</v>
      </c>
      <c r="K103" s="107" t="s">
        <v>982</v>
      </c>
      <c r="L103" s="107" t="s">
        <v>302</v>
      </c>
      <c r="M103" s="107" t="s">
        <v>1080</v>
      </c>
      <c r="N103" s="107" t="s">
        <v>1284</v>
      </c>
      <c r="O103" s="107" t="s">
        <v>1205</v>
      </c>
      <c r="P103" s="107" t="s">
        <v>210</v>
      </c>
      <c r="Q103" s="107">
        <v>33.03</v>
      </c>
      <c r="R103" s="247" t="s">
        <v>1288</v>
      </c>
      <c r="T103" s="107" t="s">
        <v>982</v>
      </c>
      <c r="U103" s="107" t="s">
        <v>281</v>
      </c>
      <c r="V103" s="107" t="s">
        <v>981</v>
      </c>
      <c r="W103" s="107" t="s">
        <v>1284</v>
      </c>
      <c r="X103" s="107" t="s">
        <v>1203</v>
      </c>
      <c r="Y103" s="107" t="s">
        <v>809</v>
      </c>
      <c r="Z103" s="107">
        <v>32.659999999999997</v>
      </c>
      <c r="AA103" s="247" t="s">
        <v>1294</v>
      </c>
      <c r="AP103" s="247" t="s">
        <v>1311</v>
      </c>
      <c r="AQ103" s="107">
        <v>17.327999999999999</v>
      </c>
    </row>
    <row r="104" spans="1:45" x14ac:dyDescent="0.2">
      <c r="A104" s="107" t="s">
        <v>303</v>
      </c>
      <c r="B104" s="107" t="s">
        <v>981</v>
      </c>
      <c r="C104" s="107" t="s">
        <v>206</v>
      </c>
      <c r="D104" s="107" t="s">
        <v>809</v>
      </c>
      <c r="E104" s="107">
        <v>31.8</v>
      </c>
      <c r="F104" s="107" t="s">
        <v>220</v>
      </c>
      <c r="G104" s="107" t="s">
        <v>220</v>
      </c>
      <c r="H104" s="107" t="s">
        <v>220</v>
      </c>
      <c r="I104" s="107" t="s">
        <v>220</v>
      </c>
      <c r="J104" s="107" t="s">
        <v>220</v>
      </c>
      <c r="K104" s="107" t="s">
        <v>982</v>
      </c>
      <c r="L104" s="107" t="s">
        <v>303</v>
      </c>
      <c r="M104" s="107" t="s">
        <v>981</v>
      </c>
      <c r="N104" s="107" t="s">
        <v>1284</v>
      </c>
      <c r="O104" s="107" t="s">
        <v>1205</v>
      </c>
      <c r="P104" s="107" t="s">
        <v>809</v>
      </c>
      <c r="Q104" s="107">
        <v>31.8</v>
      </c>
      <c r="R104" s="247" t="s">
        <v>1290</v>
      </c>
      <c r="T104" s="107" t="s">
        <v>982</v>
      </c>
      <c r="U104" s="107" t="s">
        <v>282</v>
      </c>
      <c r="V104" s="107" t="s">
        <v>981</v>
      </c>
      <c r="W104" s="107" t="s">
        <v>1284</v>
      </c>
      <c r="X104" s="107" t="s">
        <v>1203</v>
      </c>
      <c r="Y104" s="107" t="s">
        <v>809</v>
      </c>
      <c r="Z104" s="107">
        <v>32.39</v>
      </c>
      <c r="AA104" s="247" t="s">
        <v>1295</v>
      </c>
    </row>
    <row r="105" spans="1:45" x14ac:dyDescent="0.2">
      <c r="A105" s="107" t="s">
        <v>303</v>
      </c>
      <c r="B105" s="107" t="s">
        <v>1080</v>
      </c>
      <c r="C105" s="107" t="s">
        <v>206</v>
      </c>
      <c r="D105" s="107" t="s">
        <v>210</v>
      </c>
      <c r="E105" s="107" t="s">
        <v>220</v>
      </c>
      <c r="F105" s="107" t="s">
        <v>220</v>
      </c>
      <c r="G105" s="107" t="s">
        <v>220</v>
      </c>
      <c r="H105" s="107" t="s">
        <v>220</v>
      </c>
      <c r="I105" s="107" t="s">
        <v>220</v>
      </c>
      <c r="J105" s="107" t="s">
        <v>220</v>
      </c>
      <c r="K105" s="107" t="s">
        <v>982</v>
      </c>
      <c r="L105" s="107" t="s">
        <v>303</v>
      </c>
      <c r="M105" s="107" t="s">
        <v>1080</v>
      </c>
      <c r="N105" s="107" t="s">
        <v>1284</v>
      </c>
      <c r="O105" s="107" t="s">
        <v>1205</v>
      </c>
      <c r="P105" s="107" t="s">
        <v>210</v>
      </c>
      <c r="Q105" s="107" t="s">
        <v>220</v>
      </c>
      <c r="R105" s="247" t="s">
        <v>1290</v>
      </c>
      <c r="T105" s="107" t="s">
        <v>982</v>
      </c>
      <c r="U105" s="107" t="s">
        <v>283</v>
      </c>
      <c r="V105" s="107" t="s">
        <v>981</v>
      </c>
      <c r="W105" s="107" t="s">
        <v>1284</v>
      </c>
      <c r="X105" s="107" t="s">
        <v>1203</v>
      </c>
      <c r="Y105" s="107" t="s">
        <v>809</v>
      </c>
      <c r="Z105" s="107">
        <v>31.83</v>
      </c>
      <c r="AA105" s="107" t="s">
        <v>915</v>
      </c>
      <c r="AP105" s="107">
        <v>-11.5345</v>
      </c>
      <c r="AQ105" s="107">
        <f>10^AP105</f>
        <v>2.920787760207145E-12</v>
      </c>
      <c r="AR105" s="107">
        <f>AQ105*0.001/1000000*6.022E+23</f>
        <v>1758.898389196743</v>
      </c>
      <c r="AS105" s="193">
        <f>AR105/1000*20</f>
        <v>35.177967783934861</v>
      </c>
    </row>
    <row r="106" spans="1:45" x14ac:dyDescent="0.2">
      <c r="A106" s="107" t="s">
        <v>304</v>
      </c>
      <c r="B106" s="107" t="s">
        <v>981</v>
      </c>
      <c r="C106" s="107" t="s">
        <v>206</v>
      </c>
      <c r="D106" s="107" t="s">
        <v>809</v>
      </c>
      <c r="E106" s="107">
        <v>31.85</v>
      </c>
      <c r="F106" s="107" t="s">
        <v>220</v>
      </c>
      <c r="G106" s="107" t="s">
        <v>220</v>
      </c>
      <c r="H106" s="107" t="s">
        <v>220</v>
      </c>
      <c r="I106" s="107" t="s">
        <v>220</v>
      </c>
      <c r="J106" s="107" t="s">
        <v>220</v>
      </c>
      <c r="K106" s="107" t="s">
        <v>982</v>
      </c>
      <c r="L106" s="107" t="s">
        <v>304</v>
      </c>
      <c r="M106" s="107" t="s">
        <v>981</v>
      </c>
      <c r="N106" s="107" t="s">
        <v>1284</v>
      </c>
      <c r="O106" s="107" t="s">
        <v>1205</v>
      </c>
      <c r="P106" s="107" t="s">
        <v>809</v>
      </c>
      <c r="Q106" s="107">
        <v>31.85</v>
      </c>
      <c r="R106" s="247" t="s">
        <v>1291</v>
      </c>
      <c r="T106" s="107" t="s">
        <v>982</v>
      </c>
      <c r="U106" s="107" t="s">
        <v>300</v>
      </c>
      <c r="V106" s="107" t="s">
        <v>981</v>
      </c>
      <c r="W106" s="107" t="s">
        <v>1284</v>
      </c>
      <c r="X106" s="107" t="s">
        <v>1205</v>
      </c>
      <c r="Y106" s="107" t="s">
        <v>809</v>
      </c>
      <c r="Z106" s="107">
        <v>35.29</v>
      </c>
      <c r="AA106" s="247" t="s">
        <v>1285</v>
      </c>
      <c r="AP106" s="107">
        <v>-10.309279999999999</v>
      </c>
      <c r="AQ106" s="107">
        <f>10^AP106</f>
        <v>4.9059147815408115E-11</v>
      </c>
      <c r="AR106" s="107">
        <f>AQ106*0.001/1000000*6.022E+23</f>
        <v>29543.41881443877</v>
      </c>
      <c r="AS106" s="193">
        <f>AR106/1000*20</f>
        <v>590.86837628877538</v>
      </c>
    </row>
    <row r="107" spans="1:45" x14ac:dyDescent="0.2">
      <c r="A107" s="107" t="s">
        <v>304</v>
      </c>
      <c r="B107" s="107" t="s">
        <v>1080</v>
      </c>
      <c r="C107" s="107" t="s">
        <v>206</v>
      </c>
      <c r="D107" s="107" t="s">
        <v>210</v>
      </c>
      <c r="E107" s="107" t="s">
        <v>220</v>
      </c>
      <c r="F107" s="107" t="s">
        <v>220</v>
      </c>
      <c r="G107" s="107" t="s">
        <v>220</v>
      </c>
      <c r="H107" s="107" t="s">
        <v>220</v>
      </c>
      <c r="I107" s="107" t="s">
        <v>220</v>
      </c>
      <c r="J107" s="107" t="s">
        <v>220</v>
      </c>
      <c r="K107" s="107" t="s">
        <v>982</v>
      </c>
      <c r="L107" s="107" t="s">
        <v>304</v>
      </c>
      <c r="M107" s="107" t="s">
        <v>1080</v>
      </c>
      <c r="N107" s="107" t="s">
        <v>1284</v>
      </c>
      <c r="O107" s="107" t="s">
        <v>1205</v>
      </c>
      <c r="P107" s="107" t="s">
        <v>210</v>
      </c>
      <c r="Q107" s="107" t="s">
        <v>220</v>
      </c>
      <c r="R107" s="247" t="s">
        <v>1291</v>
      </c>
      <c r="T107" s="107" t="s">
        <v>982</v>
      </c>
      <c r="U107" s="107" t="s">
        <v>301</v>
      </c>
      <c r="V107" s="107" t="s">
        <v>981</v>
      </c>
      <c r="W107" s="107" t="s">
        <v>1284</v>
      </c>
      <c r="X107" s="107" t="s">
        <v>1205</v>
      </c>
      <c r="Y107" s="107" t="s">
        <v>809</v>
      </c>
      <c r="Z107" s="107">
        <v>31.99</v>
      </c>
      <c r="AA107" s="247" t="s">
        <v>1286</v>
      </c>
    </row>
    <row r="108" spans="1:45" x14ac:dyDescent="0.2">
      <c r="A108" s="107" t="s">
        <v>305</v>
      </c>
      <c r="B108" s="107" t="s">
        <v>981</v>
      </c>
      <c r="C108" s="107" t="s">
        <v>206</v>
      </c>
      <c r="D108" s="107" t="s">
        <v>809</v>
      </c>
      <c r="E108" s="107">
        <v>32.36</v>
      </c>
      <c r="F108" s="107" t="s">
        <v>220</v>
      </c>
      <c r="G108" s="107" t="s">
        <v>220</v>
      </c>
      <c r="H108" s="107" t="s">
        <v>220</v>
      </c>
      <c r="I108" s="107" t="s">
        <v>220</v>
      </c>
      <c r="J108" s="107" t="s">
        <v>220</v>
      </c>
      <c r="K108" s="107" t="s">
        <v>982</v>
      </c>
      <c r="L108" s="107" t="s">
        <v>305</v>
      </c>
      <c r="M108" s="107" t="s">
        <v>981</v>
      </c>
      <c r="N108" s="107" t="s">
        <v>1284</v>
      </c>
      <c r="O108" s="107" t="s">
        <v>1205</v>
      </c>
      <c r="P108" s="107" t="s">
        <v>809</v>
      </c>
      <c r="Q108" s="107">
        <v>32.36</v>
      </c>
      <c r="R108" s="247" t="s">
        <v>1294</v>
      </c>
      <c r="T108" s="107" t="s">
        <v>982</v>
      </c>
      <c r="U108" s="107" t="s">
        <v>302</v>
      </c>
      <c r="V108" s="107" t="s">
        <v>981</v>
      </c>
      <c r="W108" s="107" t="s">
        <v>1284</v>
      </c>
      <c r="X108" s="107" t="s">
        <v>1205</v>
      </c>
      <c r="Y108" s="107" t="s">
        <v>809</v>
      </c>
      <c r="Z108" s="107">
        <v>32.96</v>
      </c>
      <c r="AA108" s="247" t="s">
        <v>1288</v>
      </c>
    </row>
    <row r="109" spans="1:45" x14ac:dyDescent="0.2">
      <c r="A109" s="107" t="s">
        <v>305</v>
      </c>
      <c r="B109" s="107" t="s">
        <v>1080</v>
      </c>
      <c r="C109" s="107" t="s">
        <v>206</v>
      </c>
      <c r="D109" s="107" t="s">
        <v>210</v>
      </c>
      <c r="E109" s="107" t="s">
        <v>220</v>
      </c>
      <c r="F109" s="107" t="s">
        <v>220</v>
      </c>
      <c r="G109" s="107" t="s">
        <v>220</v>
      </c>
      <c r="H109" s="107" t="s">
        <v>220</v>
      </c>
      <c r="I109" s="107" t="s">
        <v>220</v>
      </c>
      <c r="J109" s="107" t="s">
        <v>220</v>
      </c>
      <c r="K109" s="107" t="s">
        <v>982</v>
      </c>
      <c r="L109" s="107" t="s">
        <v>305</v>
      </c>
      <c r="M109" s="107" t="s">
        <v>1080</v>
      </c>
      <c r="N109" s="107" t="s">
        <v>1284</v>
      </c>
      <c r="O109" s="107" t="s">
        <v>1205</v>
      </c>
      <c r="P109" s="107" t="s">
        <v>210</v>
      </c>
      <c r="Q109" s="107" t="s">
        <v>220</v>
      </c>
      <c r="R109" s="247" t="s">
        <v>1294</v>
      </c>
      <c r="T109" s="107" t="s">
        <v>982</v>
      </c>
      <c r="U109" s="107" t="s">
        <v>303</v>
      </c>
      <c r="V109" s="107" t="s">
        <v>981</v>
      </c>
      <c r="W109" s="107" t="s">
        <v>1284</v>
      </c>
      <c r="X109" s="107" t="s">
        <v>1205</v>
      </c>
      <c r="Y109" s="107" t="s">
        <v>809</v>
      </c>
      <c r="Z109" s="107">
        <v>31.8</v>
      </c>
      <c r="AA109" s="247" t="s">
        <v>1290</v>
      </c>
    </row>
    <row r="110" spans="1:45" x14ac:dyDescent="0.2">
      <c r="A110" s="107" t="s">
        <v>306</v>
      </c>
      <c r="B110" s="107" t="s">
        <v>981</v>
      </c>
      <c r="C110" s="107" t="s">
        <v>206</v>
      </c>
      <c r="D110" s="107" t="s">
        <v>809</v>
      </c>
      <c r="E110" s="107">
        <v>31.74</v>
      </c>
      <c r="F110" s="107" t="s">
        <v>220</v>
      </c>
      <c r="G110" s="107" t="s">
        <v>220</v>
      </c>
      <c r="H110" s="107" t="s">
        <v>220</v>
      </c>
      <c r="I110" s="107" t="s">
        <v>220</v>
      </c>
      <c r="J110" s="107" t="s">
        <v>220</v>
      </c>
      <c r="K110" s="107" t="s">
        <v>982</v>
      </c>
      <c r="L110" s="107" t="s">
        <v>306</v>
      </c>
      <c r="M110" s="107" t="s">
        <v>981</v>
      </c>
      <c r="N110" s="107" t="s">
        <v>1284</v>
      </c>
      <c r="O110" s="107" t="s">
        <v>1205</v>
      </c>
      <c r="P110" s="107" t="s">
        <v>809</v>
      </c>
      <c r="Q110" s="107">
        <v>31.74</v>
      </c>
      <c r="R110" s="247" t="s">
        <v>1295</v>
      </c>
      <c r="T110" s="107" t="s">
        <v>982</v>
      </c>
      <c r="U110" s="107" t="s">
        <v>304</v>
      </c>
      <c r="V110" s="107" t="s">
        <v>981</v>
      </c>
      <c r="W110" s="107" t="s">
        <v>1284</v>
      </c>
      <c r="X110" s="107" t="s">
        <v>1205</v>
      </c>
      <c r="Y110" s="107" t="s">
        <v>809</v>
      </c>
      <c r="Z110" s="107">
        <v>31.85</v>
      </c>
      <c r="AA110" s="247" t="s">
        <v>1291</v>
      </c>
    </row>
    <row r="111" spans="1:45" x14ac:dyDescent="0.2">
      <c r="A111" s="107" t="s">
        <v>306</v>
      </c>
      <c r="B111" s="107" t="s">
        <v>1080</v>
      </c>
      <c r="C111" s="107" t="s">
        <v>206</v>
      </c>
      <c r="D111" s="107" t="s">
        <v>210</v>
      </c>
      <c r="E111" s="107">
        <v>30.87</v>
      </c>
      <c r="F111" s="107" t="s">
        <v>220</v>
      </c>
      <c r="G111" s="107" t="s">
        <v>220</v>
      </c>
      <c r="H111" s="107" t="s">
        <v>220</v>
      </c>
      <c r="I111" s="107" t="s">
        <v>220</v>
      </c>
      <c r="J111" s="107" t="s">
        <v>220</v>
      </c>
      <c r="K111" s="107" t="s">
        <v>982</v>
      </c>
      <c r="L111" s="107" t="s">
        <v>306</v>
      </c>
      <c r="M111" s="107" t="s">
        <v>1080</v>
      </c>
      <c r="N111" s="107" t="s">
        <v>1284</v>
      </c>
      <c r="O111" s="107" t="s">
        <v>1205</v>
      </c>
      <c r="P111" s="107" t="s">
        <v>210</v>
      </c>
      <c r="Q111" s="107">
        <v>30.87</v>
      </c>
      <c r="R111" s="247" t="s">
        <v>1295</v>
      </c>
      <c r="T111" s="107" t="s">
        <v>982</v>
      </c>
      <c r="U111" s="107" t="s">
        <v>305</v>
      </c>
      <c r="V111" s="107" t="s">
        <v>981</v>
      </c>
      <c r="W111" s="107" t="s">
        <v>1284</v>
      </c>
      <c r="X111" s="107" t="s">
        <v>1205</v>
      </c>
      <c r="Y111" s="107" t="s">
        <v>809</v>
      </c>
      <c r="Z111" s="107">
        <v>32.36</v>
      </c>
      <c r="AA111" s="247" t="s">
        <v>1294</v>
      </c>
    </row>
    <row r="112" spans="1:45" x14ac:dyDescent="0.2">
      <c r="A112" s="107" t="s">
        <v>307</v>
      </c>
      <c r="B112" s="107" t="s">
        <v>981</v>
      </c>
      <c r="C112" s="107" t="s">
        <v>206</v>
      </c>
      <c r="D112" s="107" t="s">
        <v>809</v>
      </c>
      <c r="E112" s="107">
        <v>33.11</v>
      </c>
      <c r="F112" s="107" t="s">
        <v>220</v>
      </c>
      <c r="G112" s="107" t="s">
        <v>220</v>
      </c>
      <c r="H112" s="107" t="s">
        <v>220</v>
      </c>
      <c r="I112" s="107" t="s">
        <v>220</v>
      </c>
      <c r="J112" s="107" t="s">
        <v>220</v>
      </c>
      <c r="K112" s="107" t="s">
        <v>982</v>
      </c>
      <c r="L112" s="107" t="s">
        <v>307</v>
      </c>
      <c r="M112" s="107" t="s">
        <v>981</v>
      </c>
      <c r="N112" s="107" t="s">
        <v>1284</v>
      </c>
      <c r="O112" s="107" t="s">
        <v>1205</v>
      </c>
      <c r="P112" s="107" t="s">
        <v>809</v>
      </c>
      <c r="Q112" s="107">
        <v>33.11</v>
      </c>
      <c r="R112" s="107" t="s">
        <v>915</v>
      </c>
      <c r="T112" s="107" t="s">
        <v>982</v>
      </c>
      <c r="U112" s="107" t="s">
        <v>306</v>
      </c>
      <c r="V112" s="107" t="s">
        <v>981</v>
      </c>
      <c r="W112" s="107" t="s">
        <v>1284</v>
      </c>
      <c r="X112" s="107" t="s">
        <v>1205</v>
      </c>
      <c r="Y112" s="107" t="s">
        <v>809</v>
      </c>
      <c r="Z112" s="107">
        <v>31.74</v>
      </c>
      <c r="AA112" s="247" t="s">
        <v>1295</v>
      </c>
    </row>
    <row r="113" spans="1:41" x14ac:dyDescent="0.2">
      <c r="A113" s="107" t="s">
        <v>307</v>
      </c>
      <c r="B113" s="107" t="s">
        <v>1080</v>
      </c>
      <c r="C113" s="107" t="s">
        <v>206</v>
      </c>
      <c r="D113" s="107" t="s">
        <v>210</v>
      </c>
      <c r="E113" s="107" t="s">
        <v>220</v>
      </c>
      <c r="F113" s="107" t="s">
        <v>220</v>
      </c>
      <c r="G113" s="107" t="s">
        <v>220</v>
      </c>
      <c r="H113" s="107" t="s">
        <v>220</v>
      </c>
      <c r="I113" s="107" t="s">
        <v>220</v>
      </c>
      <c r="J113" s="107" t="s">
        <v>220</v>
      </c>
      <c r="K113" s="107" t="s">
        <v>982</v>
      </c>
      <c r="L113" s="107" t="s">
        <v>307</v>
      </c>
      <c r="M113" s="107" t="s">
        <v>1080</v>
      </c>
      <c r="N113" s="107" t="s">
        <v>1284</v>
      </c>
      <c r="O113" s="107" t="s">
        <v>1205</v>
      </c>
      <c r="P113" s="107" t="s">
        <v>210</v>
      </c>
      <c r="Q113" s="107" t="s">
        <v>220</v>
      </c>
      <c r="R113" s="107" t="s">
        <v>915</v>
      </c>
      <c r="T113" s="107" t="s">
        <v>982</v>
      </c>
      <c r="U113" s="107" t="s">
        <v>307</v>
      </c>
      <c r="V113" s="107" t="s">
        <v>981</v>
      </c>
      <c r="W113" s="107" t="s">
        <v>1284</v>
      </c>
      <c r="X113" s="107" t="s">
        <v>1205</v>
      </c>
      <c r="Y113" s="107" t="s">
        <v>809</v>
      </c>
      <c r="Z113" s="107">
        <v>33.11</v>
      </c>
      <c r="AA113" s="107" t="s">
        <v>915</v>
      </c>
    </row>
    <row r="114" spans="1:41" x14ac:dyDescent="0.2">
      <c r="A114" s="107" t="s">
        <v>312</v>
      </c>
      <c r="B114" s="107" t="s">
        <v>981</v>
      </c>
      <c r="C114" s="107" t="s">
        <v>206</v>
      </c>
      <c r="D114" s="107" t="s">
        <v>809</v>
      </c>
      <c r="E114" s="107">
        <v>38.9</v>
      </c>
      <c r="F114" s="107" t="s">
        <v>220</v>
      </c>
      <c r="G114" s="107" t="s">
        <v>220</v>
      </c>
      <c r="H114" s="107" t="s">
        <v>220</v>
      </c>
      <c r="I114" s="107" t="s">
        <v>220</v>
      </c>
      <c r="J114" s="107" t="s">
        <v>220</v>
      </c>
      <c r="K114" s="107" t="s">
        <v>982</v>
      </c>
      <c r="L114" s="107" t="s">
        <v>312</v>
      </c>
      <c r="M114" s="107" t="s">
        <v>981</v>
      </c>
      <c r="N114" s="107" t="s">
        <v>1296</v>
      </c>
      <c r="O114" s="107" t="s">
        <v>1205</v>
      </c>
      <c r="P114" s="107" t="s">
        <v>809</v>
      </c>
      <c r="Q114" s="107">
        <v>38.9</v>
      </c>
      <c r="R114" s="247" t="s">
        <v>1285</v>
      </c>
      <c r="T114" s="107" t="s">
        <v>1043</v>
      </c>
      <c r="U114" s="107" t="s">
        <v>993</v>
      </c>
      <c r="V114" s="107" t="s">
        <v>981</v>
      </c>
      <c r="W114" s="107" t="s">
        <v>1284</v>
      </c>
      <c r="X114" s="107" t="s">
        <v>1235</v>
      </c>
      <c r="Y114" s="107" t="s">
        <v>809</v>
      </c>
      <c r="Z114" s="107">
        <v>33.42</v>
      </c>
      <c r="AA114" s="247" t="s">
        <v>1285</v>
      </c>
    </row>
    <row r="115" spans="1:41" x14ac:dyDescent="0.2">
      <c r="A115" s="107" t="s">
        <v>312</v>
      </c>
      <c r="B115" s="107" t="s">
        <v>1080</v>
      </c>
      <c r="C115" s="107" t="s">
        <v>206</v>
      </c>
      <c r="D115" s="107" t="s">
        <v>210</v>
      </c>
      <c r="E115" s="107">
        <v>27.53</v>
      </c>
      <c r="F115" s="107" t="s">
        <v>220</v>
      </c>
      <c r="G115" s="107" t="s">
        <v>220</v>
      </c>
      <c r="H115" s="107" t="s">
        <v>220</v>
      </c>
      <c r="I115" s="107" t="s">
        <v>220</v>
      </c>
      <c r="J115" s="107" t="s">
        <v>220</v>
      </c>
      <c r="K115" s="107" t="s">
        <v>982</v>
      </c>
      <c r="L115" s="107" t="s">
        <v>312</v>
      </c>
      <c r="M115" s="107" t="s">
        <v>1080</v>
      </c>
      <c r="N115" s="107" t="s">
        <v>1296</v>
      </c>
      <c r="O115" s="107" t="s">
        <v>1205</v>
      </c>
      <c r="P115" s="107" t="s">
        <v>210</v>
      </c>
      <c r="Q115" s="107">
        <v>27.53</v>
      </c>
      <c r="R115" s="247" t="s">
        <v>1285</v>
      </c>
      <c r="T115" s="107" t="s">
        <v>1043</v>
      </c>
      <c r="U115" s="107" t="s">
        <v>998</v>
      </c>
      <c r="V115" s="107" t="s">
        <v>981</v>
      </c>
      <c r="W115" s="107" t="s">
        <v>1284</v>
      </c>
      <c r="X115" s="107" t="s">
        <v>1235</v>
      </c>
      <c r="Y115" s="107" t="s">
        <v>809</v>
      </c>
      <c r="Z115" s="107">
        <v>33.68</v>
      </c>
      <c r="AA115" s="247" t="s">
        <v>1286</v>
      </c>
    </row>
    <row r="116" spans="1:41" x14ac:dyDescent="0.2">
      <c r="A116" s="107" t="s">
        <v>313</v>
      </c>
      <c r="B116" s="107" t="s">
        <v>981</v>
      </c>
      <c r="C116" s="107" t="s">
        <v>206</v>
      </c>
      <c r="D116" s="107" t="s">
        <v>809</v>
      </c>
      <c r="E116" s="107">
        <v>36</v>
      </c>
      <c r="F116" s="107" t="s">
        <v>220</v>
      </c>
      <c r="G116" s="107" t="s">
        <v>220</v>
      </c>
      <c r="H116" s="107" t="s">
        <v>220</v>
      </c>
      <c r="I116" s="107" t="s">
        <v>220</v>
      </c>
      <c r="J116" s="107" t="s">
        <v>220</v>
      </c>
      <c r="K116" s="107" t="s">
        <v>982</v>
      </c>
      <c r="L116" s="107" t="s">
        <v>313</v>
      </c>
      <c r="M116" s="107" t="s">
        <v>981</v>
      </c>
      <c r="N116" s="107" t="s">
        <v>1296</v>
      </c>
      <c r="O116" s="107" t="s">
        <v>1205</v>
      </c>
      <c r="P116" s="107" t="s">
        <v>809</v>
      </c>
      <c r="Q116" s="107">
        <v>36</v>
      </c>
      <c r="R116" s="247" t="s">
        <v>1286</v>
      </c>
      <c r="T116" s="107" t="s">
        <v>1043</v>
      </c>
      <c r="U116" s="107" t="s">
        <v>1001</v>
      </c>
      <c r="V116" s="107" t="s">
        <v>981</v>
      </c>
      <c r="W116" s="107" t="s">
        <v>1284</v>
      </c>
      <c r="X116" s="107" t="s">
        <v>1235</v>
      </c>
      <c r="Y116" s="107" t="s">
        <v>809</v>
      </c>
      <c r="Z116" s="107">
        <v>32.75</v>
      </c>
      <c r="AA116" s="247" t="s">
        <v>1288</v>
      </c>
    </row>
    <row r="117" spans="1:41" x14ac:dyDescent="0.2">
      <c r="A117" s="107" t="s">
        <v>313</v>
      </c>
      <c r="B117" s="107" t="s">
        <v>1080</v>
      </c>
      <c r="C117" s="107" t="s">
        <v>206</v>
      </c>
      <c r="D117" s="107" t="s">
        <v>210</v>
      </c>
      <c r="E117" s="107">
        <v>35.93</v>
      </c>
      <c r="F117" s="107" t="s">
        <v>220</v>
      </c>
      <c r="G117" s="107" t="s">
        <v>220</v>
      </c>
      <c r="H117" s="107" t="s">
        <v>220</v>
      </c>
      <c r="I117" s="107" t="s">
        <v>220</v>
      </c>
      <c r="J117" s="107" t="s">
        <v>220</v>
      </c>
      <c r="K117" s="107" t="s">
        <v>982</v>
      </c>
      <c r="L117" s="107" t="s">
        <v>313</v>
      </c>
      <c r="M117" s="107" t="s">
        <v>1080</v>
      </c>
      <c r="N117" s="107" t="s">
        <v>1296</v>
      </c>
      <c r="O117" s="107" t="s">
        <v>1205</v>
      </c>
      <c r="P117" s="107" t="s">
        <v>210</v>
      </c>
      <c r="Q117" s="107">
        <v>35.93</v>
      </c>
      <c r="R117" s="247" t="s">
        <v>1286</v>
      </c>
      <c r="T117" s="107" t="s">
        <v>1043</v>
      </c>
      <c r="U117" s="107" t="s">
        <v>1005</v>
      </c>
      <c r="V117" s="107" t="s">
        <v>981</v>
      </c>
      <c r="W117" s="107" t="s">
        <v>1284</v>
      </c>
      <c r="X117" s="107" t="s">
        <v>1235</v>
      </c>
      <c r="Y117" s="107" t="s">
        <v>809</v>
      </c>
      <c r="Z117" s="107">
        <v>34.159999999999997</v>
      </c>
      <c r="AA117" s="247" t="s">
        <v>1290</v>
      </c>
    </row>
    <row r="118" spans="1:41" x14ac:dyDescent="0.2">
      <c r="A118" s="107" t="s">
        <v>314</v>
      </c>
      <c r="B118" s="107" t="s">
        <v>981</v>
      </c>
      <c r="C118" s="107" t="s">
        <v>206</v>
      </c>
      <c r="D118" s="107" t="s">
        <v>809</v>
      </c>
      <c r="E118" s="107">
        <v>33.340000000000003</v>
      </c>
      <c r="F118" s="107" t="s">
        <v>220</v>
      </c>
      <c r="G118" s="107" t="s">
        <v>220</v>
      </c>
      <c r="H118" s="107" t="s">
        <v>220</v>
      </c>
      <c r="I118" s="107" t="s">
        <v>220</v>
      </c>
      <c r="J118" s="107" t="s">
        <v>220</v>
      </c>
      <c r="K118" s="107" t="s">
        <v>982</v>
      </c>
      <c r="L118" s="107" t="s">
        <v>314</v>
      </c>
      <c r="M118" s="107" t="s">
        <v>981</v>
      </c>
      <c r="N118" s="107" t="s">
        <v>1296</v>
      </c>
      <c r="O118" s="107" t="s">
        <v>1205</v>
      </c>
      <c r="P118" s="107" t="s">
        <v>809</v>
      </c>
      <c r="Q118" s="107">
        <v>33.340000000000003</v>
      </c>
      <c r="R118" s="247" t="s">
        <v>1288</v>
      </c>
      <c r="T118" s="107" t="s">
        <v>1043</v>
      </c>
      <c r="U118" s="107" t="s">
        <v>1008</v>
      </c>
      <c r="V118" s="107" t="s">
        <v>981</v>
      </c>
      <c r="W118" s="107" t="s">
        <v>1284</v>
      </c>
      <c r="X118" s="107" t="s">
        <v>1235</v>
      </c>
      <c r="Y118" s="107" t="s">
        <v>809</v>
      </c>
      <c r="Z118" s="107">
        <v>33.67</v>
      </c>
      <c r="AA118" s="247" t="s">
        <v>1291</v>
      </c>
    </row>
    <row r="119" spans="1:41" x14ac:dyDescent="0.2">
      <c r="A119" s="107" t="s">
        <v>314</v>
      </c>
      <c r="B119" s="107" t="s">
        <v>1080</v>
      </c>
      <c r="C119" s="107" t="s">
        <v>206</v>
      </c>
      <c r="D119" s="107" t="s">
        <v>210</v>
      </c>
      <c r="E119" s="107" t="s">
        <v>220</v>
      </c>
      <c r="F119" s="107" t="s">
        <v>220</v>
      </c>
      <c r="G119" s="107" t="s">
        <v>220</v>
      </c>
      <c r="H119" s="107" t="s">
        <v>220</v>
      </c>
      <c r="I119" s="107" t="s">
        <v>220</v>
      </c>
      <c r="J119" s="107" t="s">
        <v>220</v>
      </c>
      <c r="K119" s="107" t="s">
        <v>982</v>
      </c>
      <c r="L119" s="107" t="s">
        <v>314</v>
      </c>
      <c r="M119" s="107" t="s">
        <v>1080</v>
      </c>
      <c r="N119" s="107" t="s">
        <v>1296</v>
      </c>
      <c r="O119" s="107" t="s">
        <v>1205</v>
      </c>
      <c r="P119" s="107" t="s">
        <v>210</v>
      </c>
      <c r="Q119" s="107" t="s">
        <v>220</v>
      </c>
      <c r="R119" s="247" t="s">
        <v>1288</v>
      </c>
      <c r="T119" s="107" t="s">
        <v>1043</v>
      </c>
      <c r="U119" s="107" t="s">
        <v>1011</v>
      </c>
      <c r="V119" s="107" t="s">
        <v>981</v>
      </c>
      <c r="W119" s="107" t="s">
        <v>1284</v>
      </c>
      <c r="X119" s="107" t="s">
        <v>1235</v>
      </c>
      <c r="Y119" s="107" t="s">
        <v>809</v>
      </c>
      <c r="Z119" s="107">
        <v>33.75</v>
      </c>
      <c r="AA119" s="247" t="s">
        <v>1294</v>
      </c>
    </row>
    <row r="120" spans="1:41" x14ac:dyDescent="0.2">
      <c r="A120" s="107" t="s">
        <v>315</v>
      </c>
      <c r="B120" s="107" t="s">
        <v>981</v>
      </c>
      <c r="C120" s="107" t="s">
        <v>206</v>
      </c>
      <c r="D120" s="107" t="s">
        <v>809</v>
      </c>
      <c r="E120" s="107">
        <v>33.83</v>
      </c>
      <c r="F120" s="107" t="s">
        <v>220</v>
      </c>
      <c r="G120" s="107" t="s">
        <v>220</v>
      </c>
      <c r="H120" s="107" t="s">
        <v>220</v>
      </c>
      <c r="I120" s="107" t="s">
        <v>220</v>
      </c>
      <c r="J120" s="107" t="s">
        <v>220</v>
      </c>
      <c r="K120" s="107" t="s">
        <v>982</v>
      </c>
      <c r="L120" s="107" t="s">
        <v>315</v>
      </c>
      <c r="M120" s="107" t="s">
        <v>981</v>
      </c>
      <c r="N120" s="107" t="s">
        <v>1296</v>
      </c>
      <c r="O120" s="107" t="s">
        <v>1205</v>
      </c>
      <c r="P120" s="107" t="s">
        <v>809</v>
      </c>
      <c r="Q120" s="107">
        <v>33.83</v>
      </c>
      <c r="R120" s="247" t="s">
        <v>1290</v>
      </c>
      <c r="T120" s="107" t="s">
        <v>1043</v>
      </c>
      <c r="U120" s="107" t="s">
        <v>1014</v>
      </c>
      <c r="V120" s="107" t="s">
        <v>981</v>
      </c>
      <c r="W120" s="107" t="s">
        <v>1284</v>
      </c>
      <c r="X120" s="107" t="s">
        <v>1235</v>
      </c>
      <c r="Y120" s="107" t="s">
        <v>809</v>
      </c>
      <c r="Z120" s="107">
        <v>33.06</v>
      </c>
      <c r="AA120" s="247" t="s">
        <v>1295</v>
      </c>
    </row>
    <row r="121" spans="1:41" x14ac:dyDescent="0.2">
      <c r="A121" s="107" t="s">
        <v>315</v>
      </c>
      <c r="B121" s="107" t="s">
        <v>1080</v>
      </c>
      <c r="C121" s="107" t="s">
        <v>206</v>
      </c>
      <c r="D121" s="107" t="s">
        <v>210</v>
      </c>
      <c r="E121" s="107" t="s">
        <v>220</v>
      </c>
      <c r="F121" s="107" t="s">
        <v>220</v>
      </c>
      <c r="G121" s="107" t="s">
        <v>220</v>
      </c>
      <c r="H121" s="107" t="s">
        <v>220</v>
      </c>
      <c r="I121" s="107" t="s">
        <v>220</v>
      </c>
      <c r="J121" s="107" t="s">
        <v>220</v>
      </c>
      <c r="K121" s="107" t="s">
        <v>982</v>
      </c>
      <c r="L121" s="107" t="s">
        <v>315</v>
      </c>
      <c r="M121" s="107" t="s">
        <v>1080</v>
      </c>
      <c r="N121" s="107" t="s">
        <v>1296</v>
      </c>
      <c r="O121" s="107" t="s">
        <v>1205</v>
      </c>
      <c r="P121" s="107" t="s">
        <v>210</v>
      </c>
      <c r="Q121" s="107" t="s">
        <v>220</v>
      </c>
      <c r="R121" s="247" t="s">
        <v>1290</v>
      </c>
      <c r="T121" s="107" t="s">
        <v>1043</v>
      </c>
      <c r="U121" s="107" t="s">
        <v>1018</v>
      </c>
      <c r="V121" s="107" t="s">
        <v>981</v>
      </c>
      <c r="W121" s="107" t="s">
        <v>1284</v>
      </c>
      <c r="X121" s="107" t="s">
        <v>1235</v>
      </c>
      <c r="Y121" s="107" t="s">
        <v>809</v>
      </c>
      <c r="Z121" s="107">
        <v>33.79</v>
      </c>
      <c r="AA121" s="107" t="s">
        <v>915</v>
      </c>
    </row>
    <row r="122" spans="1:41" x14ac:dyDescent="0.2">
      <c r="A122" s="107" t="s">
        <v>316</v>
      </c>
      <c r="B122" s="107" t="s">
        <v>981</v>
      </c>
      <c r="C122" s="107" t="s">
        <v>206</v>
      </c>
      <c r="D122" s="107" t="s">
        <v>809</v>
      </c>
      <c r="E122" s="107">
        <v>32.520000000000003</v>
      </c>
      <c r="F122" s="107" t="s">
        <v>220</v>
      </c>
      <c r="G122" s="107" t="s">
        <v>220</v>
      </c>
      <c r="H122" s="107" t="s">
        <v>220</v>
      </c>
      <c r="I122" s="107" t="s">
        <v>220</v>
      </c>
      <c r="J122" s="107" t="s">
        <v>220</v>
      </c>
      <c r="K122" s="107" t="s">
        <v>982</v>
      </c>
      <c r="L122" s="107" t="s">
        <v>316</v>
      </c>
      <c r="M122" s="107" t="s">
        <v>981</v>
      </c>
      <c r="N122" s="107" t="s">
        <v>1296</v>
      </c>
      <c r="O122" s="107" t="s">
        <v>1205</v>
      </c>
      <c r="P122" s="107" t="s">
        <v>809</v>
      </c>
      <c r="Q122" s="107">
        <v>32.520000000000003</v>
      </c>
      <c r="R122" s="247" t="s">
        <v>1291</v>
      </c>
      <c r="T122" s="107" t="s">
        <v>982</v>
      </c>
      <c r="U122" s="107" t="s">
        <v>235</v>
      </c>
      <c r="V122" s="107" t="s">
        <v>981</v>
      </c>
      <c r="W122" s="107" t="s">
        <v>1296</v>
      </c>
      <c r="X122" s="107" t="s">
        <v>1201</v>
      </c>
      <c r="Y122" s="107" t="s">
        <v>809</v>
      </c>
      <c r="Z122" s="107">
        <v>41.78</v>
      </c>
      <c r="AA122" s="247" t="s">
        <v>1285</v>
      </c>
    </row>
    <row r="123" spans="1:41" x14ac:dyDescent="0.2">
      <c r="A123" s="107" t="s">
        <v>316</v>
      </c>
      <c r="B123" s="107" t="s">
        <v>1080</v>
      </c>
      <c r="C123" s="107" t="s">
        <v>206</v>
      </c>
      <c r="D123" s="107" t="s">
        <v>210</v>
      </c>
      <c r="E123" s="107" t="s">
        <v>220</v>
      </c>
      <c r="F123" s="107" t="s">
        <v>220</v>
      </c>
      <c r="G123" s="107" t="s">
        <v>220</v>
      </c>
      <c r="H123" s="107" t="s">
        <v>220</v>
      </c>
      <c r="I123" s="107" t="s">
        <v>220</v>
      </c>
      <c r="J123" s="107" t="s">
        <v>220</v>
      </c>
      <c r="K123" s="107" t="s">
        <v>982</v>
      </c>
      <c r="L123" s="107" t="s">
        <v>316</v>
      </c>
      <c r="M123" s="107" t="s">
        <v>1080</v>
      </c>
      <c r="N123" s="107" t="s">
        <v>1296</v>
      </c>
      <c r="O123" s="107" t="s">
        <v>1205</v>
      </c>
      <c r="P123" s="107" t="s">
        <v>210</v>
      </c>
      <c r="Q123" s="107" t="s">
        <v>220</v>
      </c>
      <c r="R123" s="247" t="s">
        <v>1291</v>
      </c>
      <c r="T123" s="107" t="s">
        <v>982</v>
      </c>
      <c r="U123" s="107" t="s">
        <v>236</v>
      </c>
      <c r="V123" s="107" t="s">
        <v>981</v>
      </c>
      <c r="W123" s="107" t="s">
        <v>1296</v>
      </c>
      <c r="X123" s="107" t="s">
        <v>1201</v>
      </c>
      <c r="Y123" s="107" t="s">
        <v>809</v>
      </c>
      <c r="Z123" s="107">
        <v>34.07</v>
      </c>
      <c r="AA123" s="247" t="s">
        <v>1286</v>
      </c>
      <c r="AO123" s="107" t="s">
        <v>1312</v>
      </c>
    </row>
    <row r="124" spans="1:41" x14ac:dyDescent="0.2">
      <c r="A124" s="107" t="s">
        <v>317</v>
      </c>
      <c r="B124" s="107" t="s">
        <v>981</v>
      </c>
      <c r="C124" s="107" t="s">
        <v>206</v>
      </c>
      <c r="D124" s="107" t="s">
        <v>809</v>
      </c>
      <c r="E124" s="107">
        <v>32.47</v>
      </c>
      <c r="F124" s="107" t="s">
        <v>220</v>
      </c>
      <c r="G124" s="107" t="s">
        <v>220</v>
      </c>
      <c r="H124" s="107" t="s">
        <v>220</v>
      </c>
      <c r="I124" s="107" t="s">
        <v>220</v>
      </c>
      <c r="J124" s="107" t="s">
        <v>220</v>
      </c>
      <c r="K124" s="107" t="s">
        <v>982</v>
      </c>
      <c r="L124" s="107" t="s">
        <v>317</v>
      </c>
      <c r="M124" s="107" t="s">
        <v>981</v>
      </c>
      <c r="N124" s="107" t="s">
        <v>1296</v>
      </c>
      <c r="O124" s="107" t="s">
        <v>1205</v>
      </c>
      <c r="P124" s="107" t="s">
        <v>809</v>
      </c>
      <c r="Q124" s="107">
        <v>32.47</v>
      </c>
      <c r="R124" s="247" t="s">
        <v>1294</v>
      </c>
      <c r="T124" s="107" t="s">
        <v>982</v>
      </c>
      <c r="U124" s="107" t="s">
        <v>237</v>
      </c>
      <c r="V124" s="107" t="s">
        <v>981</v>
      </c>
      <c r="W124" s="107" t="s">
        <v>1296</v>
      </c>
      <c r="X124" s="107" t="s">
        <v>1201</v>
      </c>
      <c r="Y124" s="107" t="s">
        <v>809</v>
      </c>
      <c r="Z124" s="107">
        <v>34.26</v>
      </c>
      <c r="AA124" s="247" t="s">
        <v>1288</v>
      </c>
      <c r="AN124" s="247" t="s">
        <v>1313</v>
      </c>
      <c r="AO124" s="107">
        <f>95+AQ102</f>
        <v>112.328</v>
      </c>
    </row>
    <row r="125" spans="1:41" x14ac:dyDescent="0.2">
      <c r="A125" s="107" t="s">
        <v>317</v>
      </c>
      <c r="B125" s="107" t="s">
        <v>1080</v>
      </c>
      <c r="C125" s="107" t="s">
        <v>206</v>
      </c>
      <c r="D125" s="107" t="s">
        <v>210</v>
      </c>
      <c r="E125" s="107" t="s">
        <v>220</v>
      </c>
      <c r="F125" s="107" t="s">
        <v>220</v>
      </c>
      <c r="G125" s="107" t="s">
        <v>220</v>
      </c>
      <c r="H125" s="107" t="s">
        <v>220</v>
      </c>
      <c r="I125" s="107" t="s">
        <v>220</v>
      </c>
      <c r="J125" s="107" t="s">
        <v>220</v>
      </c>
      <c r="K125" s="107" t="s">
        <v>982</v>
      </c>
      <c r="L125" s="107" t="s">
        <v>317</v>
      </c>
      <c r="M125" s="107" t="s">
        <v>1080</v>
      </c>
      <c r="N125" s="107" t="s">
        <v>1296</v>
      </c>
      <c r="O125" s="107" t="s">
        <v>1205</v>
      </c>
      <c r="P125" s="107" t="s">
        <v>210</v>
      </c>
      <c r="Q125" s="107" t="s">
        <v>220</v>
      </c>
      <c r="R125" s="247" t="s">
        <v>1294</v>
      </c>
      <c r="T125" s="107" t="s">
        <v>982</v>
      </c>
      <c r="U125" s="107" t="s">
        <v>238</v>
      </c>
      <c r="V125" s="107" t="s">
        <v>981</v>
      </c>
      <c r="W125" s="107" t="s">
        <v>1296</v>
      </c>
      <c r="X125" s="107" t="s">
        <v>1201</v>
      </c>
      <c r="Y125" s="107" t="s">
        <v>809</v>
      </c>
      <c r="Z125" s="107">
        <v>34.68</v>
      </c>
      <c r="AA125" s="247" t="s">
        <v>1290</v>
      </c>
      <c r="AN125" s="247" t="s">
        <v>1314</v>
      </c>
      <c r="AO125" s="107">
        <f>95-AQ103</f>
        <v>77.671999999999997</v>
      </c>
    </row>
    <row r="126" spans="1:41" x14ac:dyDescent="0.2">
      <c r="A126" s="107" t="s">
        <v>318</v>
      </c>
      <c r="B126" s="107" t="s">
        <v>981</v>
      </c>
      <c r="C126" s="107" t="s">
        <v>206</v>
      </c>
      <c r="D126" s="107" t="s">
        <v>809</v>
      </c>
      <c r="E126" s="107">
        <v>32.64</v>
      </c>
      <c r="F126" s="107" t="s">
        <v>220</v>
      </c>
      <c r="G126" s="107" t="s">
        <v>220</v>
      </c>
      <c r="H126" s="107" t="s">
        <v>220</v>
      </c>
      <c r="I126" s="107" t="s">
        <v>220</v>
      </c>
      <c r="J126" s="107" t="s">
        <v>220</v>
      </c>
      <c r="K126" s="107" t="s">
        <v>982</v>
      </c>
      <c r="L126" s="107" t="s">
        <v>318</v>
      </c>
      <c r="M126" s="107" t="s">
        <v>981</v>
      </c>
      <c r="N126" s="107" t="s">
        <v>1296</v>
      </c>
      <c r="O126" s="107" t="s">
        <v>1205</v>
      </c>
      <c r="P126" s="107" t="s">
        <v>809</v>
      </c>
      <c r="Q126" s="107">
        <v>32.64</v>
      </c>
      <c r="R126" s="247" t="s">
        <v>1295</v>
      </c>
      <c r="T126" s="107" t="s">
        <v>982</v>
      </c>
      <c r="U126" s="107" t="s">
        <v>239</v>
      </c>
      <c r="V126" s="107" t="s">
        <v>981</v>
      </c>
      <c r="W126" s="107" t="s">
        <v>1296</v>
      </c>
      <c r="X126" s="107" t="s">
        <v>1201</v>
      </c>
      <c r="Y126" s="107" t="s">
        <v>809</v>
      </c>
      <c r="Z126" s="107">
        <v>33.43</v>
      </c>
      <c r="AA126" s="247" t="s">
        <v>1291</v>
      </c>
    </row>
    <row r="127" spans="1:41" x14ac:dyDescent="0.2">
      <c r="A127" s="107" t="s">
        <v>318</v>
      </c>
      <c r="B127" s="107" t="s">
        <v>1080</v>
      </c>
      <c r="C127" s="107" t="s">
        <v>206</v>
      </c>
      <c r="D127" s="107" t="s">
        <v>210</v>
      </c>
      <c r="E127" s="107" t="s">
        <v>220</v>
      </c>
      <c r="F127" s="107" t="s">
        <v>220</v>
      </c>
      <c r="G127" s="107" t="s">
        <v>220</v>
      </c>
      <c r="H127" s="107" t="s">
        <v>220</v>
      </c>
      <c r="I127" s="107" t="s">
        <v>220</v>
      </c>
      <c r="J127" s="107" t="s">
        <v>220</v>
      </c>
      <c r="K127" s="107" t="s">
        <v>982</v>
      </c>
      <c r="L127" s="107" t="s">
        <v>318</v>
      </c>
      <c r="M127" s="107" t="s">
        <v>1080</v>
      </c>
      <c r="N127" s="107" t="s">
        <v>1296</v>
      </c>
      <c r="O127" s="107" t="s">
        <v>1205</v>
      </c>
      <c r="P127" s="107" t="s">
        <v>210</v>
      </c>
      <c r="Q127" s="107" t="s">
        <v>220</v>
      </c>
      <c r="R127" s="247" t="s">
        <v>1295</v>
      </c>
      <c r="T127" s="107" t="s">
        <v>982</v>
      </c>
      <c r="U127" s="107" t="s">
        <v>242</v>
      </c>
      <c r="V127" s="107" t="s">
        <v>981</v>
      </c>
      <c r="W127" s="107" t="s">
        <v>1296</v>
      </c>
      <c r="X127" s="107" t="s">
        <v>1201</v>
      </c>
      <c r="Y127" s="107" t="s">
        <v>809</v>
      </c>
      <c r="Z127" s="107">
        <v>32.94</v>
      </c>
      <c r="AA127" s="247" t="s">
        <v>1294</v>
      </c>
      <c r="AN127" s="107" t="s">
        <v>1315</v>
      </c>
    </row>
    <row r="128" spans="1:41" x14ac:dyDescent="0.2">
      <c r="A128" s="107" t="s">
        <v>319</v>
      </c>
      <c r="B128" s="107" t="s">
        <v>981</v>
      </c>
      <c r="C128" s="107" t="s">
        <v>206</v>
      </c>
      <c r="D128" s="107" t="s">
        <v>809</v>
      </c>
      <c r="E128" s="107">
        <v>33.93</v>
      </c>
      <c r="F128" s="107" t="s">
        <v>220</v>
      </c>
      <c r="G128" s="107" t="s">
        <v>220</v>
      </c>
      <c r="H128" s="107" t="s">
        <v>220</v>
      </c>
      <c r="I128" s="107" t="s">
        <v>220</v>
      </c>
      <c r="J128" s="107" t="s">
        <v>220</v>
      </c>
      <c r="K128" s="107" t="s">
        <v>982</v>
      </c>
      <c r="L128" s="107" t="s">
        <v>319</v>
      </c>
      <c r="M128" s="107" t="s">
        <v>981</v>
      </c>
      <c r="N128" s="107" t="s">
        <v>1296</v>
      </c>
      <c r="O128" s="107" t="s">
        <v>1205</v>
      </c>
      <c r="P128" s="107" t="s">
        <v>809</v>
      </c>
      <c r="Q128" s="107">
        <v>33.93</v>
      </c>
      <c r="R128" s="107" t="s">
        <v>915</v>
      </c>
      <c r="T128" s="107" t="s">
        <v>982</v>
      </c>
      <c r="U128" s="107" t="s">
        <v>243</v>
      </c>
      <c r="V128" s="107" t="s">
        <v>981</v>
      </c>
      <c r="W128" s="107" t="s">
        <v>1296</v>
      </c>
      <c r="X128" s="107" t="s">
        <v>1201</v>
      </c>
      <c r="Y128" s="107" t="s">
        <v>809</v>
      </c>
      <c r="Z128" s="107">
        <v>34.31</v>
      </c>
      <c r="AA128" s="247" t="s">
        <v>1295</v>
      </c>
    </row>
    <row r="129" spans="1:40" x14ac:dyDescent="0.2">
      <c r="A129" s="107" t="s">
        <v>319</v>
      </c>
      <c r="B129" s="107" t="s">
        <v>1080</v>
      </c>
      <c r="C129" s="107" t="s">
        <v>206</v>
      </c>
      <c r="D129" s="107" t="s">
        <v>210</v>
      </c>
      <c r="E129" s="107" t="s">
        <v>220</v>
      </c>
      <c r="F129" s="107" t="s">
        <v>220</v>
      </c>
      <c r="G129" s="107" t="s">
        <v>220</v>
      </c>
      <c r="H129" s="107" t="s">
        <v>220</v>
      </c>
      <c r="I129" s="107" t="s">
        <v>220</v>
      </c>
      <c r="J129" s="107" t="s">
        <v>220</v>
      </c>
      <c r="K129" s="107" t="s">
        <v>982</v>
      </c>
      <c r="L129" s="107" t="s">
        <v>319</v>
      </c>
      <c r="M129" s="107" t="s">
        <v>1080</v>
      </c>
      <c r="N129" s="107" t="s">
        <v>1296</v>
      </c>
      <c r="O129" s="107" t="s">
        <v>1205</v>
      </c>
      <c r="P129" s="107" t="s">
        <v>210</v>
      </c>
      <c r="Q129" s="107" t="s">
        <v>220</v>
      </c>
      <c r="R129" s="107" t="s">
        <v>915</v>
      </c>
      <c r="T129" s="107" t="s">
        <v>982</v>
      </c>
      <c r="U129" s="107" t="s">
        <v>244</v>
      </c>
      <c r="V129" s="107" t="s">
        <v>981</v>
      </c>
      <c r="W129" s="107" t="s">
        <v>1296</v>
      </c>
      <c r="X129" s="107" t="s">
        <v>1201</v>
      </c>
      <c r="Y129" s="107" t="s">
        <v>809</v>
      </c>
      <c r="Z129" s="107">
        <v>34.35</v>
      </c>
      <c r="AA129" s="107" t="s">
        <v>915</v>
      </c>
      <c r="AN129" s="107" t="s">
        <v>1316</v>
      </c>
    </row>
    <row r="130" spans="1:40" x14ac:dyDescent="0.2">
      <c r="K130" s="107" t="s">
        <v>1043</v>
      </c>
      <c r="L130" s="107" t="s">
        <v>988</v>
      </c>
      <c r="M130" s="107" t="s">
        <v>1080</v>
      </c>
      <c r="N130" s="107" t="s">
        <v>1284</v>
      </c>
      <c r="O130" s="107" t="s">
        <v>1235</v>
      </c>
      <c r="P130" s="107" t="s">
        <v>210</v>
      </c>
      <c r="Q130" s="107">
        <v>27.34</v>
      </c>
      <c r="R130" s="247" t="s">
        <v>1285</v>
      </c>
      <c r="T130" s="107" t="s">
        <v>982</v>
      </c>
      <c r="U130" s="107" t="s">
        <v>262</v>
      </c>
      <c r="V130" s="107" t="s">
        <v>981</v>
      </c>
      <c r="W130" s="107" t="s">
        <v>1296</v>
      </c>
      <c r="X130" s="107" t="s">
        <v>1202</v>
      </c>
      <c r="Y130" s="107" t="s">
        <v>809</v>
      </c>
      <c r="Z130" s="107">
        <v>42.7</v>
      </c>
      <c r="AA130" s="247" t="s">
        <v>1285</v>
      </c>
    </row>
    <row r="131" spans="1:40" x14ac:dyDescent="0.2">
      <c r="K131" s="107" t="s">
        <v>1043</v>
      </c>
      <c r="L131" s="107" t="s">
        <v>993</v>
      </c>
      <c r="M131" s="107" t="s">
        <v>981</v>
      </c>
      <c r="N131" s="107" t="s">
        <v>1284</v>
      </c>
      <c r="O131" s="107" t="s">
        <v>1235</v>
      </c>
      <c r="P131" s="107" t="s">
        <v>809</v>
      </c>
      <c r="Q131" s="107">
        <v>33.42</v>
      </c>
      <c r="R131" s="247" t="s">
        <v>1285</v>
      </c>
      <c r="T131" s="107" t="s">
        <v>982</v>
      </c>
      <c r="U131" s="107" t="s">
        <v>263</v>
      </c>
      <c r="V131" s="107" t="s">
        <v>981</v>
      </c>
      <c r="W131" s="107" t="s">
        <v>1296</v>
      </c>
      <c r="X131" s="107" t="s">
        <v>1202</v>
      </c>
      <c r="Y131" s="107" t="s">
        <v>809</v>
      </c>
      <c r="Z131" s="107">
        <v>34</v>
      </c>
      <c r="AA131" s="247" t="s">
        <v>1286</v>
      </c>
    </row>
    <row r="132" spans="1:40" x14ac:dyDescent="0.2">
      <c r="K132" s="107" t="s">
        <v>1043</v>
      </c>
      <c r="L132" s="107" t="s">
        <v>996</v>
      </c>
      <c r="M132" s="107" t="s">
        <v>1080</v>
      </c>
      <c r="N132" s="107" t="s">
        <v>1284</v>
      </c>
      <c r="O132" s="107" t="s">
        <v>1235</v>
      </c>
      <c r="P132" s="107" t="s">
        <v>210</v>
      </c>
      <c r="Q132" s="107">
        <v>31.98</v>
      </c>
      <c r="R132" s="247" t="s">
        <v>1286</v>
      </c>
      <c r="T132" s="107" t="s">
        <v>982</v>
      </c>
      <c r="U132" s="107" t="s">
        <v>264</v>
      </c>
      <c r="V132" s="107" t="s">
        <v>981</v>
      </c>
      <c r="W132" s="107" t="s">
        <v>1296</v>
      </c>
      <c r="X132" s="107" t="s">
        <v>1202</v>
      </c>
      <c r="Y132" s="107" t="s">
        <v>809</v>
      </c>
      <c r="Z132" s="107">
        <v>33.83</v>
      </c>
      <c r="AA132" s="247" t="s">
        <v>1288</v>
      </c>
    </row>
    <row r="133" spans="1:40" x14ac:dyDescent="0.2">
      <c r="K133" s="107" t="s">
        <v>1043</v>
      </c>
      <c r="L133" s="107" t="s">
        <v>998</v>
      </c>
      <c r="M133" s="107" t="s">
        <v>981</v>
      </c>
      <c r="N133" s="107" t="s">
        <v>1284</v>
      </c>
      <c r="O133" s="107" t="s">
        <v>1235</v>
      </c>
      <c r="P133" s="107" t="s">
        <v>809</v>
      </c>
      <c r="Q133" s="107">
        <v>33.68</v>
      </c>
      <c r="R133" s="247" t="s">
        <v>1286</v>
      </c>
      <c r="T133" s="107" t="s">
        <v>982</v>
      </c>
      <c r="U133" s="107" t="s">
        <v>265</v>
      </c>
      <c r="V133" s="107" t="s">
        <v>981</v>
      </c>
      <c r="W133" s="107" t="s">
        <v>1296</v>
      </c>
      <c r="X133" s="107" t="s">
        <v>1202</v>
      </c>
      <c r="Y133" s="107" t="s">
        <v>809</v>
      </c>
      <c r="Z133" s="107">
        <v>33.57</v>
      </c>
      <c r="AA133" s="247" t="s">
        <v>1290</v>
      </c>
    </row>
    <row r="134" spans="1:40" x14ac:dyDescent="0.2">
      <c r="K134" s="107" t="s">
        <v>1043</v>
      </c>
      <c r="L134" s="107" t="s">
        <v>999</v>
      </c>
      <c r="M134" s="107" t="s">
        <v>1080</v>
      </c>
      <c r="N134" s="107" t="s">
        <v>1284</v>
      </c>
      <c r="O134" s="107" t="s">
        <v>1235</v>
      </c>
      <c r="P134" s="107" t="s">
        <v>210</v>
      </c>
      <c r="Q134" s="107">
        <v>32.81</v>
      </c>
      <c r="R134" s="247" t="s">
        <v>1288</v>
      </c>
      <c r="T134" s="107" t="s">
        <v>982</v>
      </c>
      <c r="U134" s="107" t="s">
        <v>266</v>
      </c>
      <c r="V134" s="107" t="s">
        <v>981</v>
      </c>
      <c r="W134" s="107" t="s">
        <v>1296</v>
      </c>
      <c r="X134" s="107" t="s">
        <v>1202</v>
      </c>
      <c r="Y134" s="107" t="s">
        <v>809</v>
      </c>
      <c r="Z134" s="107">
        <v>33.53</v>
      </c>
      <c r="AA134" s="247" t="s">
        <v>1291</v>
      </c>
    </row>
    <row r="135" spans="1:40" x14ac:dyDescent="0.2">
      <c r="K135" s="107" t="s">
        <v>1043</v>
      </c>
      <c r="L135" s="107" t="s">
        <v>1001</v>
      </c>
      <c r="M135" s="107" t="s">
        <v>981</v>
      </c>
      <c r="N135" s="107" t="s">
        <v>1284</v>
      </c>
      <c r="O135" s="107" t="s">
        <v>1235</v>
      </c>
      <c r="P135" s="107" t="s">
        <v>809</v>
      </c>
      <c r="Q135" s="107">
        <v>32.75</v>
      </c>
      <c r="R135" s="247" t="s">
        <v>1288</v>
      </c>
      <c r="T135" s="107" t="s">
        <v>982</v>
      </c>
      <c r="U135" s="107" t="s">
        <v>267</v>
      </c>
      <c r="V135" s="107" t="s">
        <v>981</v>
      </c>
      <c r="W135" s="107" t="s">
        <v>1296</v>
      </c>
      <c r="X135" s="107" t="s">
        <v>1202</v>
      </c>
      <c r="Y135" s="107" t="s">
        <v>809</v>
      </c>
      <c r="Z135" s="107">
        <v>33.700000000000003</v>
      </c>
      <c r="AA135" s="247" t="s">
        <v>1294</v>
      </c>
    </row>
    <row r="136" spans="1:40" x14ac:dyDescent="0.2">
      <c r="K136" s="107" t="s">
        <v>1043</v>
      </c>
      <c r="L136" s="107" t="s">
        <v>1003</v>
      </c>
      <c r="M136" s="107" t="s">
        <v>1080</v>
      </c>
      <c r="N136" s="107" t="s">
        <v>1284</v>
      </c>
      <c r="O136" s="107" t="s">
        <v>1235</v>
      </c>
      <c r="P136" s="107" t="s">
        <v>210</v>
      </c>
      <c r="Q136" s="107">
        <v>37.65</v>
      </c>
      <c r="R136" s="247" t="s">
        <v>1290</v>
      </c>
      <c r="T136" s="107" t="s">
        <v>982</v>
      </c>
      <c r="U136" s="107" t="s">
        <v>268</v>
      </c>
      <c r="V136" s="107" t="s">
        <v>981</v>
      </c>
      <c r="W136" s="107" t="s">
        <v>1296</v>
      </c>
      <c r="X136" s="107" t="s">
        <v>1202</v>
      </c>
      <c r="Y136" s="107" t="s">
        <v>809</v>
      </c>
      <c r="Z136" s="107">
        <v>34.06</v>
      </c>
      <c r="AA136" s="247" t="s">
        <v>1295</v>
      </c>
    </row>
    <row r="137" spans="1:40" x14ac:dyDescent="0.2">
      <c r="K137" s="107" t="s">
        <v>1043</v>
      </c>
      <c r="L137" s="107" t="s">
        <v>1005</v>
      </c>
      <c r="M137" s="107" t="s">
        <v>981</v>
      </c>
      <c r="N137" s="107" t="s">
        <v>1284</v>
      </c>
      <c r="O137" s="107" t="s">
        <v>1235</v>
      </c>
      <c r="P137" s="107" t="s">
        <v>809</v>
      </c>
      <c r="Q137" s="107">
        <v>34.159999999999997</v>
      </c>
      <c r="R137" s="247" t="s">
        <v>1290</v>
      </c>
      <c r="T137" s="107" t="s">
        <v>982</v>
      </c>
      <c r="U137" s="107" t="s">
        <v>270</v>
      </c>
      <c r="V137" s="107" t="s">
        <v>981</v>
      </c>
      <c r="W137" s="107" t="s">
        <v>1296</v>
      </c>
      <c r="X137" s="107" t="s">
        <v>1202</v>
      </c>
      <c r="Y137" s="107" t="s">
        <v>809</v>
      </c>
      <c r="Z137" s="107">
        <v>33.24</v>
      </c>
      <c r="AA137" s="107" t="s">
        <v>915</v>
      </c>
    </row>
    <row r="138" spans="1:40" x14ac:dyDescent="0.2">
      <c r="K138" s="107" t="s">
        <v>1043</v>
      </c>
      <c r="L138" s="107" t="s">
        <v>1006</v>
      </c>
      <c r="M138" s="107" t="s">
        <v>1080</v>
      </c>
      <c r="N138" s="107" t="s">
        <v>1284</v>
      </c>
      <c r="O138" s="107" t="s">
        <v>1235</v>
      </c>
      <c r="P138" s="107" t="s">
        <v>210</v>
      </c>
      <c r="R138" s="247" t="s">
        <v>1291</v>
      </c>
      <c r="T138" s="107" t="s">
        <v>982</v>
      </c>
      <c r="U138" s="107" t="s">
        <v>288</v>
      </c>
      <c r="V138" s="107" t="s">
        <v>981</v>
      </c>
      <c r="W138" s="107" t="s">
        <v>1296</v>
      </c>
      <c r="X138" s="107" t="s">
        <v>1203</v>
      </c>
      <c r="Y138" s="107" t="s">
        <v>809</v>
      </c>
      <c r="Z138" s="107">
        <v>44.31</v>
      </c>
      <c r="AA138" s="247" t="s">
        <v>1285</v>
      </c>
    </row>
    <row r="139" spans="1:40" x14ac:dyDescent="0.2">
      <c r="K139" s="107" t="s">
        <v>1043</v>
      </c>
      <c r="L139" s="107" t="s">
        <v>1008</v>
      </c>
      <c r="M139" s="107" t="s">
        <v>981</v>
      </c>
      <c r="N139" s="107" t="s">
        <v>1284</v>
      </c>
      <c r="O139" s="107" t="s">
        <v>1235</v>
      </c>
      <c r="P139" s="107" t="s">
        <v>809</v>
      </c>
      <c r="Q139" s="107">
        <v>33.67</v>
      </c>
      <c r="R139" s="247" t="s">
        <v>1291</v>
      </c>
      <c r="T139" s="107" t="s">
        <v>982</v>
      </c>
      <c r="U139" s="107" t="s">
        <v>289</v>
      </c>
      <c r="V139" s="107" t="s">
        <v>981</v>
      </c>
      <c r="W139" s="107" t="s">
        <v>1296</v>
      </c>
      <c r="X139" s="107" t="s">
        <v>1203</v>
      </c>
      <c r="Y139" s="107" t="s">
        <v>809</v>
      </c>
      <c r="Z139" s="107">
        <v>34.96</v>
      </c>
      <c r="AA139" s="247" t="s">
        <v>1286</v>
      </c>
    </row>
    <row r="140" spans="1:40" x14ac:dyDescent="0.2">
      <c r="K140" s="107" t="s">
        <v>1043</v>
      </c>
      <c r="L140" s="107" t="s">
        <v>1009</v>
      </c>
      <c r="M140" s="107" t="s">
        <v>1080</v>
      </c>
      <c r="N140" s="107" t="s">
        <v>1284</v>
      </c>
      <c r="O140" s="107" t="s">
        <v>1235</v>
      </c>
      <c r="P140" s="107" t="s">
        <v>210</v>
      </c>
      <c r="R140" s="247" t="s">
        <v>1294</v>
      </c>
      <c r="T140" s="107" t="s">
        <v>982</v>
      </c>
      <c r="U140" s="107" t="s">
        <v>290</v>
      </c>
      <c r="V140" s="107" t="s">
        <v>981</v>
      </c>
      <c r="W140" s="107" t="s">
        <v>1296</v>
      </c>
      <c r="X140" s="107" t="s">
        <v>1203</v>
      </c>
      <c r="Y140" s="107" t="s">
        <v>809</v>
      </c>
      <c r="Z140" s="107">
        <v>33.32</v>
      </c>
      <c r="AA140" s="247" t="s">
        <v>1288</v>
      </c>
    </row>
    <row r="141" spans="1:40" x14ac:dyDescent="0.2">
      <c r="K141" s="107" t="s">
        <v>1043</v>
      </c>
      <c r="L141" s="107" t="s">
        <v>1011</v>
      </c>
      <c r="M141" s="107" t="s">
        <v>981</v>
      </c>
      <c r="N141" s="107" t="s">
        <v>1284</v>
      </c>
      <c r="O141" s="107" t="s">
        <v>1235</v>
      </c>
      <c r="P141" s="107" t="s">
        <v>809</v>
      </c>
      <c r="Q141" s="107">
        <v>33.75</v>
      </c>
      <c r="R141" s="247" t="s">
        <v>1294</v>
      </c>
      <c r="T141" s="107" t="s">
        <v>982</v>
      </c>
      <c r="U141" s="107" t="s">
        <v>291</v>
      </c>
      <c r="V141" s="107" t="s">
        <v>981</v>
      </c>
      <c r="W141" s="107" t="s">
        <v>1296</v>
      </c>
      <c r="X141" s="107" t="s">
        <v>1203</v>
      </c>
      <c r="Y141" s="107" t="s">
        <v>809</v>
      </c>
      <c r="Z141" s="107">
        <v>33.86</v>
      </c>
      <c r="AA141" s="247" t="s">
        <v>1290</v>
      </c>
    </row>
    <row r="142" spans="1:40" x14ac:dyDescent="0.2">
      <c r="K142" s="107" t="s">
        <v>1043</v>
      </c>
      <c r="L142" s="107" t="s">
        <v>1012</v>
      </c>
      <c r="M142" s="107" t="s">
        <v>1080</v>
      </c>
      <c r="N142" s="107" t="s">
        <v>1284</v>
      </c>
      <c r="O142" s="107" t="s">
        <v>1235</v>
      </c>
      <c r="P142" s="107" t="s">
        <v>210</v>
      </c>
      <c r="Q142" s="107">
        <v>37.83</v>
      </c>
      <c r="R142" s="247" t="s">
        <v>1295</v>
      </c>
      <c r="T142" s="107" t="s">
        <v>982</v>
      </c>
      <c r="U142" s="107" t="s">
        <v>292</v>
      </c>
      <c r="V142" s="107" t="s">
        <v>981</v>
      </c>
      <c r="W142" s="107" t="s">
        <v>1296</v>
      </c>
      <c r="X142" s="107" t="s">
        <v>1203</v>
      </c>
      <c r="Y142" s="107" t="s">
        <v>809</v>
      </c>
      <c r="Z142" s="107">
        <v>34.19</v>
      </c>
      <c r="AA142" s="247" t="s">
        <v>1291</v>
      </c>
    </row>
    <row r="143" spans="1:40" x14ac:dyDescent="0.2">
      <c r="K143" s="107" t="s">
        <v>1043</v>
      </c>
      <c r="L143" s="107" t="s">
        <v>1014</v>
      </c>
      <c r="M143" s="107" t="s">
        <v>981</v>
      </c>
      <c r="N143" s="107" t="s">
        <v>1284</v>
      </c>
      <c r="O143" s="107" t="s">
        <v>1235</v>
      </c>
      <c r="P143" s="107" t="s">
        <v>809</v>
      </c>
      <c r="Q143" s="107">
        <v>33.06</v>
      </c>
      <c r="R143" s="247" t="s">
        <v>1295</v>
      </c>
      <c r="T143" s="107" t="s">
        <v>982</v>
      </c>
      <c r="U143" s="107" t="s">
        <v>293</v>
      </c>
      <c r="V143" s="107" t="s">
        <v>981</v>
      </c>
      <c r="W143" s="107" t="s">
        <v>1296</v>
      </c>
      <c r="X143" s="107" t="s">
        <v>1203</v>
      </c>
      <c r="Y143" s="107" t="s">
        <v>809</v>
      </c>
      <c r="Z143" s="107">
        <v>33.33</v>
      </c>
      <c r="AA143" s="247" t="s">
        <v>1294</v>
      </c>
    </row>
    <row r="144" spans="1:40" x14ac:dyDescent="0.2">
      <c r="K144" s="107" t="s">
        <v>1043</v>
      </c>
      <c r="L144" s="107" t="s">
        <v>1015</v>
      </c>
      <c r="M144" s="107" t="s">
        <v>1080</v>
      </c>
      <c r="N144" s="107" t="s">
        <v>1284</v>
      </c>
      <c r="O144" s="107" t="s">
        <v>1235</v>
      </c>
      <c r="P144" s="107" t="s">
        <v>210</v>
      </c>
      <c r="R144" s="107" t="s">
        <v>915</v>
      </c>
      <c r="T144" s="107" t="s">
        <v>982</v>
      </c>
      <c r="U144" s="107" t="s">
        <v>294</v>
      </c>
      <c r="V144" s="107" t="s">
        <v>981</v>
      </c>
      <c r="W144" s="107" t="s">
        <v>1296</v>
      </c>
      <c r="X144" s="107" t="s">
        <v>1203</v>
      </c>
      <c r="Y144" s="107" t="s">
        <v>809</v>
      </c>
      <c r="Z144" s="107">
        <v>34.729999999999997</v>
      </c>
      <c r="AA144" s="247" t="s">
        <v>1295</v>
      </c>
    </row>
    <row r="145" spans="11:40" x14ac:dyDescent="0.2">
      <c r="K145" s="107" t="s">
        <v>1043</v>
      </c>
      <c r="L145" s="107" t="s">
        <v>1018</v>
      </c>
      <c r="M145" s="107" t="s">
        <v>981</v>
      </c>
      <c r="N145" s="107" t="s">
        <v>1284</v>
      </c>
      <c r="O145" s="107" t="s">
        <v>1235</v>
      </c>
      <c r="P145" s="107" t="s">
        <v>809</v>
      </c>
      <c r="Q145" s="107">
        <v>33.79</v>
      </c>
      <c r="R145" s="107" t="s">
        <v>915</v>
      </c>
      <c r="T145" s="107" t="s">
        <v>982</v>
      </c>
      <c r="U145" s="107" t="s">
        <v>295</v>
      </c>
      <c r="V145" s="107" t="s">
        <v>981</v>
      </c>
      <c r="W145" s="107" t="s">
        <v>1296</v>
      </c>
      <c r="X145" s="107" t="s">
        <v>1203</v>
      </c>
      <c r="Y145" s="107" t="s">
        <v>809</v>
      </c>
      <c r="Z145" s="107">
        <v>32.770000000000003</v>
      </c>
      <c r="AA145" s="107" t="s">
        <v>915</v>
      </c>
    </row>
    <row r="146" spans="11:40" x14ac:dyDescent="0.2">
      <c r="K146" s="107" t="s">
        <v>1043</v>
      </c>
      <c r="L146" s="107" t="s">
        <v>1019</v>
      </c>
      <c r="M146" s="107" t="s">
        <v>1080</v>
      </c>
      <c r="N146" s="107" t="s">
        <v>1296</v>
      </c>
      <c r="O146" s="107" t="s">
        <v>1235</v>
      </c>
      <c r="P146" s="107" t="s">
        <v>210</v>
      </c>
      <c r="Q146" s="107">
        <v>28.15</v>
      </c>
      <c r="R146" s="247" t="s">
        <v>1285</v>
      </c>
      <c r="T146" s="107" t="s">
        <v>982</v>
      </c>
      <c r="U146" s="107" t="s">
        <v>312</v>
      </c>
      <c r="V146" s="107" t="s">
        <v>981</v>
      </c>
      <c r="W146" s="107" t="s">
        <v>1296</v>
      </c>
      <c r="X146" s="107" t="s">
        <v>1205</v>
      </c>
      <c r="Y146" s="107" t="s">
        <v>809</v>
      </c>
      <c r="Z146" s="107">
        <v>38.9</v>
      </c>
      <c r="AA146" s="247" t="s">
        <v>1285</v>
      </c>
    </row>
    <row r="147" spans="11:40" x14ac:dyDescent="0.2">
      <c r="K147" s="107" t="s">
        <v>1043</v>
      </c>
      <c r="L147" s="107" t="s">
        <v>1021</v>
      </c>
      <c r="M147" s="107" t="s">
        <v>981</v>
      </c>
      <c r="N147" s="107" t="s">
        <v>1296</v>
      </c>
      <c r="O147" s="107" t="s">
        <v>1235</v>
      </c>
      <c r="P147" s="107" t="s">
        <v>809</v>
      </c>
      <c r="R147" s="247" t="s">
        <v>1285</v>
      </c>
      <c r="T147" s="107" t="s">
        <v>982</v>
      </c>
      <c r="U147" s="107" t="s">
        <v>313</v>
      </c>
      <c r="V147" s="107" t="s">
        <v>981</v>
      </c>
      <c r="W147" s="107" t="s">
        <v>1296</v>
      </c>
      <c r="X147" s="107" t="s">
        <v>1205</v>
      </c>
      <c r="Y147" s="107" t="s">
        <v>809</v>
      </c>
      <c r="Z147" s="107">
        <v>36</v>
      </c>
      <c r="AA147" s="247" t="s">
        <v>1286</v>
      </c>
      <c r="AN147" s="107" t="s">
        <v>1317</v>
      </c>
    </row>
    <row r="148" spans="11:40" x14ac:dyDescent="0.2">
      <c r="K148" s="107" t="s">
        <v>1043</v>
      </c>
      <c r="L148" s="107" t="s">
        <v>1022</v>
      </c>
      <c r="M148" s="107" t="s">
        <v>1080</v>
      </c>
      <c r="N148" s="107" t="s">
        <v>1296</v>
      </c>
      <c r="O148" s="107" t="s">
        <v>1235</v>
      </c>
      <c r="P148" s="107" t="s">
        <v>210</v>
      </c>
      <c r="Q148" s="107">
        <v>30.74</v>
      </c>
      <c r="R148" s="107" t="s">
        <v>1286</v>
      </c>
      <c r="T148" s="107" t="s">
        <v>982</v>
      </c>
      <c r="U148" s="107" t="s">
        <v>314</v>
      </c>
      <c r="V148" s="107" t="s">
        <v>981</v>
      </c>
      <c r="W148" s="107" t="s">
        <v>1296</v>
      </c>
      <c r="X148" s="107" t="s">
        <v>1205</v>
      </c>
      <c r="Y148" s="107" t="s">
        <v>809</v>
      </c>
      <c r="Z148" s="107">
        <v>33.340000000000003</v>
      </c>
      <c r="AA148" s="247" t="s">
        <v>1288</v>
      </c>
    </row>
    <row r="149" spans="11:40" x14ac:dyDescent="0.2">
      <c r="K149" s="107" t="s">
        <v>1043</v>
      </c>
      <c r="L149" s="107" t="s">
        <v>1024</v>
      </c>
      <c r="M149" s="107" t="s">
        <v>981</v>
      </c>
      <c r="N149" s="107" t="s">
        <v>1296</v>
      </c>
      <c r="O149" s="107" t="s">
        <v>1235</v>
      </c>
      <c r="P149" s="107" t="s">
        <v>809</v>
      </c>
      <c r="Q149" s="107">
        <v>30.73</v>
      </c>
      <c r="R149" s="107" t="s">
        <v>1286</v>
      </c>
      <c r="T149" s="107" t="s">
        <v>982</v>
      </c>
      <c r="U149" s="107" t="s">
        <v>315</v>
      </c>
      <c r="V149" s="107" t="s">
        <v>981</v>
      </c>
      <c r="W149" s="107" t="s">
        <v>1296</v>
      </c>
      <c r="X149" s="107" t="s">
        <v>1205</v>
      </c>
      <c r="Y149" s="107" t="s">
        <v>809</v>
      </c>
      <c r="Z149" s="107">
        <v>33.83</v>
      </c>
      <c r="AA149" s="247" t="s">
        <v>1290</v>
      </c>
    </row>
    <row r="150" spans="11:40" x14ac:dyDescent="0.2">
      <c r="K150" s="107" t="s">
        <v>1043</v>
      </c>
      <c r="L150" s="107" t="s">
        <v>1025</v>
      </c>
      <c r="M150" s="107" t="s">
        <v>1080</v>
      </c>
      <c r="N150" s="107" t="s">
        <v>1296</v>
      </c>
      <c r="O150" s="107" t="s">
        <v>1235</v>
      </c>
      <c r="P150" s="107" t="s">
        <v>210</v>
      </c>
      <c r="R150" s="107" t="s">
        <v>1288</v>
      </c>
      <c r="T150" s="107" t="s">
        <v>982</v>
      </c>
      <c r="U150" s="107" t="s">
        <v>316</v>
      </c>
      <c r="V150" s="107" t="s">
        <v>981</v>
      </c>
      <c r="W150" s="107" t="s">
        <v>1296</v>
      </c>
      <c r="X150" s="107" t="s">
        <v>1205</v>
      </c>
      <c r="Y150" s="107" t="s">
        <v>809</v>
      </c>
      <c r="Z150" s="107">
        <v>32.520000000000003</v>
      </c>
      <c r="AA150" s="247" t="s">
        <v>1291</v>
      </c>
    </row>
    <row r="151" spans="11:40" x14ac:dyDescent="0.2">
      <c r="K151" s="107" t="s">
        <v>1043</v>
      </c>
      <c r="L151" s="107" t="s">
        <v>1027</v>
      </c>
      <c r="M151" s="107" t="s">
        <v>981</v>
      </c>
      <c r="N151" s="107" t="s">
        <v>1296</v>
      </c>
      <c r="O151" s="107" t="s">
        <v>1235</v>
      </c>
      <c r="P151" s="107" t="s">
        <v>809</v>
      </c>
      <c r="Q151" s="107">
        <v>33.299999999999997</v>
      </c>
      <c r="R151" s="107" t="s">
        <v>1288</v>
      </c>
      <c r="T151" s="107" t="s">
        <v>982</v>
      </c>
      <c r="U151" s="107" t="s">
        <v>317</v>
      </c>
      <c r="V151" s="107" t="s">
        <v>981</v>
      </c>
      <c r="W151" s="107" t="s">
        <v>1296</v>
      </c>
      <c r="X151" s="107" t="s">
        <v>1205</v>
      </c>
      <c r="Y151" s="107" t="s">
        <v>809</v>
      </c>
      <c r="Z151" s="107">
        <v>32.47</v>
      </c>
      <c r="AA151" s="247" t="s">
        <v>1294</v>
      </c>
    </row>
    <row r="152" spans="11:40" x14ac:dyDescent="0.2">
      <c r="K152" s="107" t="s">
        <v>1043</v>
      </c>
      <c r="L152" s="107" t="s">
        <v>1028</v>
      </c>
      <c r="M152" s="107" t="s">
        <v>1080</v>
      </c>
      <c r="N152" s="107" t="s">
        <v>1296</v>
      </c>
      <c r="O152" s="107" t="s">
        <v>1235</v>
      </c>
      <c r="P152" s="107" t="s">
        <v>210</v>
      </c>
      <c r="R152" s="107" t="s">
        <v>1290</v>
      </c>
      <c r="T152" s="107" t="s">
        <v>982</v>
      </c>
      <c r="U152" s="107" t="s">
        <v>318</v>
      </c>
      <c r="V152" s="107" t="s">
        <v>981</v>
      </c>
      <c r="W152" s="107" t="s">
        <v>1296</v>
      </c>
      <c r="X152" s="107" t="s">
        <v>1205</v>
      </c>
      <c r="Y152" s="107" t="s">
        <v>809</v>
      </c>
      <c r="Z152" s="107">
        <v>32.64</v>
      </c>
      <c r="AA152" s="247" t="s">
        <v>1295</v>
      </c>
    </row>
    <row r="153" spans="11:40" x14ac:dyDescent="0.2">
      <c r="K153" s="107" t="s">
        <v>1043</v>
      </c>
      <c r="L153" s="107" t="s">
        <v>1030</v>
      </c>
      <c r="M153" s="107" t="s">
        <v>981</v>
      </c>
      <c r="N153" s="107" t="s">
        <v>1296</v>
      </c>
      <c r="O153" s="107" t="s">
        <v>1235</v>
      </c>
      <c r="P153" s="107" t="s">
        <v>809</v>
      </c>
      <c r="Q153" s="107">
        <v>33.270000000000003</v>
      </c>
      <c r="R153" s="107" t="s">
        <v>1290</v>
      </c>
      <c r="T153" s="107" t="s">
        <v>982</v>
      </c>
      <c r="U153" s="107" t="s">
        <v>319</v>
      </c>
      <c r="V153" s="107" t="s">
        <v>981</v>
      </c>
      <c r="W153" s="107" t="s">
        <v>1296</v>
      </c>
      <c r="X153" s="107" t="s">
        <v>1205</v>
      </c>
      <c r="Y153" s="107" t="s">
        <v>809</v>
      </c>
      <c r="Z153" s="107">
        <v>33.93</v>
      </c>
      <c r="AA153" s="107" t="s">
        <v>915</v>
      </c>
    </row>
    <row r="154" spans="11:40" x14ac:dyDescent="0.2">
      <c r="K154" s="107" t="s">
        <v>1043</v>
      </c>
      <c r="L154" s="107" t="s">
        <v>1031</v>
      </c>
      <c r="M154" s="107" t="s">
        <v>1080</v>
      </c>
      <c r="N154" s="107" t="s">
        <v>1296</v>
      </c>
      <c r="O154" s="107" t="s">
        <v>1235</v>
      </c>
      <c r="P154" s="107" t="s">
        <v>210</v>
      </c>
      <c r="R154" s="107" t="s">
        <v>1291</v>
      </c>
      <c r="T154" s="107" t="s">
        <v>1043</v>
      </c>
      <c r="U154" s="107" t="s">
        <v>1021</v>
      </c>
      <c r="V154" s="107" t="s">
        <v>981</v>
      </c>
      <c r="W154" s="107" t="s">
        <v>1296</v>
      </c>
      <c r="X154" s="107" t="s">
        <v>1235</v>
      </c>
      <c r="Y154" s="107" t="s">
        <v>809</v>
      </c>
      <c r="AA154" s="247" t="s">
        <v>1285</v>
      </c>
    </row>
    <row r="155" spans="11:40" x14ac:dyDescent="0.2">
      <c r="K155" s="107" t="s">
        <v>1043</v>
      </c>
      <c r="L155" s="107" t="s">
        <v>1033</v>
      </c>
      <c r="M155" s="107" t="s">
        <v>981</v>
      </c>
      <c r="N155" s="107" t="s">
        <v>1296</v>
      </c>
      <c r="O155" s="107" t="s">
        <v>1235</v>
      </c>
      <c r="P155" s="107" t="s">
        <v>809</v>
      </c>
      <c r="Q155" s="107">
        <v>33.1</v>
      </c>
      <c r="R155" s="107" t="s">
        <v>1291</v>
      </c>
      <c r="T155" s="107" t="s">
        <v>1043</v>
      </c>
      <c r="U155" s="107" t="s">
        <v>1024</v>
      </c>
      <c r="V155" s="107" t="s">
        <v>981</v>
      </c>
      <c r="W155" s="107" t="s">
        <v>1296</v>
      </c>
      <c r="X155" s="107" t="s">
        <v>1235</v>
      </c>
      <c r="Y155" s="107" t="s">
        <v>809</v>
      </c>
      <c r="Z155" s="107">
        <v>30.73</v>
      </c>
      <c r="AA155" s="107" t="s">
        <v>1286</v>
      </c>
    </row>
    <row r="156" spans="11:40" x14ac:dyDescent="0.2">
      <c r="K156" s="107" t="s">
        <v>1043</v>
      </c>
      <c r="L156" s="107" t="s">
        <v>1034</v>
      </c>
      <c r="M156" s="107" t="s">
        <v>1080</v>
      </c>
      <c r="N156" s="107" t="s">
        <v>1296</v>
      </c>
      <c r="O156" s="107" t="s">
        <v>1235</v>
      </c>
      <c r="P156" s="107" t="s">
        <v>210</v>
      </c>
      <c r="R156" s="107" t="s">
        <v>1294</v>
      </c>
      <c r="T156" s="107" t="s">
        <v>1043</v>
      </c>
      <c r="U156" s="107" t="s">
        <v>1027</v>
      </c>
      <c r="V156" s="107" t="s">
        <v>981</v>
      </c>
      <c r="W156" s="107" t="s">
        <v>1296</v>
      </c>
      <c r="X156" s="107" t="s">
        <v>1235</v>
      </c>
      <c r="Y156" s="107" t="s">
        <v>809</v>
      </c>
      <c r="Z156" s="107">
        <v>33.299999999999997</v>
      </c>
      <c r="AA156" s="107" t="s">
        <v>1288</v>
      </c>
    </row>
    <row r="157" spans="11:40" x14ac:dyDescent="0.2">
      <c r="K157" s="107" t="s">
        <v>1043</v>
      </c>
      <c r="L157" s="107" t="s">
        <v>1036</v>
      </c>
      <c r="M157" s="107" t="s">
        <v>981</v>
      </c>
      <c r="N157" s="107" t="s">
        <v>1296</v>
      </c>
      <c r="O157" s="107" t="s">
        <v>1235</v>
      </c>
      <c r="P157" s="107" t="s">
        <v>809</v>
      </c>
      <c r="Q157" s="107">
        <v>34.64</v>
      </c>
      <c r="R157" s="107" t="s">
        <v>1294</v>
      </c>
      <c r="T157" s="107" t="s">
        <v>1043</v>
      </c>
      <c r="U157" s="107" t="s">
        <v>1030</v>
      </c>
      <c r="V157" s="107" t="s">
        <v>981</v>
      </c>
      <c r="W157" s="107" t="s">
        <v>1296</v>
      </c>
      <c r="X157" s="107" t="s">
        <v>1235</v>
      </c>
      <c r="Y157" s="107" t="s">
        <v>809</v>
      </c>
      <c r="Z157" s="107">
        <v>33.270000000000003</v>
      </c>
      <c r="AA157" s="107" t="s">
        <v>1290</v>
      </c>
    </row>
    <row r="158" spans="11:40" x14ac:dyDescent="0.2">
      <c r="K158" s="107" t="s">
        <v>1043</v>
      </c>
      <c r="L158" s="107" t="s">
        <v>1037</v>
      </c>
      <c r="M158" s="107" t="s">
        <v>1080</v>
      </c>
      <c r="N158" s="107" t="s">
        <v>1296</v>
      </c>
      <c r="O158" s="107" t="s">
        <v>1235</v>
      </c>
      <c r="P158" s="107" t="s">
        <v>210</v>
      </c>
      <c r="R158" s="107" t="s">
        <v>1295</v>
      </c>
      <c r="T158" s="107" t="s">
        <v>1043</v>
      </c>
      <c r="U158" s="107" t="s">
        <v>1033</v>
      </c>
      <c r="V158" s="107" t="s">
        <v>981</v>
      </c>
      <c r="W158" s="107" t="s">
        <v>1296</v>
      </c>
      <c r="X158" s="107" t="s">
        <v>1235</v>
      </c>
      <c r="Y158" s="107" t="s">
        <v>809</v>
      </c>
      <c r="Z158" s="107">
        <v>33.1</v>
      </c>
      <c r="AA158" s="107" t="s">
        <v>1291</v>
      </c>
    </row>
    <row r="159" spans="11:40" x14ac:dyDescent="0.2">
      <c r="K159" s="107" t="s">
        <v>1043</v>
      </c>
      <c r="L159" s="107" t="s">
        <v>1039</v>
      </c>
      <c r="M159" s="107" t="s">
        <v>981</v>
      </c>
      <c r="N159" s="107" t="s">
        <v>1296</v>
      </c>
      <c r="O159" s="107" t="s">
        <v>1235</v>
      </c>
      <c r="P159" s="107" t="s">
        <v>809</v>
      </c>
      <c r="Q159" s="107">
        <v>33.74</v>
      </c>
      <c r="R159" s="107" t="s">
        <v>1295</v>
      </c>
      <c r="T159" s="107" t="s">
        <v>1043</v>
      </c>
      <c r="U159" s="107" t="s">
        <v>1036</v>
      </c>
      <c r="V159" s="107" t="s">
        <v>981</v>
      </c>
      <c r="W159" s="107" t="s">
        <v>1296</v>
      </c>
      <c r="X159" s="107" t="s">
        <v>1235</v>
      </c>
      <c r="Y159" s="107" t="s">
        <v>809</v>
      </c>
      <c r="Z159" s="107">
        <v>34.64</v>
      </c>
      <c r="AA159" s="107" t="s">
        <v>1294</v>
      </c>
    </row>
    <row r="160" spans="11:40" x14ac:dyDescent="0.2">
      <c r="K160" s="107" t="s">
        <v>1043</v>
      </c>
      <c r="L160" s="107" t="s">
        <v>1040</v>
      </c>
      <c r="M160" s="107" t="s">
        <v>1080</v>
      </c>
      <c r="N160" s="107" t="s">
        <v>1296</v>
      </c>
      <c r="O160" s="107" t="s">
        <v>1235</v>
      </c>
      <c r="P160" s="107" t="s">
        <v>210</v>
      </c>
      <c r="R160" s="107" t="s">
        <v>915</v>
      </c>
      <c r="T160" s="107" t="s">
        <v>1043</v>
      </c>
      <c r="U160" s="107" t="s">
        <v>1039</v>
      </c>
      <c r="V160" s="107" t="s">
        <v>981</v>
      </c>
      <c r="W160" s="107" t="s">
        <v>1296</v>
      </c>
      <c r="X160" s="107" t="s">
        <v>1235</v>
      </c>
      <c r="Y160" s="107" t="s">
        <v>809</v>
      </c>
      <c r="Z160" s="107">
        <v>33.74</v>
      </c>
      <c r="AA160" s="107" t="s">
        <v>1295</v>
      </c>
    </row>
    <row r="161" spans="11:27" x14ac:dyDescent="0.2">
      <c r="K161" s="107" t="s">
        <v>1043</v>
      </c>
      <c r="L161" s="107" t="s">
        <v>1042</v>
      </c>
      <c r="M161" s="107" t="s">
        <v>981</v>
      </c>
      <c r="N161" s="107" t="s">
        <v>1296</v>
      </c>
      <c r="O161" s="107" t="s">
        <v>1235</v>
      </c>
      <c r="P161" s="107" t="s">
        <v>809</v>
      </c>
      <c r="Q161" s="107">
        <v>34.17</v>
      </c>
      <c r="R161" s="107" t="s">
        <v>915</v>
      </c>
      <c r="T161" s="107" t="s">
        <v>1043</v>
      </c>
      <c r="U161" s="107" t="s">
        <v>1042</v>
      </c>
      <c r="V161" s="107" t="s">
        <v>981</v>
      </c>
      <c r="W161" s="107" t="s">
        <v>1296</v>
      </c>
      <c r="X161" s="107" t="s">
        <v>1235</v>
      </c>
      <c r="Y161" s="107" t="s">
        <v>809</v>
      </c>
      <c r="Z161" s="107">
        <v>34.17</v>
      </c>
      <c r="AA161" s="107" t="s">
        <v>915</v>
      </c>
    </row>
  </sheetData>
  <pageMargins left="0.75" right="0.75" top="1" bottom="1" header="0.5" footer="0.5"/>
  <pageSetup orientation="portrait" horizontalDpi="300" verticalDpi="300" r:id="rId1"/>
  <headerFooter alignWithMargins="0"/>
  <drawing r:id="rId2"/>
  <legacyDrawing r:id="rId3"/>
  <oleObjects>
    <mc:AlternateContent xmlns:mc="http://schemas.openxmlformats.org/markup-compatibility/2006">
      <mc:Choice Requires="x14">
        <oleObject progId="Prism9.Document" shapeId="62465" r:id="rId4">
          <objectPr defaultSize="0" r:id="rId5">
            <anchor moveWithCells="1">
              <from>
                <xdr:col>41</xdr:col>
                <xdr:colOff>171450</xdr:colOff>
                <xdr:row>68</xdr:row>
                <xdr:rowOff>133350</xdr:rowOff>
              </from>
              <to>
                <xdr:col>47</xdr:col>
                <xdr:colOff>152400</xdr:colOff>
                <xdr:row>87</xdr:row>
                <xdr:rowOff>38100</xdr:rowOff>
              </to>
            </anchor>
          </objectPr>
        </oleObject>
      </mc:Choice>
      <mc:Fallback>
        <oleObject progId="Prism9.Document" shapeId="62465" r:id="rId4"/>
      </mc:Fallback>
    </mc:AlternateContent>
    <mc:AlternateContent xmlns:mc="http://schemas.openxmlformats.org/markup-compatibility/2006">
      <mc:Choice Requires="x14">
        <oleObject progId="Prism9.Document" shapeId="62466" r:id="rId6">
          <objectPr defaultSize="0" r:id="rId7">
            <anchor moveWithCells="1">
              <from>
                <xdr:col>45</xdr:col>
                <xdr:colOff>447675</xdr:colOff>
                <xdr:row>99</xdr:row>
                <xdr:rowOff>76200</xdr:rowOff>
              </from>
              <to>
                <xdr:col>53</xdr:col>
                <xdr:colOff>133350</xdr:colOff>
                <xdr:row>115</xdr:row>
                <xdr:rowOff>9525</xdr:rowOff>
              </to>
            </anchor>
          </objectPr>
        </oleObject>
      </mc:Choice>
      <mc:Fallback>
        <oleObject progId="Prism9.Document" shapeId="62466" r:id="rId6"/>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BFEE3-8606-48D8-8683-F278BA2E367E}">
  <sheetPr>
    <outlinePr summaryBelow="0" summaryRight="0"/>
    <pageSetUpPr autoPageBreaks="0" fitToPage="1"/>
  </sheetPr>
  <dimension ref="A1:AB97"/>
  <sheetViews>
    <sheetView topLeftCell="J4" workbookViewId="0">
      <selection activeCell="AB28" sqref="AB28:AB30"/>
    </sheetView>
  </sheetViews>
  <sheetFormatPr defaultRowHeight="12.75" x14ac:dyDescent="0.2"/>
  <cols>
    <col min="1" max="8" width="9.140625" style="107"/>
    <col min="9" max="9" width="14" style="107" customWidth="1"/>
    <col min="10" max="25" width="9.140625" style="107"/>
    <col min="26" max="26" width="12.42578125" style="107" bestFit="1" customWidth="1"/>
    <col min="27" max="27" width="9.140625" style="107"/>
    <col min="28" max="28" width="8.5703125" style="107" customWidth="1"/>
    <col min="29" max="16384" width="9.140625" style="107"/>
  </cols>
  <sheetData>
    <row r="1" spans="1:28" x14ac:dyDescent="0.2">
      <c r="A1" s="107" t="s">
        <v>198</v>
      </c>
      <c r="B1" s="107" t="s">
        <v>199</v>
      </c>
      <c r="C1" s="107" t="s">
        <v>200</v>
      </c>
      <c r="D1" s="107" t="s">
        <v>201</v>
      </c>
      <c r="E1" s="107" t="s">
        <v>202</v>
      </c>
      <c r="G1" s="107" t="s">
        <v>1264</v>
      </c>
      <c r="H1" s="107" t="s">
        <v>198</v>
      </c>
      <c r="I1" s="107" t="s">
        <v>199</v>
      </c>
      <c r="J1" s="107" t="s">
        <v>200</v>
      </c>
      <c r="K1" s="107" t="s">
        <v>201</v>
      </c>
      <c r="L1" s="107" t="s">
        <v>202</v>
      </c>
      <c r="M1" s="107" t="s">
        <v>1228</v>
      </c>
      <c r="N1" s="107" t="s">
        <v>1091</v>
      </c>
    </row>
    <row r="2" spans="1:28" x14ac:dyDescent="0.2">
      <c r="A2" s="107" t="s">
        <v>250</v>
      </c>
      <c r="B2" s="107" t="s">
        <v>981</v>
      </c>
      <c r="C2" s="107" t="s">
        <v>206</v>
      </c>
      <c r="D2" s="107" t="s">
        <v>809</v>
      </c>
      <c r="E2" s="107">
        <v>33.020000000000003</v>
      </c>
      <c r="F2" s="107" t="s">
        <v>220</v>
      </c>
      <c r="G2" s="107" t="s">
        <v>982</v>
      </c>
      <c r="H2" s="107" t="s">
        <v>250</v>
      </c>
      <c r="I2" s="107" t="s">
        <v>981</v>
      </c>
      <c r="J2" s="107" t="s">
        <v>206</v>
      </c>
      <c r="K2" s="107" t="s">
        <v>809</v>
      </c>
      <c r="L2" s="107">
        <v>33.020000000000003</v>
      </c>
      <c r="M2" s="107" t="s">
        <v>1201</v>
      </c>
      <c r="N2" s="107" t="s">
        <v>1265</v>
      </c>
    </row>
    <row r="3" spans="1:28" x14ac:dyDescent="0.2">
      <c r="A3" s="107" t="s">
        <v>250</v>
      </c>
      <c r="B3" s="107" t="s">
        <v>1080</v>
      </c>
      <c r="C3" s="107" t="s">
        <v>206</v>
      </c>
      <c r="D3" s="107" t="s">
        <v>210</v>
      </c>
      <c r="E3" s="107">
        <v>40.67</v>
      </c>
      <c r="F3" s="107" t="s">
        <v>220</v>
      </c>
      <c r="G3" s="107" t="s">
        <v>982</v>
      </c>
      <c r="H3" s="107" t="s">
        <v>251</v>
      </c>
      <c r="I3" s="107" t="s">
        <v>981</v>
      </c>
      <c r="J3" s="107" t="s">
        <v>206</v>
      </c>
      <c r="K3" s="107" t="s">
        <v>809</v>
      </c>
      <c r="L3" s="107">
        <v>32.979999999999997</v>
      </c>
      <c r="M3" s="107" t="s">
        <v>1201</v>
      </c>
      <c r="N3" s="107" t="s">
        <v>1266</v>
      </c>
      <c r="Q3" s="107" t="s">
        <v>1267</v>
      </c>
    </row>
    <row r="4" spans="1:28" x14ac:dyDescent="0.2">
      <c r="A4" s="107" t="s">
        <v>251</v>
      </c>
      <c r="B4" s="107" t="s">
        <v>981</v>
      </c>
      <c r="C4" s="107" t="s">
        <v>206</v>
      </c>
      <c r="D4" s="107" t="s">
        <v>809</v>
      </c>
      <c r="E4" s="107">
        <v>32.979999999999997</v>
      </c>
      <c r="F4" s="107" t="s">
        <v>220</v>
      </c>
      <c r="G4" s="107" t="s">
        <v>982</v>
      </c>
      <c r="H4" s="107" t="s">
        <v>252</v>
      </c>
      <c r="I4" s="107" t="s">
        <v>981</v>
      </c>
      <c r="J4" s="107" t="s">
        <v>206</v>
      </c>
      <c r="K4" s="107" t="s">
        <v>809</v>
      </c>
      <c r="L4" s="107">
        <v>32.99</v>
      </c>
      <c r="M4" s="107" t="s">
        <v>1201</v>
      </c>
      <c r="N4" s="107" t="s">
        <v>1268</v>
      </c>
      <c r="Q4" s="74" t="s">
        <v>199</v>
      </c>
      <c r="R4" s="74" t="s">
        <v>209</v>
      </c>
    </row>
    <row r="5" spans="1:28" x14ac:dyDescent="0.2">
      <c r="A5" s="107" t="s">
        <v>251</v>
      </c>
      <c r="B5" s="107" t="s">
        <v>1080</v>
      </c>
      <c r="C5" s="107" t="s">
        <v>206</v>
      </c>
      <c r="D5" s="107" t="s">
        <v>210</v>
      </c>
      <c r="E5" s="107">
        <v>39.729999999999997</v>
      </c>
      <c r="F5" s="107" t="s">
        <v>220</v>
      </c>
      <c r="G5" s="107" t="s">
        <v>982</v>
      </c>
      <c r="H5" s="107" t="s">
        <v>253</v>
      </c>
      <c r="I5" s="107" t="s">
        <v>981</v>
      </c>
      <c r="J5" s="107" t="s">
        <v>206</v>
      </c>
      <c r="K5" s="107" t="s">
        <v>809</v>
      </c>
      <c r="L5" s="107">
        <v>33.03</v>
      </c>
      <c r="M5" s="107" t="s">
        <v>1201</v>
      </c>
      <c r="N5" s="107" t="s">
        <v>1269</v>
      </c>
    </row>
    <row r="6" spans="1:28" x14ac:dyDescent="0.2">
      <c r="A6" s="107" t="s">
        <v>252</v>
      </c>
      <c r="B6" s="107" t="s">
        <v>981</v>
      </c>
      <c r="C6" s="107" t="s">
        <v>206</v>
      </c>
      <c r="D6" s="107" t="s">
        <v>809</v>
      </c>
      <c r="E6" s="107">
        <v>32.99</v>
      </c>
      <c r="F6" s="107" t="s">
        <v>220</v>
      </c>
      <c r="G6" s="107" t="s">
        <v>982</v>
      </c>
      <c r="H6" s="107" t="s">
        <v>254</v>
      </c>
      <c r="I6" s="107" t="s">
        <v>981</v>
      </c>
      <c r="J6" s="107" t="s">
        <v>206</v>
      </c>
      <c r="K6" s="107" t="s">
        <v>809</v>
      </c>
      <c r="L6" s="107">
        <v>32.39</v>
      </c>
      <c r="M6" s="107" t="s">
        <v>1201</v>
      </c>
      <c r="N6" s="107" t="s">
        <v>1270</v>
      </c>
      <c r="Q6" s="107" t="s">
        <v>1171</v>
      </c>
      <c r="S6" s="107" t="s">
        <v>1091</v>
      </c>
    </row>
    <row r="7" spans="1:28" x14ac:dyDescent="0.2">
      <c r="A7" s="107" t="s">
        <v>252</v>
      </c>
      <c r="B7" s="107" t="s">
        <v>1080</v>
      </c>
      <c r="C7" s="107" t="s">
        <v>206</v>
      </c>
      <c r="D7" s="107" t="s">
        <v>210</v>
      </c>
      <c r="E7" s="107">
        <v>41.96</v>
      </c>
      <c r="F7" s="107" t="s">
        <v>220</v>
      </c>
      <c r="G7" s="107" t="s">
        <v>982</v>
      </c>
      <c r="H7" s="107" t="s">
        <v>255</v>
      </c>
      <c r="I7" s="107" t="s">
        <v>981</v>
      </c>
      <c r="J7" s="107" t="s">
        <v>206</v>
      </c>
      <c r="K7" s="107" t="s">
        <v>809</v>
      </c>
      <c r="L7" s="107">
        <v>33</v>
      </c>
      <c r="M7" s="107" t="s">
        <v>1201</v>
      </c>
      <c r="N7" s="107" t="s">
        <v>1271</v>
      </c>
      <c r="Q7" s="107" t="s">
        <v>1264</v>
      </c>
      <c r="R7" s="107" t="s">
        <v>1228</v>
      </c>
      <c r="S7" s="107" t="s">
        <v>1265</v>
      </c>
      <c r="T7" s="107" t="s">
        <v>1270</v>
      </c>
      <c r="U7" s="107" t="s">
        <v>1266</v>
      </c>
      <c r="V7" s="107" t="s">
        <v>1271</v>
      </c>
      <c r="W7" s="107" t="s">
        <v>1268</v>
      </c>
      <c r="X7" s="107" t="s">
        <v>1272</v>
      </c>
      <c r="Y7" s="107" t="s">
        <v>1269</v>
      </c>
      <c r="Z7" s="107" t="s">
        <v>923</v>
      </c>
    </row>
    <row r="8" spans="1:28" x14ac:dyDescent="0.2">
      <c r="A8" s="107" t="s">
        <v>253</v>
      </c>
      <c r="B8" s="107" t="s">
        <v>981</v>
      </c>
      <c r="C8" s="107" t="s">
        <v>206</v>
      </c>
      <c r="D8" s="107" t="s">
        <v>809</v>
      </c>
      <c r="E8" s="107">
        <v>33.03</v>
      </c>
      <c r="F8" s="107" t="s">
        <v>220</v>
      </c>
      <c r="G8" s="107" t="s">
        <v>982</v>
      </c>
      <c r="H8" s="107" t="s">
        <v>256</v>
      </c>
      <c r="I8" s="107" t="s">
        <v>981</v>
      </c>
      <c r="J8" s="107" t="s">
        <v>206</v>
      </c>
      <c r="K8" s="107" t="s">
        <v>809</v>
      </c>
      <c r="L8" s="107">
        <v>33.549999999999997</v>
      </c>
      <c r="M8" s="107" t="s">
        <v>1201</v>
      </c>
      <c r="N8" s="107" t="s">
        <v>1272</v>
      </c>
      <c r="Q8" s="107" t="s">
        <v>1043</v>
      </c>
      <c r="R8" s="107" t="s">
        <v>1235</v>
      </c>
      <c r="S8" s="107">
        <v>0</v>
      </c>
      <c r="T8" s="107">
        <v>39.270000000000003</v>
      </c>
      <c r="U8" s="107">
        <v>0</v>
      </c>
      <c r="V8" s="107">
        <v>0</v>
      </c>
      <c r="W8" s="107">
        <v>0</v>
      </c>
      <c r="X8" s="107">
        <v>39.229999999999997</v>
      </c>
      <c r="Y8" s="107">
        <v>0</v>
      </c>
      <c r="Z8" s="107">
        <v>39.270000000000003</v>
      </c>
    </row>
    <row r="9" spans="1:28" x14ac:dyDescent="0.2">
      <c r="A9" s="107" t="s">
        <v>253</v>
      </c>
      <c r="B9" s="107" t="s">
        <v>1080</v>
      </c>
      <c r="C9" s="107" t="s">
        <v>206</v>
      </c>
      <c r="D9" s="107" t="s">
        <v>210</v>
      </c>
      <c r="E9" s="107" t="s">
        <v>220</v>
      </c>
      <c r="F9" s="107" t="s">
        <v>220</v>
      </c>
      <c r="G9" s="107" t="s">
        <v>982</v>
      </c>
      <c r="H9" s="107" t="s">
        <v>257</v>
      </c>
      <c r="I9" s="107" t="s">
        <v>981</v>
      </c>
      <c r="J9" s="107" t="s">
        <v>206</v>
      </c>
      <c r="K9" s="107" t="s">
        <v>809</v>
      </c>
      <c r="L9" s="107">
        <v>33.04</v>
      </c>
      <c r="M9" s="107" t="s">
        <v>1201</v>
      </c>
      <c r="N9" s="107" t="s">
        <v>915</v>
      </c>
      <c r="R9" s="107" t="s">
        <v>1236</v>
      </c>
      <c r="S9" s="107">
        <v>34.99</v>
      </c>
      <c r="T9" s="107">
        <v>0</v>
      </c>
      <c r="U9" s="107">
        <v>0</v>
      </c>
      <c r="V9" s="107">
        <v>0</v>
      </c>
      <c r="W9" s="107">
        <v>0</v>
      </c>
      <c r="X9" s="107">
        <v>36.08</v>
      </c>
      <c r="Y9" s="107">
        <v>0</v>
      </c>
      <c r="Z9" s="107">
        <v>36.08</v>
      </c>
    </row>
    <row r="10" spans="1:28" x14ac:dyDescent="0.2">
      <c r="A10" s="107" t="s">
        <v>254</v>
      </c>
      <c r="B10" s="107" t="s">
        <v>981</v>
      </c>
      <c r="C10" s="107" t="s">
        <v>206</v>
      </c>
      <c r="D10" s="107" t="s">
        <v>809</v>
      </c>
      <c r="E10" s="107">
        <v>32.39</v>
      </c>
      <c r="F10" s="107" t="s">
        <v>220</v>
      </c>
      <c r="G10" s="107" t="s">
        <v>982</v>
      </c>
      <c r="H10" s="107" t="s">
        <v>262</v>
      </c>
      <c r="I10" s="107" t="s">
        <v>981</v>
      </c>
      <c r="J10" s="107" t="s">
        <v>206</v>
      </c>
      <c r="K10" s="107" t="s">
        <v>809</v>
      </c>
      <c r="L10" s="107">
        <v>34.049999999999997</v>
      </c>
      <c r="M10" s="107" t="s">
        <v>1202</v>
      </c>
      <c r="N10" s="107" t="s">
        <v>1265</v>
      </c>
      <c r="Q10" s="107" t="s">
        <v>1273</v>
      </c>
      <c r="S10" s="107">
        <v>34.99</v>
      </c>
      <c r="T10" s="107">
        <v>39.270000000000003</v>
      </c>
      <c r="U10" s="107">
        <v>0</v>
      </c>
      <c r="V10" s="107">
        <v>0</v>
      </c>
      <c r="W10" s="107">
        <v>0</v>
      </c>
      <c r="X10" s="107">
        <v>39.229999999999997</v>
      </c>
      <c r="Y10" s="107">
        <v>0</v>
      </c>
      <c r="Z10" s="107">
        <v>39.270000000000003</v>
      </c>
    </row>
    <row r="11" spans="1:28" x14ac:dyDescent="0.2">
      <c r="A11" s="107" t="s">
        <v>254</v>
      </c>
      <c r="B11" s="107" t="s">
        <v>1080</v>
      </c>
      <c r="C11" s="107" t="s">
        <v>206</v>
      </c>
      <c r="D11" s="107" t="s">
        <v>210</v>
      </c>
      <c r="E11" s="107">
        <v>34.909999999999997</v>
      </c>
      <c r="F11" s="107" t="s">
        <v>220</v>
      </c>
      <c r="G11" s="107" t="s">
        <v>982</v>
      </c>
      <c r="H11" s="107" t="s">
        <v>263</v>
      </c>
      <c r="I11" s="107" t="s">
        <v>981</v>
      </c>
      <c r="J11" s="107" t="s">
        <v>206</v>
      </c>
      <c r="K11" s="107" t="s">
        <v>809</v>
      </c>
      <c r="L11" s="107">
        <v>32.69</v>
      </c>
      <c r="M11" s="107" t="s">
        <v>1202</v>
      </c>
      <c r="N11" s="107" t="s">
        <v>1266</v>
      </c>
      <c r="Q11" s="107" t="s">
        <v>982</v>
      </c>
      <c r="R11" s="107" t="s">
        <v>1201</v>
      </c>
      <c r="S11" s="107">
        <v>40.67</v>
      </c>
      <c r="T11" s="107">
        <v>34.909999999999997</v>
      </c>
      <c r="U11" s="107">
        <v>39.729999999999997</v>
      </c>
      <c r="V11" s="107">
        <v>0</v>
      </c>
      <c r="W11" s="107">
        <v>41.96</v>
      </c>
      <c r="X11" s="107">
        <v>0</v>
      </c>
      <c r="Y11" s="107">
        <v>0</v>
      </c>
      <c r="Z11" s="107">
        <v>41.96</v>
      </c>
    </row>
    <row r="12" spans="1:28" x14ac:dyDescent="0.2">
      <c r="A12" s="107" t="s">
        <v>255</v>
      </c>
      <c r="B12" s="107" t="s">
        <v>981</v>
      </c>
      <c r="C12" s="107" t="s">
        <v>206</v>
      </c>
      <c r="D12" s="107" t="s">
        <v>809</v>
      </c>
      <c r="E12" s="107">
        <v>33</v>
      </c>
      <c r="F12" s="107" t="s">
        <v>220</v>
      </c>
      <c r="G12" s="107" t="s">
        <v>982</v>
      </c>
      <c r="H12" s="107" t="s">
        <v>264</v>
      </c>
      <c r="I12" s="107" t="s">
        <v>981</v>
      </c>
      <c r="J12" s="107" t="s">
        <v>206</v>
      </c>
      <c r="K12" s="107" t="s">
        <v>809</v>
      </c>
      <c r="L12" s="107">
        <v>32.590000000000003</v>
      </c>
      <c r="M12" s="107" t="s">
        <v>1202</v>
      </c>
      <c r="N12" s="107" t="s">
        <v>1268</v>
      </c>
      <c r="R12" s="107" t="s">
        <v>1202</v>
      </c>
      <c r="S12" s="107">
        <v>38.5</v>
      </c>
      <c r="T12" s="107">
        <v>37.25</v>
      </c>
      <c r="U12" s="107">
        <v>0</v>
      </c>
      <c r="V12" s="107">
        <v>35.92</v>
      </c>
      <c r="W12" s="107">
        <v>0</v>
      </c>
      <c r="X12" s="107">
        <v>0</v>
      </c>
      <c r="Y12" s="107">
        <v>0</v>
      </c>
      <c r="Z12" s="107">
        <v>38.5</v>
      </c>
    </row>
    <row r="13" spans="1:28" x14ac:dyDescent="0.2">
      <c r="A13" s="107" t="s">
        <v>255</v>
      </c>
      <c r="B13" s="107" t="s">
        <v>1080</v>
      </c>
      <c r="C13" s="107" t="s">
        <v>206</v>
      </c>
      <c r="D13" s="107" t="s">
        <v>210</v>
      </c>
      <c r="E13" s="107" t="s">
        <v>220</v>
      </c>
      <c r="F13" s="107" t="s">
        <v>220</v>
      </c>
      <c r="G13" s="107" t="s">
        <v>982</v>
      </c>
      <c r="H13" s="107" t="s">
        <v>265</v>
      </c>
      <c r="I13" s="107" t="s">
        <v>981</v>
      </c>
      <c r="J13" s="107" t="s">
        <v>206</v>
      </c>
      <c r="K13" s="107" t="s">
        <v>809</v>
      </c>
      <c r="L13" s="107">
        <v>33.03</v>
      </c>
      <c r="M13" s="107" t="s">
        <v>1202</v>
      </c>
      <c r="N13" s="107" t="s">
        <v>1269</v>
      </c>
      <c r="R13" s="107" t="s">
        <v>1203</v>
      </c>
      <c r="S13" s="107">
        <v>36.67</v>
      </c>
      <c r="T13" s="107">
        <v>37.08</v>
      </c>
      <c r="U13" s="107">
        <v>36.17</v>
      </c>
      <c r="V13" s="107">
        <v>0</v>
      </c>
      <c r="W13" s="107">
        <v>0</v>
      </c>
      <c r="X13" s="107">
        <v>0</v>
      </c>
      <c r="Y13" s="107">
        <v>38.49</v>
      </c>
      <c r="Z13" s="107">
        <v>38.49</v>
      </c>
      <c r="AB13" s="107" t="s">
        <v>1274</v>
      </c>
    </row>
    <row r="14" spans="1:28" x14ac:dyDescent="0.2">
      <c r="A14" s="107" t="s">
        <v>256</v>
      </c>
      <c r="B14" s="107" t="s">
        <v>981</v>
      </c>
      <c r="C14" s="107" t="s">
        <v>206</v>
      </c>
      <c r="D14" s="107" t="s">
        <v>809</v>
      </c>
      <c r="E14" s="107">
        <v>33.549999999999997</v>
      </c>
      <c r="F14" s="107" t="s">
        <v>220</v>
      </c>
      <c r="G14" s="107" t="s">
        <v>982</v>
      </c>
      <c r="H14" s="107" t="s">
        <v>266</v>
      </c>
      <c r="I14" s="107" t="s">
        <v>981</v>
      </c>
      <c r="J14" s="107" t="s">
        <v>206</v>
      </c>
      <c r="K14" s="107" t="s">
        <v>809</v>
      </c>
      <c r="L14" s="107">
        <v>33.450000000000003</v>
      </c>
      <c r="M14" s="107" t="s">
        <v>1202</v>
      </c>
      <c r="N14" s="107" t="s">
        <v>1270</v>
      </c>
      <c r="R14" s="107" t="s">
        <v>1205</v>
      </c>
      <c r="S14" s="107">
        <v>38.74</v>
      </c>
      <c r="T14" s="107">
        <v>38.72</v>
      </c>
      <c r="U14" s="107">
        <v>36.36</v>
      </c>
      <c r="V14" s="107">
        <v>0</v>
      </c>
      <c r="W14" s="107">
        <v>0</v>
      </c>
      <c r="X14" s="107">
        <v>38.46</v>
      </c>
      <c r="Y14" s="107">
        <v>0</v>
      </c>
      <c r="Z14" s="107">
        <v>38.74</v>
      </c>
    </row>
    <row r="15" spans="1:28" x14ac:dyDescent="0.2">
      <c r="A15" s="107" t="s">
        <v>256</v>
      </c>
      <c r="B15" s="107" t="s">
        <v>1080</v>
      </c>
      <c r="C15" s="107" t="s">
        <v>206</v>
      </c>
      <c r="D15" s="107" t="s">
        <v>210</v>
      </c>
      <c r="E15" s="107" t="s">
        <v>220</v>
      </c>
      <c r="F15" s="107" t="s">
        <v>220</v>
      </c>
      <c r="G15" s="107" t="s">
        <v>982</v>
      </c>
      <c r="H15" s="107" t="s">
        <v>267</v>
      </c>
      <c r="I15" s="107" t="s">
        <v>981</v>
      </c>
      <c r="J15" s="107" t="s">
        <v>206</v>
      </c>
      <c r="K15" s="107" t="s">
        <v>809</v>
      </c>
      <c r="L15" s="107">
        <v>32.229999999999997</v>
      </c>
      <c r="M15" s="107" t="s">
        <v>1202</v>
      </c>
      <c r="N15" s="107" t="s">
        <v>1271</v>
      </c>
      <c r="Q15" s="107" t="s">
        <v>1275</v>
      </c>
      <c r="S15" s="107">
        <v>40.67</v>
      </c>
      <c r="T15" s="107">
        <v>38.72</v>
      </c>
      <c r="U15" s="107">
        <v>39.729999999999997</v>
      </c>
      <c r="V15" s="107">
        <v>35.92</v>
      </c>
      <c r="W15" s="107">
        <v>41.96</v>
      </c>
      <c r="X15" s="107">
        <v>38.46</v>
      </c>
      <c r="Y15" s="107">
        <v>38.49</v>
      </c>
      <c r="Z15" s="107">
        <v>41.96</v>
      </c>
    </row>
    <row r="16" spans="1:28" x14ac:dyDescent="0.2">
      <c r="A16" s="107" t="s">
        <v>257</v>
      </c>
      <c r="B16" s="107" t="s">
        <v>981</v>
      </c>
      <c r="C16" s="107" t="s">
        <v>206</v>
      </c>
      <c r="D16" s="107" t="s">
        <v>809</v>
      </c>
      <c r="E16" s="107">
        <v>33.04</v>
      </c>
      <c r="F16" s="107" t="s">
        <v>220</v>
      </c>
      <c r="G16" s="107" t="s">
        <v>982</v>
      </c>
      <c r="H16" s="107" t="s">
        <v>268</v>
      </c>
      <c r="I16" s="107" t="s">
        <v>981</v>
      </c>
      <c r="J16" s="107" t="s">
        <v>206</v>
      </c>
      <c r="K16" s="107" t="s">
        <v>809</v>
      </c>
      <c r="L16" s="107">
        <v>32.6</v>
      </c>
      <c r="M16" s="107" t="s">
        <v>1202</v>
      </c>
      <c r="N16" s="107" t="s">
        <v>1272</v>
      </c>
      <c r="Q16" s="107" t="s">
        <v>923</v>
      </c>
      <c r="S16" s="107">
        <v>40.67</v>
      </c>
      <c r="T16" s="107">
        <v>39.270000000000003</v>
      </c>
      <c r="U16" s="107">
        <v>39.729999999999997</v>
      </c>
      <c r="V16" s="107">
        <v>35.92</v>
      </c>
      <c r="W16" s="107">
        <v>41.96</v>
      </c>
      <c r="X16" s="107">
        <v>39.229999999999997</v>
      </c>
      <c r="Y16" s="107">
        <v>38.49</v>
      </c>
      <c r="Z16" s="107">
        <v>41.96</v>
      </c>
    </row>
    <row r="17" spans="1:28" x14ac:dyDescent="0.2">
      <c r="A17" s="107" t="s">
        <v>257</v>
      </c>
      <c r="B17" s="107" t="s">
        <v>1080</v>
      </c>
      <c r="C17" s="107" t="s">
        <v>206</v>
      </c>
      <c r="D17" s="107" t="s">
        <v>210</v>
      </c>
      <c r="E17" s="107">
        <v>37.15</v>
      </c>
      <c r="F17" s="107" t="s">
        <v>220</v>
      </c>
      <c r="G17" s="107" t="s">
        <v>982</v>
      </c>
      <c r="H17" s="107" t="s">
        <v>270</v>
      </c>
      <c r="I17" s="107" t="s">
        <v>981</v>
      </c>
      <c r="J17" s="107" t="s">
        <v>206</v>
      </c>
      <c r="K17" s="107" t="s">
        <v>809</v>
      </c>
      <c r="L17" s="107">
        <v>33.840000000000003</v>
      </c>
      <c r="M17" s="107" t="s">
        <v>1202</v>
      </c>
      <c r="N17" s="107" t="s">
        <v>915</v>
      </c>
    </row>
    <row r="18" spans="1:28" x14ac:dyDescent="0.2">
      <c r="A18" s="107" t="s">
        <v>262</v>
      </c>
      <c r="B18" s="107" t="s">
        <v>981</v>
      </c>
      <c r="C18" s="107" t="s">
        <v>206</v>
      </c>
      <c r="D18" s="107" t="s">
        <v>809</v>
      </c>
      <c r="E18" s="107">
        <v>34.049999999999997</v>
      </c>
      <c r="F18" s="107" t="s">
        <v>220</v>
      </c>
      <c r="G18" s="107" t="s">
        <v>982</v>
      </c>
      <c r="H18" s="107" t="s">
        <v>276</v>
      </c>
      <c r="I18" s="107" t="s">
        <v>981</v>
      </c>
      <c r="J18" s="107" t="s">
        <v>206</v>
      </c>
      <c r="K18" s="107" t="s">
        <v>809</v>
      </c>
      <c r="L18" s="107">
        <v>32.75</v>
      </c>
      <c r="M18" s="107" t="s">
        <v>1203</v>
      </c>
      <c r="N18" s="107" t="s">
        <v>1265</v>
      </c>
      <c r="S18" s="107" t="s">
        <v>982</v>
      </c>
    </row>
    <row r="19" spans="1:28" x14ac:dyDescent="0.2">
      <c r="A19" s="107" t="s">
        <v>262</v>
      </c>
      <c r="B19" s="107" t="s">
        <v>1080</v>
      </c>
      <c r="C19" s="107" t="s">
        <v>206</v>
      </c>
      <c r="D19" s="107" t="s">
        <v>210</v>
      </c>
      <c r="E19" s="107">
        <v>38.5</v>
      </c>
      <c r="F19" s="107" t="s">
        <v>220</v>
      </c>
      <c r="G19" s="107" t="s">
        <v>982</v>
      </c>
      <c r="H19" s="107" t="s">
        <v>277</v>
      </c>
      <c r="I19" s="107" t="s">
        <v>981</v>
      </c>
      <c r="J19" s="107" t="s">
        <v>206</v>
      </c>
      <c r="K19" s="107" t="s">
        <v>809</v>
      </c>
      <c r="L19" s="107">
        <v>32.85</v>
      </c>
      <c r="M19" s="107" t="s">
        <v>1203</v>
      </c>
      <c r="N19" s="107" t="s">
        <v>1266</v>
      </c>
      <c r="S19" s="107" t="s">
        <v>1265</v>
      </c>
      <c r="T19" s="107" t="s">
        <v>1266</v>
      </c>
      <c r="U19" s="107" t="s">
        <v>1268</v>
      </c>
      <c r="V19" s="107" t="s">
        <v>1269</v>
      </c>
    </row>
    <row r="20" spans="1:28" x14ac:dyDescent="0.2">
      <c r="A20" s="107" t="s">
        <v>263</v>
      </c>
      <c r="B20" s="107" t="s">
        <v>981</v>
      </c>
      <c r="C20" s="107" t="s">
        <v>206</v>
      </c>
      <c r="D20" s="107" t="s">
        <v>809</v>
      </c>
      <c r="E20" s="107">
        <v>32.69</v>
      </c>
      <c r="F20" s="107" t="s">
        <v>220</v>
      </c>
      <c r="G20" s="107" t="s">
        <v>982</v>
      </c>
      <c r="H20" s="107" t="s">
        <v>278</v>
      </c>
      <c r="I20" s="107" t="s">
        <v>981</v>
      </c>
      <c r="J20" s="107" t="s">
        <v>206</v>
      </c>
      <c r="K20" s="107" t="s">
        <v>809</v>
      </c>
      <c r="L20" s="107">
        <v>32.74</v>
      </c>
      <c r="M20" s="107" t="s">
        <v>1203</v>
      </c>
      <c r="N20" s="107" t="s">
        <v>1268</v>
      </c>
      <c r="Q20" s="325" t="s">
        <v>1276</v>
      </c>
      <c r="R20" s="325"/>
      <c r="S20" s="265">
        <v>8</v>
      </c>
      <c r="T20" s="265">
        <v>8</v>
      </c>
      <c r="U20" s="265">
        <v>8</v>
      </c>
      <c r="V20" s="265">
        <v>8</v>
      </c>
    </row>
    <row r="21" spans="1:28" x14ac:dyDescent="0.2">
      <c r="A21" s="107" t="s">
        <v>263</v>
      </c>
      <c r="B21" s="107" t="s">
        <v>1080</v>
      </c>
      <c r="C21" s="107" t="s">
        <v>206</v>
      </c>
      <c r="D21" s="107" t="s">
        <v>210</v>
      </c>
      <c r="E21" s="107" t="s">
        <v>220</v>
      </c>
      <c r="F21" s="107" t="s">
        <v>220</v>
      </c>
      <c r="G21" s="107" t="s">
        <v>982</v>
      </c>
      <c r="H21" s="107" t="s">
        <v>279</v>
      </c>
      <c r="I21" s="107" t="s">
        <v>981</v>
      </c>
      <c r="J21" s="107" t="s">
        <v>206</v>
      </c>
      <c r="K21" s="107" t="s">
        <v>809</v>
      </c>
      <c r="L21" s="107">
        <v>33.44</v>
      </c>
      <c r="M21" s="107" t="s">
        <v>1203</v>
      </c>
      <c r="N21" s="107" t="s">
        <v>1269</v>
      </c>
      <c r="Q21" s="325" t="s">
        <v>1277</v>
      </c>
      <c r="R21" s="325"/>
      <c r="S21" s="265">
        <v>8</v>
      </c>
      <c r="T21" s="265">
        <v>4</v>
      </c>
      <c r="U21" s="265">
        <v>2</v>
      </c>
      <c r="V21" s="265">
        <v>0</v>
      </c>
    </row>
    <row r="22" spans="1:28" ht="15" x14ac:dyDescent="0.25">
      <c r="A22" s="107" t="s">
        <v>264</v>
      </c>
      <c r="B22" s="107" t="s">
        <v>981</v>
      </c>
      <c r="C22" s="107" t="s">
        <v>206</v>
      </c>
      <c r="D22" s="107" t="s">
        <v>809</v>
      </c>
      <c r="E22" s="107">
        <v>32.590000000000003</v>
      </c>
      <c r="F22" s="107" t="s">
        <v>220</v>
      </c>
      <c r="G22" s="107" t="s">
        <v>982</v>
      </c>
      <c r="H22" s="107" t="s">
        <v>280</v>
      </c>
      <c r="I22" s="107" t="s">
        <v>981</v>
      </c>
      <c r="J22" s="107" t="s">
        <v>206</v>
      </c>
      <c r="K22" s="107" t="s">
        <v>809</v>
      </c>
      <c r="L22" s="107">
        <v>32.31</v>
      </c>
      <c r="M22" s="107" t="s">
        <v>1203</v>
      </c>
      <c r="N22" s="107" t="s">
        <v>1270</v>
      </c>
      <c r="Q22" s="325" t="s">
        <v>1114</v>
      </c>
      <c r="R22" s="325"/>
      <c r="S22" s="190">
        <f>S21/S20</f>
        <v>1</v>
      </c>
      <c r="T22" s="190">
        <f t="shared" ref="T22:V22" si="0">T21/T20</f>
        <v>0.5</v>
      </c>
      <c r="U22" s="190">
        <f t="shared" si="0"/>
        <v>0.25</v>
      </c>
      <c r="V22" s="190">
        <f t="shared" si="0"/>
        <v>0</v>
      </c>
    </row>
    <row r="23" spans="1:28" x14ac:dyDescent="0.2">
      <c r="A23" s="107" t="s">
        <v>264</v>
      </c>
      <c r="B23" s="107" t="s">
        <v>1080</v>
      </c>
      <c r="C23" s="107" t="s">
        <v>206</v>
      </c>
      <c r="D23" s="107" t="s">
        <v>210</v>
      </c>
      <c r="E23" s="107" t="s">
        <v>220</v>
      </c>
      <c r="F23" s="107" t="s">
        <v>220</v>
      </c>
      <c r="G23" s="107" t="s">
        <v>982</v>
      </c>
      <c r="H23" s="107" t="s">
        <v>281</v>
      </c>
      <c r="I23" s="107" t="s">
        <v>981</v>
      </c>
      <c r="J23" s="107" t="s">
        <v>206</v>
      </c>
      <c r="K23" s="107" t="s">
        <v>809</v>
      </c>
      <c r="L23" s="107">
        <v>32.630000000000003</v>
      </c>
      <c r="M23" s="107" t="s">
        <v>1203</v>
      </c>
      <c r="N23" s="107" t="s">
        <v>1271</v>
      </c>
    </row>
    <row r="24" spans="1:28" x14ac:dyDescent="0.2">
      <c r="A24" s="107" t="s">
        <v>265</v>
      </c>
      <c r="B24" s="107" t="s">
        <v>981</v>
      </c>
      <c r="C24" s="107" t="s">
        <v>206</v>
      </c>
      <c r="D24" s="107" t="s">
        <v>809</v>
      </c>
      <c r="E24" s="107">
        <v>33.03</v>
      </c>
      <c r="F24" s="107" t="s">
        <v>220</v>
      </c>
      <c r="G24" s="107" t="s">
        <v>982</v>
      </c>
      <c r="H24" s="107" t="s">
        <v>282</v>
      </c>
      <c r="I24" s="107" t="s">
        <v>981</v>
      </c>
      <c r="J24" s="107" t="s">
        <v>206</v>
      </c>
      <c r="K24" s="107" t="s">
        <v>809</v>
      </c>
      <c r="L24" s="107">
        <v>33.119999999999997</v>
      </c>
      <c r="M24" s="107" t="s">
        <v>1203</v>
      </c>
      <c r="N24" s="107" t="s">
        <v>1272</v>
      </c>
    </row>
    <row r="25" spans="1:28" ht="60" x14ac:dyDescent="0.2">
      <c r="A25" s="107" t="s">
        <v>265</v>
      </c>
      <c r="B25" s="107" t="s">
        <v>1080</v>
      </c>
      <c r="C25" s="107" t="s">
        <v>206</v>
      </c>
      <c r="D25" s="107" t="s">
        <v>210</v>
      </c>
      <c r="E25" s="107" t="s">
        <v>220</v>
      </c>
      <c r="F25" s="107" t="s">
        <v>220</v>
      </c>
      <c r="G25" s="107" t="s">
        <v>982</v>
      </c>
      <c r="H25" s="107" t="s">
        <v>283</v>
      </c>
      <c r="I25" s="107" t="s">
        <v>981</v>
      </c>
      <c r="J25" s="107" t="s">
        <v>206</v>
      </c>
      <c r="K25" s="107" t="s">
        <v>809</v>
      </c>
      <c r="L25" s="107">
        <v>33.869999999999997</v>
      </c>
      <c r="M25" s="107" t="s">
        <v>1203</v>
      </c>
      <c r="N25" s="107" t="s">
        <v>915</v>
      </c>
      <c r="Q25" s="262" t="s">
        <v>20</v>
      </c>
      <c r="R25" s="263" t="s">
        <v>21</v>
      </c>
      <c r="S25" s="263" t="s">
        <v>1230</v>
      </c>
      <c r="T25" s="264" t="s">
        <v>1231</v>
      </c>
    </row>
    <row r="26" spans="1:28" x14ac:dyDescent="0.2">
      <c r="A26" s="107" t="s">
        <v>266</v>
      </c>
      <c r="B26" s="107" t="s">
        <v>981</v>
      </c>
      <c r="C26" s="107" t="s">
        <v>206</v>
      </c>
      <c r="D26" s="107" t="s">
        <v>809</v>
      </c>
      <c r="E26" s="107">
        <v>33.450000000000003</v>
      </c>
      <c r="F26" s="107" t="s">
        <v>220</v>
      </c>
      <c r="G26" s="107" t="s">
        <v>982</v>
      </c>
      <c r="H26" s="107" t="s">
        <v>288</v>
      </c>
      <c r="I26" s="107" t="s">
        <v>981</v>
      </c>
      <c r="J26" s="107" t="s">
        <v>206</v>
      </c>
      <c r="K26" s="107" t="s">
        <v>809</v>
      </c>
      <c r="L26" s="107">
        <v>34.15</v>
      </c>
      <c r="M26" s="107" t="s">
        <v>1205</v>
      </c>
      <c r="N26" s="107" t="s">
        <v>1265</v>
      </c>
      <c r="Q26" s="256" t="s">
        <v>54</v>
      </c>
      <c r="R26" s="257">
        <v>95.759014500192478</v>
      </c>
      <c r="S26" s="258">
        <v>2306643141280637</v>
      </c>
      <c r="T26" s="259">
        <v>46132862825612.742</v>
      </c>
    </row>
    <row r="27" spans="1:28" x14ac:dyDescent="0.2">
      <c r="A27" s="107" t="s">
        <v>266</v>
      </c>
      <c r="B27" s="107" t="s">
        <v>1080</v>
      </c>
      <c r="C27" s="107" t="s">
        <v>206</v>
      </c>
      <c r="D27" s="107" t="s">
        <v>210</v>
      </c>
      <c r="E27" s="107">
        <v>37.25</v>
      </c>
      <c r="F27" s="107" t="s">
        <v>220</v>
      </c>
      <c r="G27" s="107" t="s">
        <v>982</v>
      </c>
      <c r="H27" s="107" t="s">
        <v>289</v>
      </c>
      <c r="I27" s="107" t="s">
        <v>981</v>
      </c>
      <c r="J27" s="107" t="s">
        <v>206</v>
      </c>
      <c r="K27" s="107" t="s">
        <v>809</v>
      </c>
      <c r="L27" s="107">
        <v>33.21</v>
      </c>
      <c r="M27" s="107" t="s">
        <v>1205</v>
      </c>
      <c r="N27" s="107" t="s">
        <v>1266</v>
      </c>
      <c r="Q27" s="252"/>
      <c r="R27" s="253"/>
      <c r="S27" s="254"/>
      <c r="T27" s="255"/>
    </row>
    <row r="28" spans="1:28" x14ac:dyDescent="0.2">
      <c r="A28" s="107" t="s">
        <v>267</v>
      </c>
      <c r="B28" s="107" t="s">
        <v>981</v>
      </c>
      <c r="C28" s="107" t="s">
        <v>206</v>
      </c>
      <c r="D28" s="107" t="s">
        <v>809</v>
      </c>
      <c r="E28" s="107">
        <v>32.229999999999997</v>
      </c>
      <c r="F28" s="107" t="s">
        <v>220</v>
      </c>
      <c r="G28" s="107" t="s">
        <v>982</v>
      </c>
      <c r="H28" s="107" t="s">
        <v>290</v>
      </c>
      <c r="I28" s="107" t="s">
        <v>981</v>
      </c>
      <c r="J28" s="107" t="s">
        <v>206</v>
      </c>
      <c r="K28" s="107" t="s">
        <v>809</v>
      </c>
      <c r="L28" s="107">
        <v>33.28</v>
      </c>
      <c r="M28" s="107" t="s">
        <v>1205</v>
      </c>
      <c r="N28" s="107" t="s">
        <v>1268</v>
      </c>
      <c r="Q28" s="256" t="s">
        <v>1097</v>
      </c>
      <c r="R28" s="257">
        <v>0.95759014500192474</v>
      </c>
      <c r="S28" s="258">
        <v>576660785320159.25</v>
      </c>
      <c r="T28" s="259">
        <v>11533215706403.186</v>
      </c>
      <c r="X28" s="107">
        <f>95-12.7</f>
        <v>82.3</v>
      </c>
      <c r="Y28" s="107">
        <v>-11.382199999999999</v>
      </c>
      <c r="Z28" s="107">
        <f>10^Y28</f>
        <v>4.1476299322992123E-12</v>
      </c>
      <c r="AA28" s="107">
        <f>Z28*0.001/1000000*6.022E+23</f>
        <v>2497.7027452305856</v>
      </c>
      <c r="AB28" s="193">
        <f>AA28/1000*20</f>
        <v>49.954054904611709</v>
      </c>
    </row>
    <row r="29" spans="1:28" ht="15" x14ac:dyDescent="0.25">
      <c r="A29" s="107" t="s">
        <v>267</v>
      </c>
      <c r="B29" s="107" t="s">
        <v>1080</v>
      </c>
      <c r="C29" s="107" t="s">
        <v>206</v>
      </c>
      <c r="D29" s="107" t="s">
        <v>210</v>
      </c>
      <c r="E29" s="107">
        <v>35.92</v>
      </c>
      <c r="F29" s="107" t="s">
        <v>220</v>
      </c>
      <c r="G29" s="107" t="s">
        <v>982</v>
      </c>
      <c r="H29" s="107" t="s">
        <v>291</v>
      </c>
      <c r="I29" s="107" t="s">
        <v>981</v>
      </c>
      <c r="J29" s="107" t="s">
        <v>206</v>
      </c>
      <c r="K29" s="107" t="s">
        <v>809</v>
      </c>
      <c r="L29" s="107">
        <v>32.869999999999997</v>
      </c>
      <c r="M29" s="107" t="s">
        <v>1205</v>
      </c>
      <c r="N29" s="107" t="s">
        <v>1269</v>
      </c>
      <c r="Q29" s="252" t="s">
        <v>1098</v>
      </c>
      <c r="R29" s="253">
        <v>9.5759014500192474E-2</v>
      </c>
      <c r="S29" s="254">
        <v>57666078532015.922</v>
      </c>
      <c r="T29" s="255">
        <v>1153321570640.3184</v>
      </c>
      <c r="X29" s="266">
        <v>95</v>
      </c>
      <c r="Y29" s="107">
        <v>-10.765599999999999</v>
      </c>
      <c r="Z29" s="107">
        <f>10^Y29</f>
        <v>1.7155366477283458E-11</v>
      </c>
      <c r="AA29" s="107">
        <f>Z29*0.001/1000000*6.022E+23</f>
        <v>10330.9616926201</v>
      </c>
      <c r="AB29" s="193">
        <f>AA29/1000*20</f>
        <v>206.619233852402</v>
      </c>
    </row>
    <row r="30" spans="1:28" x14ac:dyDescent="0.2">
      <c r="A30" s="107" t="s">
        <v>268</v>
      </c>
      <c r="B30" s="107" t="s">
        <v>981</v>
      </c>
      <c r="C30" s="107" t="s">
        <v>206</v>
      </c>
      <c r="D30" s="107" t="s">
        <v>809</v>
      </c>
      <c r="E30" s="107">
        <v>32.6</v>
      </c>
      <c r="F30" s="107" t="s">
        <v>220</v>
      </c>
      <c r="G30" s="107" t="s">
        <v>982</v>
      </c>
      <c r="H30" s="107" t="s">
        <v>292</v>
      </c>
      <c r="I30" s="107" t="s">
        <v>981</v>
      </c>
      <c r="J30" s="107" t="s">
        <v>206</v>
      </c>
      <c r="K30" s="107" t="s">
        <v>809</v>
      </c>
      <c r="L30" s="107">
        <v>33.049999999999997</v>
      </c>
      <c r="M30" s="107" t="s">
        <v>1205</v>
      </c>
      <c r="N30" s="107" t="s">
        <v>1270</v>
      </c>
      <c r="Q30" s="256" t="s">
        <v>1099</v>
      </c>
      <c r="R30" s="257">
        <v>9.5759014500192471E-3</v>
      </c>
      <c r="S30" s="258">
        <v>5766607853201.5918</v>
      </c>
      <c r="T30" s="259">
        <v>115332157064.03183</v>
      </c>
      <c r="X30" s="107">
        <f>100</f>
        <v>100</v>
      </c>
      <c r="Y30" s="107">
        <v>-10.1419</v>
      </c>
      <c r="Z30" s="107">
        <f>10^Y30</f>
        <v>7.2127353943375854E-11</v>
      </c>
      <c r="AA30" s="107">
        <f>Z30*0.001/1000000*6.022E+23</f>
        <v>43435.092544700943</v>
      </c>
      <c r="AB30" s="193">
        <f>AA30/1000*20</f>
        <v>868.70185089401889</v>
      </c>
    </row>
    <row r="31" spans="1:28" x14ac:dyDescent="0.2">
      <c r="A31" s="107" t="s">
        <v>268</v>
      </c>
      <c r="B31" s="107" t="s">
        <v>1080</v>
      </c>
      <c r="C31" s="107" t="s">
        <v>206</v>
      </c>
      <c r="D31" s="107" t="s">
        <v>210</v>
      </c>
      <c r="E31" s="107" t="s">
        <v>220</v>
      </c>
      <c r="F31" s="107" t="s">
        <v>220</v>
      </c>
      <c r="G31" s="107" t="s">
        <v>982</v>
      </c>
      <c r="H31" s="107" t="s">
        <v>293</v>
      </c>
      <c r="I31" s="107" t="s">
        <v>981</v>
      </c>
      <c r="J31" s="107" t="s">
        <v>206</v>
      </c>
      <c r="K31" s="107" t="s">
        <v>809</v>
      </c>
      <c r="L31" s="107">
        <v>33.549999999999997</v>
      </c>
      <c r="M31" s="107" t="s">
        <v>1205</v>
      </c>
      <c r="N31" s="107" t="s">
        <v>1271</v>
      </c>
      <c r="Q31" s="252" t="s">
        <v>1100</v>
      </c>
      <c r="R31" s="253">
        <v>9.5759014500192466E-4</v>
      </c>
      <c r="S31" s="254">
        <v>576660785320.15918</v>
      </c>
      <c r="T31" s="255">
        <v>11533215706.403183</v>
      </c>
    </row>
    <row r="32" spans="1:28" x14ac:dyDescent="0.2">
      <c r="A32" s="107" t="s">
        <v>270</v>
      </c>
      <c r="B32" s="107" t="s">
        <v>981</v>
      </c>
      <c r="C32" s="107" t="s">
        <v>206</v>
      </c>
      <c r="D32" s="107" t="s">
        <v>809</v>
      </c>
      <c r="E32" s="107">
        <v>33.840000000000003</v>
      </c>
      <c r="F32" s="107" t="s">
        <v>220</v>
      </c>
      <c r="G32" s="107" t="s">
        <v>982</v>
      </c>
      <c r="H32" s="107" t="s">
        <v>294</v>
      </c>
      <c r="I32" s="107" t="s">
        <v>981</v>
      </c>
      <c r="J32" s="107" t="s">
        <v>206</v>
      </c>
      <c r="K32" s="107" t="s">
        <v>809</v>
      </c>
      <c r="L32" s="107">
        <v>33.71</v>
      </c>
      <c r="M32" s="107" t="s">
        <v>1205</v>
      </c>
      <c r="N32" s="107" t="s">
        <v>1272</v>
      </c>
      <c r="Q32" s="256" t="s">
        <v>1101</v>
      </c>
      <c r="R32" s="257">
        <v>9.5759014500192472E-5</v>
      </c>
      <c r="S32" s="258">
        <v>57666078532.015915</v>
      </c>
      <c r="T32" s="259">
        <v>1153321570.6403182</v>
      </c>
    </row>
    <row r="33" spans="1:22" x14ac:dyDescent="0.2">
      <c r="A33" s="107" t="s">
        <v>270</v>
      </c>
      <c r="B33" s="107" t="s">
        <v>1080</v>
      </c>
      <c r="C33" s="107" t="s">
        <v>206</v>
      </c>
      <c r="D33" s="107" t="s">
        <v>210</v>
      </c>
      <c r="E33" s="107" t="s">
        <v>220</v>
      </c>
      <c r="F33" s="107" t="s">
        <v>220</v>
      </c>
      <c r="G33" s="107" t="s">
        <v>982</v>
      </c>
      <c r="H33" s="107" t="s">
        <v>295</v>
      </c>
      <c r="I33" s="107" t="s">
        <v>981</v>
      </c>
      <c r="J33" s="107" t="s">
        <v>206</v>
      </c>
      <c r="K33" s="107" t="s">
        <v>809</v>
      </c>
      <c r="L33" s="107">
        <v>33.35</v>
      </c>
      <c r="M33" s="107" t="s">
        <v>1205</v>
      </c>
      <c r="N33" s="107" t="s">
        <v>915</v>
      </c>
      <c r="Q33" s="252" t="s">
        <v>1102</v>
      </c>
      <c r="R33" s="253">
        <v>9.5759014500192472E-6</v>
      </c>
      <c r="S33" s="254">
        <v>5766607853.2015915</v>
      </c>
      <c r="T33" s="255">
        <v>115332157.06403182</v>
      </c>
    </row>
    <row r="34" spans="1:22" x14ac:dyDescent="0.2">
      <c r="A34" s="107" t="s">
        <v>276</v>
      </c>
      <c r="B34" s="107" t="s">
        <v>981</v>
      </c>
      <c r="C34" s="107" t="s">
        <v>206</v>
      </c>
      <c r="D34" s="107" t="s">
        <v>809</v>
      </c>
      <c r="E34" s="107">
        <v>32.75</v>
      </c>
      <c r="F34" s="107" t="s">
        <v>220</v>
      </c>
      <c r="G34" s="107" t="s">
        <v>982</v>
      </c>
      <c r="H34" s="107" t="s">
        <v>250</v>
      </c>
      <c r="I34" s="107" t="s">
        <v>209</v>
      </c>
      <c r="J34" s="107" t="s">
        <v>206</v>
      </c>
      <c r="K34" s="107" t="s">
        <v>210</v>
      </c>
      <c r="L34" s="107">
        <v>40.67</v>
      </c>
      <c r="M34" s="107" t="s">
        <v>1201</v>
      </c>
      <c r="N34" s="107" t="s">
        <v>1265</v>
      </c>
      <c r="Q34" s="256" t="s">
        <v>1103</v>
      </c>
      <c r="R34" s="257">
        <v>9.5759014500192476E-7</v>
      </c>
      <c r="S34" s="258">
        <v>576660785.3201592</v>
      </c>
      <c r="T34" s="259">
        <v>11533215.706403183</v>
      </c>
    </row>
    <row r="35" spans="1:22" x14ac:dyDescent="0.2">
      <c r="A35" s="107" t="s">
        <v>276</v>
      </c>
      <c r="B35" s="107" t="s">
        <v>1080</v>
      </c>
      <c r="C35" s="107" t="s">
        <v>206</v>
      </c>
      <c r="D35" s="107" t="s">
        <v>210</v>
      </c>
      <c r="E35" s="107">
        <v>36.67</v>
      </c>
      <c r="F35" s="107" t="s">
        <v>220</v>
      </c>
      <c r="G35" s="107" t="s">
        <v>982</v>
      </c>
      <c r="H35" s="107" t="s">
        <v>251</v>
      </c>
      <c r="I35" s="107" t="s">
        <v>209</v>
      </c>
      <c r="J35" s="107" t="s">
        <v>206</v>
      </c>
      <c r="K35" s="107" t="s">
        <v>210</v>
      </c>
      <c r="L35" s="107">
        <v>39.729999999999997</v>
      </c>
      <c r="M35" s="107" t="s">
        <v>1201</v>
      </c>
      <c r="N35" s="107" t="s">
        <v>1266</v>
      </c>
      <c r="Q35" s="252" t="s">
        <v>1104</v>
      </c>
      <c r="R35" s="253">
        <v>9.5759014500192479E-8</v>
      </c>
      <c r="S35" s="254">
        <v>57666078.53201592</v>
      </c>
      <c r="T35" s="255">
        <v>1153321.5706403183</v>
      </c>
      <c r="U35" s="107" t="s">
        <v>1278</v>
      </c>
      <c r="V35" s="107" t="s">
        <v>1279</v>
      </c>
    </row>
    <row r="36" spans="1:22" x14ac:dyDescent="0.2">
      <c r="A36" s="107" t="s">
        <v>277</v>
      </c>
      <c r="B36" s="107" t="s">
        <v>981</v>
      </c>
      <c r="C36" s="107" t="s">
        <v>206</v>
      </c>
      <c r="D36" s="107" t="s">
        <v>809</v>
      </c>
      <c r="E36" s="107">
        <v>32.85</v>
      </c>
      <c r="F36" s="107" t="s">
        <v>220</v>
      </c>
      <c r="G36" s="107" t="s">
        <v>982</v>
      </c>
      <c r="H36" s="107" t="s">
        <v>252</v>
      </c>
      <c r="I36" s="107" t="s">
        <v>209</v>
      </c>
      <c r="J36" s="107" t="s">
        <v>206</v>
      </c>
      <c r="K36" s="107" t="s">
        <v>210</v>
      </c>
      <c r="L36" s="107">
        <v>41.96</v>
      </c>
      <c r="M36" s="107" t="s">
        <v>1201</v>
      </c>
      <c r="N36" s="107" t="s">
        <v>1268</v>
      </c>
      <c r="Q36" s="256" t="s">
        <v>1105</v>
      </c>
      <c r="R36" s="257">
        <v>9.5759014500192485E-9</v>
      </c>
      <c r="S36" s="258">
        <v>5766607.8532015923</v>
      </c>
      <c r="T36" s="259">
        <v>115332.15706403185</v>
      </c>
      <c r="U36" s="107">
        <f t="shared" ref="U36:U43" si="1">LOG(R36)</f>
        <v>-8.0188203321017575</v>
      </c>
      <c r="V36" s="107">
        <v>1</v>
      </c>
    </row>
    <row r="37" spans="1:22" x14ac:dyDescent="0.2">
      <c r="A37" s="107" t="s">
        <v>277</v>
      </c>
      <c r="B37" s="107" t="s">
        <v>1080</v>
      </c>
      <c r="C37" s="107" t="s">
        <v>206</v>
      </c>
      <c r="D37" s="107" t="s">
        <v>210</v>
      </c>
      <c r="E37" s="107">
        <v>36.17</v>
      </c>
      <c r="F37" s="107" t="s">
        <v>220</v>
      </c>
      <c r="G37" s="107" t="s">
        <v>982</v>
      </c>
      <c r="H37" s="107" t="s">
        <v>253</v>
      </c>
      <c r="I37" s="107" t="s">
        <v>209</v>
      </c>
      <c r="J37" s="107" t="s">
        <v>206</v>
      </c>
      <c r="K37" s="107" t="s">
        <v>210</v>
      </c>
      <c r="L37" s="107" t="s">
        <v>220</v>
      </c>
      <c r="M37" s="107" t="s">
        <v>1201</v>
      </c>
      <c r="N37" s="107" t="s">
        <v>1269</v>
      </c>
      <c r="Q37" s="252" t="s">
        <v>1106</v>
      </c>
      <c r="R37" s="253">
        <v>9.5759014500192477E-10</v>
      </c>
      <c r="S37" s="254">
        <v>576660.78532015928</v>
      </c>
      <c r="T37" s="255">
        <v>11533.215706403187</v>
      </c>
      <c r="U37" s="107">
        <f t="shared" si="1"/>
        <v>-9.0188203321017575</v>
      </c>
      <c r="V37" s="107">
        <v>1</v>
      </c>
    </row>
    <row r="38" spans="1:22" x14ac:dyDescent="0.2">
      <c r="A38" s="107" t="s">
        <v>278</v>
      </c>
      <c r="B38" s="107" t="s">
        <v>981</v>
      </c>
      <c r="C38" s="107" t="s">
        <v>206</v>
      </c>
      <c r="D38" s="107" t="s">
        <v>809</v>
      </c>
      <c r="E38" s="107">
        <v>32.74</v>
      </c>
      <c r="F38" s="107" t="s">
        <v>220</v>
      </c>
      <c r="G38" s="107" t="s">
        <v>982</v>
      </c>
      <c r="H38" s="107" t="s">
        <v>254</v>
      </c>
      <c r="I38" s="107" t="s">
        <v>209</v>
      </c>
      <c r="J38" s="107" t="s">
        <v>206</v>
      </c>
      <c r="K38" s="107" t="s">
        <v>210</v>
      </c>
      <c r="L38" s="107">
        <v>34.909999999999997</v>
      </c>
      <c r="M38" s="107" t="s">
        <v>1201</v>
      </c>
      <c r="N38" s="107" t="s">
        <v>1270</v>
      </c>
      <c r="Q38" s="256" t="s">
        <v>1107</v>
      </c>
      <c r="R38" s="257">
        <v>9.5759014500192472E-11</v>
      </c>
      <c r="S38" s="258">
        <v>57666.078532015927</v>
      </c>
      <c r="T38" s="259">
        <v>1153.3215706403184</v>
      </c>
      <c r="U38" s="107">
        <f t="shared" si="1"/>
        <v>-10.018820332101757</v>
      </c>
      <c r="V38" s="107">
        <v>1</v>
      </c>
    </row>
    <row r="39" spans="1:22" x14ac:dyDescent="0.2">
      <c r="A39" s="107" t="s">
        <v>278</v>
      </c>
      <c r="B39" s="107" t="s">
        <v>1080</v>
      </c>
      <c r="C39" s="107" t="s">
        <v>206</v>
      </c>
      <c r="D39" s="107" t="s">
        <v>210</v>
      </c>
      <c r="E39" s="107" t="s">
        <v>220</v>
      </c>
      <c r="F39" s="107" t="s">
        <v>220</v>
      </c>
      <c r="G39" s="107" t="s">
        <v>982</v>
      </c>
      <c r="H39" s="107" t="s">
        <v>255</v>
      </c>
      <c r="I39" s="107" t="s">
        <v>209</v>
      </c>
      <c r="J39" s="107" t="s">
        <v>206</v>
      </c>
      <c r="K39" s="107" t="s">
        <v>210</v>
      </c>
      <c r="L39" s="107" t="s">
        <v>220</v>
      </c>
      <c r="M39" s="107" t="s">
        <v>1201</v>
      </c>
      <c r="N39" s="107" t="s">
        <v>1271</v>
      </c>
      <c r="Q39" s="252" t="s">
        <v>1108</v>
      </c>
      <c r="R39" s="253">
        <v>9.5759014500192465E-12</v>
      </c>
      <c r="S39" s="254">
        <v>5766.6078532015927</v>
      </c>
      <c r="T39" s="255">
        <v>115.33215706403185</v>
      </c>
      <c r="U39" s="107">
        <f t="shared" si="1"/>
        <v>-11.018820332101757</v>
      </c>
      <c r="V39" s="107">
        <v>1</v>
      </c>
    </row>
    <row r="40" spans="1:22" x14ac:dyDescent="0.2">
      <c r="A40" s="107" t="s">
        <v>279</v>
      </c>
      <c r="B40" s="107" t="s">
        <v>981</v>
      </c>
      <c r="C40" s="107" t="s">
        <v>206</v>
      </c>
      <c r="D40" s="107" t="s">
        <v>809</v>
      </c>
      <c r="E40" s="107">
        <v>33.44</v>
      </c>
      <c r="F40" s="107" t="s">
        <v>220</v>
      </c>
      <c r="G40" s="107" t="s">
        <v>982</v>
      </c>
      <c r="H40" s="107" t="s">
        <v>256</v>
      </c>
      <c r="I40" s="107" t="s">
        <v>209</v>
      </c>
      <c r="J40" s="107" t="s">
        <v>206</v>
      </c>
      <c r="K40" s="107" t="s">
        <v>210</v>
      </c>
      <c r="L40" s="107" t="s">
        <v>220</v>
      </c>
      <c r="M40" s="107" t="s">
        <v>1201</v>
      </c>
      <c r="N40" s="107" t="s">
        <v>1272</v>
      </c>
      <c r="Q40" s="256" t="s">
        <v>1109</v>
      </c>
      <c r="R40" s="257">
        <v>9.5759014500192457E-13</v>
      </c>
      <c r="S40" s="258">
        <v>576.66078532015922</v>
      </c>
      <c r="T40" s="259">
        <v>11.533215706403183</v>
      </c>
      <c r="U40" s="107">
        <f t="shared" si="1"/>
        <v>-12.018820332101757</v>
      </c>
      <c r="V40" s="107">
        <v>0.5</v>
      </c>
    </row>
    <row r="41" spans="1:22" x14ac:dyDescent="0.2">
      <c r="A41" s="107" t="s">
        <v>279</v>
      </c>
      <c r="B41" s="107" t="s">
        <v>1080</v>
      </c>
      <c r="C41" s="107" t="s">
        <v>206</v>
      </c>
      <c r="D41" s="107" t="s">
        <v>210</v>
      </c>
      <c r="E41" s="107">
        <v>38.49</v>
      </c>
      <c r="F41" s="107" t="s">
        <v>220</v>
      </c>
      <c r="G41" s="107" t="s">
        <v>982</v>
      </c>
      <c r="H41" s="107" t="s">
        <v>257</v>
      </c>
      <c r="I41" s="107" t="s">
        <v>209</v>
      </c>
      <c r="J41" s="107" t="s">
        <v>206</v>
      </c>
      <c r="K41" s="107" t="s">
        <v>210</v>
      </c>
      <c r="L41" s="107">
        <v>37.15</v>
      </c>
      <c r="M41" s="107" t="s">
        <v>1201</v>
      </c>
      <c r="N41" s="107" t="s">
        <v>915</v>
      </c>
      <c r="Q41" s="252" t="s">
        <v>1110</v>
      </c>
      <c r="R41" s="253">
        <v>9.5759014500192455E-14</v>
      </c>
      <c r="S41" s="254">
        <v>57.666078532015923</v>
      </c>
      <c r="T41" s="255">
        <v>1.1533215706403186</v>
      </c>
      <c r="U41" s="107">
        <f t="shared" si="1"/>
        <v>-13.018820332101757</v>
      </c>
      <c r="V41" s="107">
        <v>0.25</v>
      </c>
    </row>
    <row r="42" spans="1:22" x14ac:dyDescent="0.2">
      <c r="A42" s="107" t="s">
        <v>280</v>
      </c>
      <c r="B42" s="107" t="s">
        <v>981</v>
      </c>
      <c r="C42" s="107" t="s">
        <v>206</v>
      </c>
      <c r="D42" s="107" t="s">
        <v>809</v>
      </c>
      <c r="E42" s="107">
        <v>32.31</v>
      </c>
      <c r="F42" s="107" t="s">
        <v>220</v>
      </c>
      <c r="G42" s="107" t="s">
        <v>982</v>
      </c>
      <c r="H42" s="107" t="s">
        <v>262</v>
      </c>
      <c r="I42" s="107" t="s">
        <v>209</v>
      </c>
      <c r="J42" s="107" t="s">
        <v>206</v>
      </c>
      <c r="K42" s="107" t="s">
        <v>210</v>
      </c>
      <c r="L42" s="107">
        <v>38.5</v>
      </c>
      <c r="M42" s="107" t="s">
        <v>1202</v>
      </c>
      <c r="N42" s="107" t="s">
        <v>1265</v>
      </c>
      <c r="Q42" s="256" t="s">
        <v>1111</v>
      </c>
      <c r="R42" s="257">
        <v>9.5759014500192448E-15</v>
      </c>
      <c r="S42" s="258">
        <v>5.7666078532015925</v>
      </c>
      <c r="T42" s="259">
        <v>0.11533215706403185</v>
      </c>
      <c r="U42" s="107">
        <f t="shared" si="1"/>
        <v>-14.018820332101757</v>
      </c>
      <c r="V42" s="107">
        <v>0</v>
      </c>
    </row>
    <row r="43" spans="1:22" x14ac:dyDescent="0.2">
      <c r="A43" s="107" t="s">
        <v>280</v>
      </c>
      <c r="B43" s="107" t="s">
        <v>1080</v>
      </c>
      <c r="C43" s="107" t="s">
        <v>206</v>
      </c>
      <c r="D43" s="107" t="s">
        <v>210</v>
      </c>
      <c r="E43" s="107">
        <v>37.08</v>
      </c>
      <c r="F43" s="107" t="s">
        <v>220</v>
      </c>
      <c r="G43" s="107" t="s">
        <v>982</v>
      </c>
      <c r="H43" s="107" t="s">
        <v>263</v>
      </c>
      <c r="I43" s="107" t="s">
        <v>209</v>
      </c>
      <c r="J43" s="107" t="s">
        <v>206</v>
      </c>
      <c r="K43" s="107" t="s">
        <v>210</v>
      </c>
      <c r="L43" s="107" t="s">
        <v>220</v>
      </c>
      <c r="M43" s="107" t="s">
        <v>1202</v>
      </c>
      <c r="N43" s="107" t="s">
        <v>1266</v>
      </c>
      <c r="Q43" s="252" t="s">
        <v>1112</v>
      </c>
      <c r="R43" s="253">
        <v>9.5759014500192445E-16</v>
      </c>
      <c r="S43" s="254">
        <v>0.5766607853201593</v>
      </c>
      <c r="T43" s="255">
        <v>1.1533215706403185E-2</v>
      </c>
      <c r="U43" s="107">
        <f t="shared" si="1"/>
        <v>-15.018820332101757</v>
      </c>
      <c r="V43" s="107">
        <v>0</v>
      </c>
    </row>
    <row r="44" spans="1:22" x14ac:dyDescent="0.2">
      <c r="A44" s="107" t="s">
        <v>281</v>
      </c>
      <c r="B44" s="107" t="s">
        <v>981</v>
      </c>
      <c r="C44" s="107" t="s">
        <v>206</v>
      </c>
      <c r="D44" s="107" t="s">
        <v>809</v>
      </c>
      <c r="E44" s="107">
        <v>32.630000000000003</v>
      </c>
      <c r="F44" s="107" t="s">
        <v>220</v>
      </c>
      <c r="G44" s="107" t="s">
        <v>982</v>
      </c>
      <c r="H44" s="107" t="s">
        <v>264</v>
      </c>
      <c r="I44" s="107" t="s">
        <v>209</v>
      </c>
      <c r="J44" s="107" t="s">
        <v>206</v>
      </c>
      <c r="K44" s="107" t="s">
        <v>210</v>
      </c>
      <c r="L44" s="107" t="s">
        <v>220</v>
      </c>
      <c r="M44" s="107" t="s">
        <v>1202</v>
      </c>
      <c r="N44" s="107" t="s">
        <v>1268</v>
      </c>
    </row>
    <row r="45" spans="1:22" x14ac:dyDescent="0.2">
      <c r="A45" s="107" t="s">
        <v>281</v>
      </c>
      <c r="B45" s="107" t="s">
        <v>1080</v>
      </c>
      <c r="C45" s="107" t="s">
        <v>206</v>
      </c>
      <c r="D45" s="107" t="s">
        <v>210</v>
      </c>
      <c r="E45" s="107" t="s">
        <v>220</v>
      </c>
      <c r="F45" s="107" t="s">
        <v>220</v>
      </c>
      <c r="G45" s="107" t="s">
        <v>982</v>
      </c>
      <c r="H45" s="107" t="s">
        <v>265</v>
      </c>
      <c r="I45" s="107" t="s">
        <v>209</v>
      </c>
      <c r="J45" s="107" t="s">
        <v>206</v>
      </c>
      <c r="K45" s="107" t="s">
        <v>210</v>
      </c>
      <c r="L45" s="107" t="s">
        <v>220</v>
      </c>
      <c r="M45" s="107" t="s">
        <v>1202</v>
      </c>
      <c r="N45" s="107" t="s">
        <v>1269</v>
      </c>
    </row>
    <row r="46" spans="1:22" x14ac:dyDescent="0.2">
      <c r="A46" s="107" t="s">
        <v>282</v>
      </c>
      <c r="B46" s="107" t="s">
        <v>981</v>
      </c>
      <c r="C46" s="107" t="s">
        <v>206</v>
      </c>
      <c r="D46" s="107" t="s">
        <v>809</v>
      </c>
      <c r="E46" s="107">
        <v>33.119999999999997</v>
      </c>
      <c r="F46" s="107" t="s">
        <v>220</v>
      </c>
      <c r="G46" s="107" t="s">
        <v>982</v>
      </c>
      <c r="H46" s="107" t="s">
        <v>266</v>
      </c>
      <c r="I46" s="107" t="s">
        <v>209</v>
      </c>
      <c r="J46" s="107" t="s">
        <v>206</v>
      </c>
      <c r="K46" s="107" t="s">
        <v>210</v>
      </c>
      <c r="L46" s="107">
        <v>37.25</v>
      </c>
      <c r="M46" s="107" t="s">
        <v>1202</v>
      </c>
      <c r="N46" s="107" t="s">
        <v>1270</v>
      </c>
    </row>
    <row r="47" spans="1:22" x14ac:dyDescent="0.2">
      <c r="A47" s="107" t="s">
        <v>282</v>
      </c>
      <c r="B47" s="107" t="s">
        <v>1080</v>
      </c>
      <c r="C47" s="107" t="s">
        <v>206</v>
      </c>
      <c r="D47" s="107" t="s">
        <v>210</v>
      </c>
      <c r="E47" s="107" t="s">
        <v>220</v>
      </c>
      <c r="F47" s="107" t="s">
        <v>220</v>
      </c>
      <c r="G47" s="107" t="s">
        <v>982</v>
      </c>
      <c r="H47" s="107" t="s">
        <v>267</v>
      </c>
      <c r="I47" s="107" t="s">
        <v>209</v>
      </c>
      <c r="J47" s="107" t="s">
        <v>206</v>
      </c>
      <c r="K47" s="107" t="s">
        <v>210</v>
      </c>
      <c r="L47" s="107">
        <v>35.92</v>
      </c>
      <c r="M47" s="107" t="s">
        <v>1202</v>
      </c>
      <c r="N47" s="107" t="s">
        <v>1271</v>
      </c>
    </row>
    <row r="48" spans="1:22" x14ac:dyDescent="0.2">
      <c r="A48" s="107" t="s">
        <v>283</v>
      </c>
      <c r="B48" s="107" t="s">
        <v>981</v>
      </c>
      <c r="C48" s="107" t="s">
        <v>206</v>
      </c>
      <c r="D48" s="107" t="s">
        <v>809</v>
      </c>
      <c r="E48" s="107">
        <v>33.869999999999997</v>
      </c>
      <c r="F48" s="107" t="s">
        <v>220</v>
      </c>
      <c r="G48" s="107" t="s">
        <v>982</v>
      </c>
      <c r="H48" s="107" t="s">
        <v>268</v>
      </c>
      <c r="I48" s="107" t="s">
        <v>209</v>
      </c>
      <c r="J48" s="107" t="s">
        <v>206</v>
      </c>
      <c r="K48" s="107" t="s">
        <v>210</v>
      </c>
      <c r="L48" s="107" t="s">
        <v>220</v>
      </c>
      <c r="M48" s="107" t="s">
        <v>1202</v>
      </c>
      <c r="N48" s="107" t="s">
        <v>1272</v>
      </c>
    </row>
    <row r="49" spans="1:14" x14ac:dyDescent="0.2">
      <c r="A49" s="107" t="s">
        <v>283</v>
      </c>
      <c r="B49" s="107" t="s">
        <v>1080</v>
      </c>
      <c r="C49" s="107" t="s">
        <v>206</v>
      </c>
      <c r="D49" s="107" t="s">
        <v>210</v>
      </c>
      <c r="E49" s="107" t="s">
        <v>220</v>
      </c>
      <c r="F49" s="107" t="s">
        <v>220</v>
      </c>
      <c r="G49" s="107" t="s">
        <v>982</v>
      </c>
      <c r="H49" s="107" t="s">
        <v>270</v>
      </c>
      <c r="I49" s="107" t="s">
        <v>209</v>
      </c>
      <c r="J49" s="107" t="s">
        <v>206</v>
      </c>
      <c r="K49" s="107" t="s">
        <v>210</v>
      </c>
      <c r="L49" s="107" t="s">
        <v>220</v>
      </c>
      <c r="M49" s="107" t="s">
        <v>1202</v>
      </c>
      <c r="N49" s="107" t="s">
        <v>915</v>
      </c>
    </row>
    <row r="50" spans="1:14" x14ac:dyDescent="0.2">
      <c r="A50" s="107" t="s">
        <v>288</v>
      </c>
      <c r="B50" s="107" t="s">
        <v>981</v>
      </c>
      <c r="C50" s="107" t="s">
        <v>206</v>
      </c>
      <c r="D50" s="107" t="s">
        <v>809</v>
      </c>
      <c r="E50" s="107">
        <v>34.15</v>
      </c>
      <c r="F50" s="107" t="s">
        <v>220</v>
      </c>
      <c r="G50" s="107" t="s">
        <v>982</v>
      </c>
      <c r="H50" s="107" t="s">
        <v>276</v>
      </c>
      <c r="I50" s="107" t="s">
        <v>209</v>
      </c>
      <c r="J50" s="107" t="s">
        <v>206</v>
      </c>
      <c r="K50" s="107" t="s">
        <v>210</v>
      </c>
      <c r="L50" s="107">
        <v>36.67</v>
      </c>
      <c r="M50" s="107" t="s">
        <v>1203</v>
      </c>
      <c r="N50" s="107" t="s">
        <v>1265</v>
      </c>
    </row>
    <row r="51" spans="1:14" x14ac:dyDescent="0.2">
      <c r="A51" s="107" t="s">
        <v>288</v>
      </c>
      <c r="B51" s="107" t="s">
        <v>1080</v>
      </c>
      <c r="C51" s="107" t="s">
        <v>206</v>
      </c>
      <c r="D51" s="107" t="s">
        <v>210</v>
      </c>
      <c r="E51" s="107">
        <v>38.74</v>
      </c>
      <c r="F51" s="107" t="s">
        <v>220</v>
      </c>
      <c r="G51" s="107" t="s">
        <v>982</v>
      </c>
      <c r="H51" s="107" t="s">
        <v>277</v>
      </c>
      <c r="I51" s="107" t="s">
        <v>209</v>
      </c>
      <c r="J51" s="107" t="s">
        <v>206</v>
      </c>
      <c r="K51" s="107" t="s">
        <v>210</v>
      </c>
      <c r="L51" s="107">
        <v>36.17</v>
      </c>
      <c r="M51" s="107" t="s">
        <v>1203</v>
      </c>
      <c r="N51" s="107" t="s">
        <v>1266</v>
      </c>
    </row>
    <row r="52" spans="1:14" x14ac:dyDescent="0.2">
      <c r="A52" s="107" t="s">
        <v>289</v>
      </c>
      <c r="B52" s="107" t="s">
        <v>981</v>
      </c>
      <c r="C52" s="107" t="s">
        <v>206</v>
      </c>
      <c r="D52" s="107" t="s">
        <v>809</v>
      </c>
      <c r="E52" s="107">
        <v>33.21</v>
      </c>
      <c r="F52" s="107" t="s">
        <v>220</v>
      </c>
      <c r="G52" s="107" t="s">
        <v>982</v>
      </c>
      <c r="H52" s="107" t="s">
        <v>278</v>
      </c>
      <c r="I52" s="107" t="s">
        <v>209</v>
      </c>
      <c r="J52" s="107" t="s">
        <v>206</v>
      </c>
      <c r="K52" s="107" t="s">
        <v>210</v>
      </c>
      <c r="L52" s="107" t="s">
        <v>220</v>
      </c>
      <c r="M52" s="107" t="s">
        <v>1203</v>
      </c>
      <c r="N52" s="107" t="s">
        <v>1268</v>
      </c>
    </row>
    <row r="53" spans="1:14" x14ac:dyDescent="0.2">
      <c r="A53" s="107" t="s">
        <v>289</v>
      </c>
      <c r="B53" s="107" t="s">
        <v>1080</v>
      </c>
      <c r="C53" s="107" t="s">
        <v>206</v>
      </c>
      <c r="D53" s="107" t="s">
        <v>210</v>
      </c>
      <c r="E53" s="107">
        <v>36.36</v>
      </c>
      <c r="F53" s="107" t="s">
        <v>220</v>
      </c>
      <c r="G53" s="107" t="s">
        <v>982</v>
      </c>
      <c r="H53" s="107" t="s">
        <v>279</v>
      </c>
      <c r="I53" s="107" t="s">
        <v>209</v>
      </c>
      <c r="J53" s="107" t="s">
        <v>206</v>
      </c>
      <c r="K53" s="107" t="s">
        <v>210</v>
      </c>
      <c r="L53" s="107">
        <v>38.49</v>
      </c>
      <c r="M53" s="107" t="s">
        <v>1203</v>
      </c>
      <c r="N53" s="107" t="s">
        <v>1269</v>
      </c>
    </row>
    <row r="54" spans="1:14" x14ac:dyDescent="0.2">
      <c r="A54" s="107" t="s">
        <v>290</v>
      </c>
      <c r="B54" s="107" t="s">
        <v>981</v>
      </c>
      <c r="C54" s="107" t="s">
        <v>206</v>
      </c>
      <c r="D54" s="107" t="s">
        <v>809</v>
      </c>
      <c r="E54" s="107">
        <v>33.28</v>
      </c>
      <c r="F54" s="107" t="s">
        <v>220</v>
      </c>
      <c r="G54" s="107" t="s">
        <v>982</v>
      </c>
      <c r="H54" s="107" t="s">
        <v>280</v>
      </c>
      <c r="I54" s="107" t="s">
        <v>209</v>
      </c>
      <c r="J54" s="107" t="s">
        <v>206</v>
      </c>
      <c r="K54" s="107" t="s">
        <v>210</v>
      </c>
      <c r="L54" s="107">
        <v>37.08</v>
      </c>
      <c r="M54" s="107" t="s">
        <v>1203</v>
      </c>
      <c r="N54" s="107" t="s">
        <v>1270</v>
      </c>
    </row>
    <row r="55" spans="1:14" x14ac:dyDescent="0.2">
      <c r="A55" s="107" t="s">
        <v>290</v>
      </c>
      <c r="B55" s="107" t="s">
        <v>1080</v>
      </c>
      <c r="C55" s="107" t="s">
        <v>206</v>
      </c>
      <c r="D55" s="107" t="s">
        <v>210</v>
      </c>
      <c r="E55" s="107" t="s">
        <v>220</v>
      </c>
      <c r="F55" s="107" t="s">
        <v>220</v>
      </c>
      <c r="G55" s="107" t="s">
        <v>982</v>
      </c>
      <c r="H55" s="107" t="s">
        <v>281</v>
      </c>
      <c r="I55" s="107" t="s">
        <v>209</v>
      </c>
      <c r="J55" s="107" t="s">
        <v>206</v>
      </c>
      <c r="K55" s="107" t="s">
        <v>210</v>
      </c>
      <c r="L55" s="107" t="s">
        <v>220</v>
      </c>
      <c r="M55" s="107" t="s">
        <v>1203</v>
      </c>
      <c r="N55" s="107" t="s">
        <v>1271</v>
      </c>
    </row>
    <row r="56" spans="1:14" x14ac:dyDescent="0.2">
      <c r="A56" s="107" t="s">
        <v>291</v>
      </c>
      <c r="B56" s="107" t="s">
        <v>981</v>
      </c>
      <c r="C56" s="107" t="s">
        <v>206</v>
      </c>
      <c r="D56" s="107" t="s">
        <v>809</v>
      </c>
      <c r="E56" s="107">
        <v>32.869999999999997</v>
      </c>
      <c r="F56" s="107" t="s">
        <v>220</v>
      </c>
      <c r="G56" s="107" t="s">
        <v>982</v>
      </c>
      <c r="H56" s="107" t="s">
        <v>282</v>
      </c>
      <c r="I56" s="107" t="s">
        <v>209</v>
      </c>
      <c r="J56" s="107" t="s">
        <v>206</v>
      </c>
      <c r="K56" s="107" t="s">
        <v>210</v>
      </c>
      <c r="L56" s="107" t="s">
        <v>220</v>
      </c>
      <c r="M56" s="107" t="s">
        <v>1203</v>
      </c>
      <c r="N56" s="107" t="s">
        <v>1272</v>
      </c>
    </row>
    <row r="57" spans="1:14" x14ac:dyDescent="0.2">
      <c r="A57" s="107" t="s">
        <v>291</v>
      </c>
      <c r="B57" s="107" t="s">
        <v>1080</v>
      </c>
      <c r="C57" s="107" t="s">
        <v>206</v>
      </c>
      <c r="D57" s="107" t="s">
        <v>210</v>
      </c>
      <c r="E57" s="107" t="s">
        <v>220</v>
      </c>
      <c r="F57" s="107" t="s">
        <v>220</v>
      </c>
      <c r="G57" s="107" t="s">
        <v>982</v>
      </c>
      <c r="H57" s="107" t="s">
        <v>283</v>
      </c>
      <c r="I57" s="107" t="s">
        <v>209</v>
      </c>
      <c r="J57" s="107" t="s">
        <v>206</v>
      </c>
      <c r="K57" s="107" t="s">
        <v>210</v>
      </c>
      <c r="L57" s="107" t="s">
        <v>220</v>
      </c>
      <c r="M57" s="107" t="s">
        <v>1203</v>
      </c>
      <c r="N57" s="107" t="s">
        <v>915</v>
      </c>
    </row>
    <row r="58" spans="1:14" x14ac:dyDescent="0.2">
      <c r="A58" s="107" t="s">
        <v>292</v>
      </c>
      <c r="B58" s="107" t="s">
        <v>981</v>
      </c>
      <c r="C58" s="107" t="s">
        <v>206</v>
      </c>
      <c r="D58" s="107" t="s">
        <v>809</v>
      </c>
      <c r="E58" s="107">
        <v>33.049999999999997</v>
      </c>
      <c r="F58" s="107" t="s">
        <v>220</v>
      </c>
      <c r="G58" s="107" t="s">
        <v>982</v>
      </c>
      <c r="H58" s="107" t="s">
        <v>288</v>
      </c>
      <c r="I58" s="107" t="s">
        <v>209</v>
      </c>
      <c r="J58" s="107" t="s">
        <v>206</v>
      </c>
      <c r="K58" s="107" t="s">
        <v>210</v>
      </c>
      <c r="L58" s="107">
        <v>38.74</v>
      </c>
      <c r="M58" s="107" t="s">
        <v>1205</v>
      </c>
      <c r="N58" s="107" t="s">
        <v>1265</v>
      </c>
    </row>
    <row r="59" spans="1:14" x14ac:dyDescent="0.2">
      <c r="A59" s="107" t="s">
        <v>292</v>
      </c>
      <c r="B59" s="107" t="s">
        <v>1080</v>
      </c>
      <c r="C59" s="107" t="s">
        <v>206</v>
      </c>
      <c r="D59" s="107" t="s">
        <v>210</v>
      </c>
      <c r="E59" s="107">
        <v>38.72</v>
      </c>
      <c r="F59" s="107" t="s">
        <v>220</v>
      </c>
      <c r="G59" s="107" t="s">
        <v>982</v>
      </c>
      <c r="H59" s="107" t="s">
        <v>289</v>
      </c>
      <c r="I59" s="107" t="s">
        <v>209</v>
      </c>
      <c r="J59" s="107" t="s">
        <v>206</v>
      </c>
      <c r="K59" s="107" t="s">
        <v>210</v>
      </c>
      <c r="L59" s="107">
        <v>36.36</v>
      </c>
      <c r="M59" s="107" t="s">
        <v>1205</v>
      </c>
      <c r="N59" s="107" t="s">
        <v>1266</v>
      </c>
    </row>
    <row r="60" spans="1:14" x14ac:dyDescent="0.2">
      <c r="A60" s="107" t="s">
        <v>293</v>
      </c>
      <c r="B60" s="107" t="s">
        <v>981</v>
      </c>
      <c r="C60" s="107" t="s">
        <v>206</v>
      </c>
      <c r="D60" s="107" t="s">
        <v>809</v>
      </c>
      <c r="E60" s="107">
        <v>33.549999999999997</v>
      </c>
      <c r="F60" s="107" t="s">
        <v>220</v>
      </c>
      <c r="G60" s="107" t="s">
        <v>982</v>
      </c>
      <c r="H60" s="107" t="s">
        <v>290</v>
      </c>
      <c r="I60" s="107" t="s">
        <v>209</v>
      </c>
      <c r="J60" s="107" t="s">
        <v>206</v>
      </c>
      <c r="K60" s="107" t="s">
        <v>210</v>
      </c>
      <c r="L60" s="107" t="s">
        <v>220</v>
      </c>
      <c r="M60" s="107" t="s">
        <v>1205</v>
      </c>
      <c r="N60" s="107" t="s">
        <v>1268</v>
      </c>
    </row>
    <row r="61" spans="1:14" x14ac:dyDescent="0.2">
      <c r="A61" s="107" t="s">
        <v>293</v>
      </c>
      <c r="B61" s="107" t="s">
        <v>1080</v>
      </c>
      <c r="C61" s="107" t="s">
        <v>206</v>
      </c>
      <c r="D61" s="107" t="s">
        <v>210</v>
      </c>
      <c r="E61" s="107" t="s">
        <v>220</v>
      </c>
      <c r="F61" s="107" t="s">
        <v>220</v>
      </c>
      <c r="G61" s="107" t="s">
        <v>982</v>
      </c>
      <c r="H61" s="107" t="s">
        <v>291</v>
      </c>
      <c r="I61" s="107" t="s">
        <v>209</v>
      </c>
      <c r="J61" s="107" t="s">
        <v>206</v>
      </c>
      <c r="K61" s="107" t="s">
        <v>210</v>
      </c>
      <c r="L61" s="107" t="s">
        <v>220</v>
      </c>
      <c r="M61" s="107" t="s">
        <v>1205</v>
      </c>
      <c r="N61" s="107" t="s">
        <v>1269</v>
      </c>
    </row>
    <row r="62" spans="1:14" x14ac:dyDescent="0.2">
      <c r="A62" s="107" t="s">
        <v>294</v>
      </c>
      <c r="B62" s="107" t="s">
        <v>981</v>
      </c>
      <c r="C62" s="107" t="s">
        <v>206</v>
      </c>
      <c r="D62" s="107" t="s">
        <v>809</v>
      </c>
      <c r="E62" s="107">
        <v>33.71</v>
      </c>
      <c r="F62" s="107" t="s">
        <v>220</v>
      </c>
      <c r="G62" s="107" t="s">
        <v>982</v>
      </c>
      <c r="H62" s="107" t="s">
        <v>292</v>
      </c>
      <c r="I62" s="107" t="s">
        <v>209</v>
      </c>
      <c r="J62" s="107" t="s">
        <v>206</v>
      </c>
      <c r="K62" s="107" t="s">
        <v>210</v>
      </c>
      <c r="L62" s="107">
        <v>38.72</v>
      </c>
      <c r="M62" s="107" t="s">
        <v>1205</v>
      </c>
      <c r="N62" s="107" t="s">
        <v>1270</v>
      </c>
    </row>
    <row r="63" spans="1:14" x14ac:dyDescent="0.2">
      <c r="A63" s="107" t="s">
        <v>294</v>
      </c>
      <c r="B63" s="107" t="s">
        <v>1080</v>
      </c>
      <c r="C63" s="107" t="s">
        <v>206</v>
      </c>
      <c r="D63" s="107" t="s">
        <v>210</v>
      </c>
      <c r="E63" s="107">
        <v>38.46</v>
      </c>
      <c r="F63" s="107" t="s">
        <v>220</v>
      </c>
      <c r="G63" s="107" t="s">
        <v>982</v>
      </c>
      <c r="H63" s="107" t="s">
        <v>293</v>
      </c>
      <c r="I63" s="107" t="s">
        <v>209</v>
      </c>
      <c r="J63" s="107" t="s">
        <v>206</v>
      </c>
      <c r="K63" s="107" t="s">
        <v>210</v>
      </c>
      <c r="L63" s="107" t="s">
        <v>220</v>
      </c>
      <c r="M63" s="107" t="s">
        <v>1205</v>
      </c>
      <c r="N63" s="107" t="s">
        <v>1271</v>
      </c>
    </row>
    <row r="64" spans="1:14" x14ac:dyDescent="0.2">
      <c r="A64" s="107" t="s">
        <v>295</v>
      </c>
      <c r="B64" s="107" t="s">
        <v>981</v>
      </c>
      <c r="C64" s="107" t="s">
        <v>206</v>
      </c>
      <c r="D64" s="107" t="s">
        <v>809</v>
      </c>
      <c r="E64" s="107">
        <v>33.35</v>
      </c>
      <c r="F64" s="107" t="s">
        <v>220</v>
      </c>
      <c r="G64" s="107" t="s">
        <v>982</v>
      </c>
      <c r="H64" s="107" t="s">
        <v>294</v>
      </c>
      <c r="I64" s="107" t="s">
        <v>209</v>
      </c>
      <c r="J64" s="107" t="s">
        <v>206</v>
      </c>
      <c r="K64" s="107" t="s">
        <v>210</v>
      </c>
      <c r="L64" s="107">
        <v>38.46</v>
      </c>
      <c r="M64" s="107" t="s">
        <v>1205</v>
      </c>
      <c r="N64" s="107" t="s">
        <v>1272</v>
      </c>
    </row>
    <row r="65" spans="1:17" x14ac:dyDescent="0.2">
      <c r="A65" s="107" t="s">
        <v>295</v>
      </c>
      <c r="B65" s="107" t="s">
        <v>1080</v>
      </c>
      <c r="C65" s="107" t="s">
        <v>206</v>
      </c>
      <c r="D65" s="107" t="s">
        <v>210</v>
      </c>
      <c r="E65" s="107">
        <v>42.03</v>
      </c>
      <c r="F65" s="107" t="s">
        <v>220</v>
      </c>
      <c r="G65" s="107" t="s">
        <v>982</v>
      </c>
      <c r="H65" s="107" t="s">
        <v>295</v>
      </c>
      <c r="I65" s="107" t="s">
        <v>209</v>
      </c>
      <c r="J65" s="107" t="s">
        <v>206</v>
      </c>
      <c r="K65" s="107" t="s">
        <v>210</v>
      </c>
      <c r="L65" s="107">
        <v>42.03</v>
      </c>
      <c r="M65" s="107" t="s">
        <v>1205</v>
      </c>
      <c r="N65" s="107" t="s">
        <v>915</v>
      </c>
      <c r="Q65" s="107" t="s">
        <v>983</v>
      </c>
    </row>
    <row r="66" spans="1:17" x14ac:dyDescent="0.2">
      <c r="G66" s="107" t="s">
        <v>1043</v>
      </c>
      <c r="H66" s="107" t="s">
        <v>993</v>
      </c>
      <c r="I66" s="107" t="s">
        <v>981</v>
      </c>
      <c r="J66" s="107" t="s">
        <v>990</v>
      </c>
      <c r="K66" s="107" t="s">
        <v>809</v>
      </c>
      <c r="L66" s="107">
        <v>33.82</v>
      </c>
      <c r="M66" s="107" t="s">
        <v>1235</v>
      </c>
      <c r="N66" s="107" t="s">
        <v>1265</v>
      </c>
      <c r="Q66" s="107" t="s">
        <v>1280</v>
      </c>
    </row>
    <row r="67" spans="1:17" x14ac:dyDescent="0.2">
      <c r="G67" s="107" t="s">
        <v>1043</v>
      </c>
      <c r="H67" s="107" t="s">
        <v>998</v>
      </c>
      <c r="I67" s="107" t="s">
        <v>981</v>
      </c>
      <c r="J67" s="107" t="s">
        <v>990</v>
      </c>
      <c r="K67" s="107" t="s">
        <v>809</v>
      </c>
      <c r="L67" s="107">
        <v>33.979999999999997</v>
      </c>
      <c r="M67" s="107" t="s">
        <v>1235</v>
      </c>
      <c r="N67" s="107" t="s">
        <v>1266</v>
      </c>
      <c r="Q67" s="107" t="s">
        <v>1280</v>
      </c>
    </row>
    <row r="68" spans="1:17" x14ac:dyDescent="0.2">
      <c r="G68" s="107" t="s">
        <v>1043</v>
      </c>
      <c r="H68" s="107" t="s">
        <v>1001</v>
      </c>
      <c r="I68" s="107" t="s">
        <v>981</v>
      </c>
      <c r="J68" s="107" t="s">
        <v>990</v>
      </c>
      <c r="K68" s="107" t="s">
        <v>809</v>
      </c>
      <c r="L68" s="107">
        <v>33.020000000000003</v>
      </c>
      <c r="M68" s="107" t="s">
        <v>1235</v>
      </c>
      <c r="N68" s="107" t="s">
        <v>1268</v>
      </c>
      <c r="Q68" s="107" t="s">
        <v>1280</v>
      </c>
    </row>
    <row r="69" spans="1:17" x14ac:dyDescent="0.2">
      <c r="G69" s="107" t="s">
        <v>1043</v>
      </c>
      <c r="H69" s="107" t="s">
        <v>1005</v>
      </c>
      <c r="I69" s="107" t="s">
        <v>981</v>
      </c>
      <c r="J69" s="107" t="s">
        <v>990</v>
      </c>
      <c r="K69" s="107" t="s">
        <v>809</v>
      </c>
      <c r="L69" s="107">
        <v>33.28</v>
      </c>
      <c r="M69" s="107" t="s">
        <v>1235</v>
      </c>
      <c r="N69" s="107" t="s">
        <v>1269</v>
      </c>
      <c r="Q69" s="107" t="s">
        <v>1280</v>
      </c>
    </row>
    <row r="70" spans="1:17" x14ac:dyDescent="0.2">
      <c r="G70" s="107" t="s">
        <v>1043</v>
      </c>
      <c r="H70" s="107" t="s">
        <v>1008</v>
      </c>
      <c r="I70" s="107" t="s">
        <v>981</v>
      </c>
      <c r="J70" s="107" t="s">
        <v>990</v>
      </c>
      <c r="K70" s="107" t="s">
        <v>809</v>
      </c>
      <c r="L70" s="107">
        <v>33.950000000000003</v>
      </c>
      <c r="M70" s="107" t="s">
        <v>1235</v>
      </c>
      <c r="N70" s="107" t="s">
        <v>1270</v>
      </c>
      <c r="Q70" s="107" t="s">
        <v>1280</v>
      </c>
    </row>
    <row r="71" spans="1:17" x14ac:dyDescent="0.2">
      <c r="G71" s="107" t="s">
        <v>1043</v>
      </c>
      <c r="H71" s="107" t="s">
        <v>1011</v>
      </c>
      <c r="I71" s="107" t="s">
        <v>981</v>
      </c>
      <c r="J71" s="107" t="s">
        <v>990</v>
      </c>
      <c r="K71" s="107" t="s">
        <v>809</v>
      </c>
      <c r="L71" s="107">
        <v>33.619999999999997</v>
      </c>
      <c r="M71" s="107" t="s">
        <v>1235</v>
      </c>
      <c r="N71" s="107" t="s">
        <v>1271</v>
      </c>
      <c r="Q71" s="107" t="s">
        <v>1280</v>
      </c>
    </row>
    <row r="72" spans="1:17" x14ac:dyDescent="0.2">
      <c r="G72" s="107" t="s">
        <v>1043</v>
      </c>
      <c r="H72" s="107" t="s">
        <v>1014</v>
      </c>
      <c r="I72" s="107" t="s">
        <v>981</v>
      </c>
      <c r="J72" s="107" t="s">
        <v>990</v>
      </c>
      <c r="K72" s="107" t="s">
        <v>809</v>
      </c>
      <c r="L72" s="107">
        <v>33.56</v>
      </c>
      <c r="M72" s="107" t="s">
        <v>1235</v>
      </c>
      <c r="N72" s="107" t="s">
        <v>1272</v>
      </c>
      <c r="Q72" s="107" t="s">
        <v>1280</v>
      </c>
    </row>
    <row r="73" spans="1:17" x14ac:dyDescent="0.2">
      <c r="G73" s="107" t="s">
        <v>1043</v>
      </c>
      <c r="H73" s="107" t="s">
        <v>1018</v>
      </c>
      <c r="I73" s="107" t="s">
        <v>981</v>
      </c>
      <c r="J73" s="107" t="s">
        <v>990</v>
      </c>
      <c r="K73" s="107" t="s">
        <v>809</v>
      </c>
      <c r="L73" s="107">
        <v>34.26</v>
      </c>
      <c r="M73" s="107" t="s">
        <v>1235</v>
      </c>
      <c r="N73" s="107" t="s">
        <v>915</v>
      </c>
      <c r="Q73" s="107" t="s">
        <v>1280</v>
      </c>
    </row>
    <row r="74" spans="1:17" x14ac:dyDescent="0.2">
      <c r="G74" s="107" t="s">
        <v>1043</v>
      </c>
      <c r="H74" s="107" t="s">
        <v>1021</v>
      </c>
      <c r="I74" s="107" t="s">
        <v>981</v>
      </c>
      <c r="J74" s="107" t="s">
        <v>990</v>
      </c>
      <c r="K74" s="107" t="s">
        <v>809</v>
      </c>
      <c r="L74" s="107">
        <v>33.11</v>
      </c>
      <c r="M74" s="107" t="s">
        <v>1236</v>
      </c>
      <c r="N74" s="107" t="s">
        <v>1265</v>
      </c>
      <c r="Q74" s="107" t="s">
        <v>1281</v>
      </c>
    </row>
    <row r="75" spans="1:17" x14ac:dyDescent="0.2">
      <c r="G75" s="107" t="s">
        <v>1043</v>
      </c>
      <c r="H75" s="107" t="s">
        <v>1024</v>
      </c>
      <c r="I75" s="107" t="s">
        <v>981</v>
      </c>
      <c r="J75" s="107" t="s">
        <v>990</v>
      </c>
      <c r="K75" s="107" t="s">
        <v>809</v>
      </c>
      <c r="L75" s="107">
        <v>0</v>
      </c>
      <c r="M75" s="107" t="s">
        <v>1236</v>
      </c>
      <c r="N75" s="107" t="s">
        <v>1266</v>
      </c>
      <c r="Q75" s="107" t="s">
        <v>1281</v>
      </c>
    </row>
    <row r="76" spans="1:17" x14ac:dyDescent="0.2">
      <c r="G76" s="107" t="s">
        <v>1043</v>
      </c>
      <c r="H76" s="107" t="s">
        <v>1027</v>
      </c>
      <c r="I76" s="107" t="s">
        <v>981</v>
      </c>
      <c r="J76" s="107" t="s">
        <v>990</v>
      </c>
      <c r="K76" s="107" t="s">
        <v>809</v>
      </c>
      <c r="L76" s="107">
        <v>32.74</v>
      </c>
      <c r="M76" s="107" t="s">
        <v>1236</v>
      </c>
      <c r="N76" s="107" t="s">
        <v>1268</v>
      </c>
      <c r="Q76" s="107" t="s">
        <v>1281</v>
      </c>
    </row>
    <row r="77" spans="1:17" x14ac:dyDescent="0.2">
      <c r="G77" s="107" t="s">
        <v>1043</v>
      </c>
      <c r="H77" s="107" t="s">
        <v>1030</v>
      </c>
      <c r="I77" s="107" t="s">
        <v>981</v>
      </c>
      <c r="J77" s="107" t="s">
        <v>990</v>
      </c>
      <c r="K77" s="107" t="s">
        <v>809</v>
      </c>
      <c r="L77" s="107">
        <v>33.590000000000003</v>
      </c>
      <c r="M77" s="107" t="s">
        <v>1236</v>
      </c>
      <c r="N77" s="107" t="s">
        <v>1269</v>
      </c>
      <c r="Q77" s="107" t="s">
        <v>1281</v>
      </c>
    </row>
    <row r="78" spans="1:17" x14ac:dyDescent="0.2">
      <c r="G78" s="107" t="s">
        <v>1043</v>
      </c>
      <c r="H78" s="107" t="s">
        <v>1033</v>
      </c>
      <c r="I78" s="107" t="s">
        <v>981</v>
      </c>
      <c r="J78" s="107" t="s">
        <v>990</v>
      </c>
      <c r="K78" s="107" t="s">
        <v>809</v>
      </c>
      <c r="L78" s="107">
        <v>33.51</v>
      </c>
      <c r="M78" s="107" t="s">
        <v>1236</v>
      </c>
      <c r="N78" s="107" t="s">
        <v>1270</v>
      </c>
      <c r="Q78" s="107" t="s">
        <v>1281</v>
      </c>
    </row>
    <row r="79" spans="1:17" x14ac:dyDescent="0.2">
      <c r="G79" s="107" t="s">
        <v>1043</v>
      </c>
      <c r="H79" s="107" t="s">
        <v>1036</v>
      </c>
      <c r="I79" s="107" t="s">
        <v>981</v>
      </c>
      <c r="J79" s="107" t="s">
        <v>990</v>
      </c>
      <c r="K79" s="107" t="s">
        <v>809</v>
      </c>
      <c r="L79" s="107">
        <v>33.729999999999997</v>
      </c>
      <c r="M79" s="107" t="s">
        <v>1236</v>
      </c>
      <c r="N79" s="107" t="s">
        <v>1271</v>
      </c>
      <c r="Q79" s="107" t="s">
        <v>1281</v>
      </c>
    </row>
    <row r="80" spans="1:17" x14ac:dyDescent="0.2">
      <c r="G80" s="107" t="s">
        <v>1043</v>
      </c>
      <c r="H80" s="107" t="s">
        <v>1039</v>
      </c>
      <c r="I80" s="107" t="s">
        <v>981</v>
      </c>
      <c r="J80" s="107" t="s">
        <v>990</v>
      </c>
      <c r="K80" s="107" t="s">
        <v>809</v>
      </c>
      <c r="L80" s="107">
        <v>34.520000000000003</v>
      </c>
      <c r="M80" s="107" t="s">
        <v>1236</v>
      </c>
      <c r="N80" s="107" t="s">
        <v>1272</v>
      </c>
      <c r="Q80" s="107" t="s">
        <v>1281</v>
      </c>
    </row>
    <row r="81" spans="7:17" x14ac:dyDescent="0.2">
      <c r="G81" s="107" t="s">
        <v>1043</v>
      </c>
      <c r="H81" s="107" t="s">
        <v>1042</v>
      </c>
      <c r="I81" s="107" t="s">
        <v>981</v>
      </c>
      <c r="J81" s="107" t="s">
        <v>990</v>
      </c>
      <c r="K81" s="107" t="s">
        <v>809</v>
      </c>
      <c r="L81" s="107">
        <v>33.96</v>
      </c>
      <c r="M81" s="107" t="s">
        <v>1236</v>
      </c>
      <c r="N81" s="107" t="s">
        <v>915</v>
      </c>
      <c r="Q81" s="107" t="s">
        <v>1281</v>
      </c>
    </row>
    <row r="82" spans="7:17" x14ac:dyDescent="0.2">
      <c r="G82" s="107" t="s">
        <v>1043</v>
      </c>
      <c r="H82" s="107" t="s">
        <v>988</v>
      </c>
      <c r="I82" s="107" t="s">
        <v>209</v>
      </c>
      <c r="J82" s="107" t="s">
        <v>990</v>
      </c>
      <c r="K82" s="107" t="s">
        <v>210</v>
      </c>
      <c r="L82" s="107">
        <v>0</v>
      </c>
      <c r="M82" s="107" t="s">
        <v>1235</v>
      </c>
      <c r="N82" s="107" t="s">
        <v>1265</v>
      </c>
      <c r="Q82" s="107" t="s">
        <v>1280</v>
      </c>
    </row>
    <row r="83" spans="7:17" x14ac:dyDescent="0.2">
      <c r="G83" s="107" t="s">
        <v>1043</v>
      </c>
      <c r="H83" s="107" t="s">
        <v>996</v>
      </c>
      <c r="I83" s="107" t="s">
        <v>209</v>
      </c>
      <c r="J83" s="107" t="s">
        <v>990</v>
      </c>
      <c r="K83" s="107" t="s">
        <v>210</v>
      </c>
      <c r="L83" s="107">
        <v>0</v>
      </c>
      <c r="M83" s="107" t="s">
        <v>1235</v>
      </c>
      <c r="N83" s="107" t="s">
        <v>1266</v>
      </c>
      <c r="Q83" s="107" t="s">
        <v>1280</v>
      </c>
    </row>
    <row r="84" spans="7:17" x14ac:dyDescent="0.2">
      <c r="G84" s="107" t="s">
        <v>1043</v>
      </c>
      <c r="H84" s="107" t="s">
        <v>999</v>
      </c>
      <c r="I84" s="107" t="s">
        <v>209</v>
      </c>
      <c r="J84" s="107" t="s">
        <v>990</v>
      </c>
      <c r="K84" s="107" t="s">
        <v>210</v>
      </c>
      <c r="L84" s="107">
        <v>0</v>
      </c>
      <c r="M84" s="107" t="s">
        <v>1235</v>
      </c>
      <c r="N84" s="107" t="s">
        <v>1268</v>
      </c>
      <c r="Q84" s="107" t="s">
        <v>1280</v>
      </c>
    </row>
    <row r="85" spans="7:17" x14ac:dyDescent="0.2">
      <c r="G85" s="107" t="s">
        <v>1043</v>
      </c>
      <c r="H85" s="107" t="s">
        <v>1003</v>
      </c>
      <c r="I85" s="107" t="s">
        <v>209</v>
      </c>
      <c r="J85" s="107" t="s">
        <v>990</v>
      </c>
      <c r="K85" s="107" t="s">
        <v>210</v>
      </c>
      <c r="L85" s="107">
        <v>0</v>
      </c>
      <c r="M85" s="107" t="s">
        <v>1235</v>
      </c>
      <c r="N85" s="107" t="s">
        <v>1269</v>
      </c>
      <c r="Q85" s="107" t="s">
        <v>1280</v>
      </c>
    </row>
    <row r="86" spans="7:17" x14ac:dyDescent="0.2">
      <c r="G86" s="107" t="s">
        <v>1043</v>
      </c>
      <c r="H86" s="107" t="s">
        <v>1006</v>
      </c>
      <c r="I86" s="107" t="s">
        <v>209</v>
      </c>
      <c r="J86" s="107" t="s">
        <v>990</v>
      </c>
      <c r="K86" s="107" t="s">
        <v>210</v>
      </c>
      <c r="L86" s="107">
        <v>39.270000000000003</v>
      </c>
      <c r="M86" s="107" t="s">
        <v>1235</v>
      </c>
      <c r="N86" s="107" t="s">
        <v>1270</v>
      </c>
      <c r="Q86" s="107" t="s">
        <v>1280</v>
      </c>
    </row>
    <row r="87" spans="7:17" x14ac:dyDescent="0.2">
      <c r="G87" s="107" t="s">
        <v>1043</v>
      </c>
      <c r="H87" s="107" t="s">
        <v>1009</v>
      </c>
      <c r="I87" s="107" t="s">
        <v>209</v>
      </c>
      <c r="J87" s="107" t="s">
        <v>990</v>
      </c>
      <c r="K87" s="107" t="s">
        <v>210</v>
      </c>
      <c r="L87" s="107">
        <v>0</v>
      </c>
      <c r="M87" s="107" t="s">
        <v>1235</v>
      </c>
      <c r="N87" s="107" t="s">
        <v>1271</v>
      </c>
      <c r="Q87" s="107" t="s">
        <v>1280</v>
      </c>
    </row>
    <row r="88" spans="7:17" x14ac:dyDescent="0.2">
      <c r="G88" s="107" t="s">
        <v>1043</v>
      </c>
      <c r="H88" s="107" t="s">
        <v>1012</v>
      </c>
      <c r="I88" s="107" t="s">
        <v>209</v>
      </c>
      <c r="J88" s="107" t="s">
        <v>990</v>
      </c>
      <c r="K88" s="107" t="s">
        <v>210</v>
      </c>
      <c r="L88" s="107">
        <v>39.229999999999997</v>
      </c>
      <c r="M88" s="107" t="s">
        <v>1235</v>
      </c>
      <c r="N88" s="107" t="s">
        <v>1272</v>
      </c>
      <c r="Q88" s="107" t="s">
        <v>1280</v>
      </c>
    </row>
    <row r="89" spans="7:17" x14ac:dyDescent="0.2">
      <c r="G89" s="107" t="s">
        <v>1043</v>
      </c>
      <c r="H89" s="107" t="s">
        <v>1015</v>
      </c>
      <c r="I89" s="107" t="s">
        <v>209</v>
      </c>
      <c r="J89" s="107" t="s">
        <v>990</v>
      </c>
      <c r="K89" s="107" t="s">
        <v>210</v>
      </c>
      <c r="L89" s="107">
        <v>0</v>
      </c>
      <c r="M89" s="107" t="s">
        <v>1235</v>
      </c>
      <c r="N89" s="107" t="s">
        <v>915</v>
      </c>
      <c r="Q89" s="107" t="s">
        <v>1280</v>
      </c>
    </row>
    <row r="90" spans="7:17" x14ac:dyDescent="0.2">
      <c r="G90" s="107" t="s">
        <v>1043</v>
      </c>
      <c r="H90" s="107" t="s">
        <v>1019</v>
      </c>
      <c r="I90" s="107" t="s">
        <v>209</v>
      </c>
      <c r="J90" s="107" t="s">
        <v>990</v>
      </c>
      <c r="K90" s="107" t="s">
        <v>210</v>
      </c>
      <c r="L90" s="107">
        <v>34.99</v>
      </c>
      <c r="M90" s="107" t="s">
        <v>1236</v>
      </c>
      <c r="N90" s="107" t="s">
        <v>1265</v>
      </c>
      <c r="Q90" s="107" t="s">
        <v>1281</v>
      </c>
    </row>
    <row r="91" spans="7:17" x14ac:dyDescent="0.2">
      <c r="G91" s="107" t="s">
        <v>1043</v>
      </c>
      <c r="H91" s="107" t="s">
        <v>1022</v>
      </c>
      <c r="I91" s="107" t="s">
        <v>209</v>
      </c>
      <c r="J91" s="107" t="s">
        <v>990</v>
      </c>
      <c r="K91" s="107" t="s">
        <v>210</v>
      </c>
      <c r="L91" s="107">
        <v>0</v>
      </c>
      <c r="M91" s="107" t="s">
        <v>1236</v>
      </c>
      <c r="N91" s="107" t="s">
        <v>1266</v>
      </c>
      <c r="Q91" s="107" t="s">
        <v>1281</v>
      </c>
    </row>
    <row r="92" spans="7:17" x14ac:dyDescent="0.2">
      <c r="G92" s="107" t="s">
        <v>1043</v>
      </c>
      <c r="H92" s="107" t="s">
        <v>1025</v>
      </c>
      <c r="I92" s="107" t="s">
        <v>209</v>
      </c>
      <c r="J92" s="107" t="s">
        <v>990</v>
      </c>
      <c r="K92" s="107" t="s">
        <v>210</v>
      </c>
      <c r="L92" s="107">
        <v>0</v>
      </c>
      <c r="M92" s="107" t="s">
        <v>1236</v>
      </c>
      <c r="N92" s="107" t="s">
        <v>1268</v>
      </c>
      <c r="Q92" s="107" t="s">
        <v>1281</v>
      </c>
    </row>
    <row r="93" spans="7:17" x14ac:dyDescent="0.2">
      <c r="G93" s="107" t="s">
        <v>1043</v>
      </c>
      <c r="H93" s="107" t="s">
        <v>1028</v>
      </c>
      <c r="I93" s="107" t="s">
        <v>209</v>
      </c>
      <c r="J93" s="107" t="s">
        <v>990</v>
      </c>
      <c r="K93" s="107" t="s">
        <v>210</v>
      </c>
      <c r="L93" s="107">
        <v>0</v>
      </c>
      <c r="M93" s="107" t="s">
        <v>1236</v>
      </c>
      <c r="N93" s="107" t="s">
        <v>1269</v>
      </c>
      <c r="Q93" s="107" t="s">
        <v>1281</v>
      </c>
    </row>
    <row r="94" spans="7:17" x14ac:dyDescent="0.2">
      <c r="G94" s="107" t="s">
        <v>1043</v>
      </c>
      <c r="H94" s="107" t="s">
        <v>1031</v>
      </c>
      <c r="I94" s="107" t="s">
        <v>209</v>
      </c>
      <c r="J94" s="107" t="s">
        <v>990</v>
      </c>
      <c r="K94" s="107" t="s">
        <v>210</v>
      </c>
      <c r="L94" s="107">
        <v>0</v>
      </c>
      <c r="M94" s="107" t="s">
        <v>1236</v>
      </c>
      <c r="N94" s="107" t="s">
        <v>1270</v>
      </c>
      <c r="Q94" s="107" t="s">
        <v>1281</v>
      </c>
    </row>
    <row r="95" spans="7:17" x14ac:dyDescent="0.2">
      <c r="G95" s="107" t="s">
        <v>1043</v>
      </c>
      <c r="H95" s="107" t="s">
        <v>1034</v>
      </c>
      <c r="I95" s="107" t="s">
        <v>209</v>
      </c>
      <c r="J95" s="107" t="s">
        <v>990</v>
      </c>
      <c r="K95" s="107" t="s">
        <v>210</v>
      </c>
      <c r="L95" s="107">
        <v>0</v>
      </c>
      <c r="M95" s="107" t="s">
        <v>1236</v>
      </c>
      <c r="N95" s="107" t="s">
        <v>1271</v>
      </c>
      <c r="Q95" s="107" t="s">
        <v>1281</v>
      </c>
    </row>
    <row r="96" spans="7:17" x14ac:dyDescent="0.2">
      <c r="G96" s="107" t="s">
        <v>1043</v>
      </c>
      <c r="H96" s="107" t="s">
        <v>1037</v>
      </c>
      <c r="I96" s="107" t="s">
        <v>209</v>
      </c>
      <c r="J96" s="107" t="s">
        <v>990</v>
      </c>
      <c r="K96" s="107" t="s">
        <v>210</v>
      </c>
      <c r="L96" s="107">
        <v>36.08</v>
      </c>
      <c r="M96" s="107" t="s">
        <v>1236</v>
      </c>
      <c r="N96" s="107" t="s">
        <v>1272</v>
      </c>
      <c r="Q96" s="107" t="s">
        <v>1281</v>
      </c>
    </row>
    <row r="97" spans="7:17" x14ac:dyDescent="0.2">
      <c r="G97" s="107" t="s">
        <v>1043</v>
      </c>
      <c r="H97" s="107" t="s">
        <v>1040</v>
      </c>
      <c r="I97" s="107" t="s">
        <v>209</v>
      </c>
      <c r="J97" s="107" t="s">
        <v>990</v>
      </c>
      <c r="K97" s="107" t="s">
        <v>210</v>
      </c>
      <c r="L97" s="107">
        <v>0</v>
      </c>
      <c r="M97" s="107" t="s">
        <v>1236</v>
      </c>
      <c r="N97" s="107" t="s">
        <v>915</v>
      </c>
      <c r="Q97" s="107" t="s">
        <v>1281</v>
      </c>
    </row>
  </sheetData>
  <mergeCells count="3">
    <mergeCell ref="Q20:R20"/>
    <mergeCell ref="Q21:R21"/>
    <mergeCell ref="Q22:R22"/>
  </mergeCells>
  <pageMargins left="0.75" right="0.75" top="1" bottom="1" header="0.5" footer="0.5"/>
  <pageSetup orientation="portrait" horizontalDpi="300" verticalDpi="300"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17751-8A4F-41AE-9427-093C6FE63A78}">
  <sheetPr>
    <outlinePr summaryBelow="0" summaryRight="0"/>
    <pageSetUpPr autoPageBreaks="0" fitToPage="1"/>
  </sheetPr>
  <dimension ref="A1:V193"/>
  <sheetViews>
    <sheetView topLeftCell="E13" workbookViewId="0">
      <selection activeCell="U25" sqref="U25"/>
    </sheetView>
  </sheetViews>
  <sheetFormatPr defaultRowHeight="12.75" x14ac:dyDescent="0.2"/>
  <cols>
    <col min="1" max="18" width="9.140625" style="107"/>
    <col min="19" max="19" width="12.42578125" style="107" bestFit="1" customWidth="1"/>
    <col min="20" max="274" width="9.140625" style="107"/>
    <col min="275" max="275" width="12.42578125" style="107" bestFit="1" customWidth="1"/>
    <col min="276" max="530" width="9.140625" style="107"/>
    <col min="531" max="531" width="12.42578125" style="107" bestFit="1" customWidth="1"/>
    <col min="532" max="786" width="9.140625" style="107"/>
    <col min="787" max="787" width="12.42578125" style="107" bestFit="1" customWidth="1"/>
    <col min="788" max="1042" width="9.140625" style="107"/>
    <col min="1043" max="1043" width="12.42578125" style="107" bestFit="1" customWidth="1"/>
    <col min="1044" max="1298" width="9.140625" style="107"/>
    <col min="1299" max="1299" width="12.42578125" style="107" bestFit="1" customWidth="1"/>
    <col min="1300" max="1554" width="9.140625" style="107"/>
    <col min="1555" max="1555" width="12.42578125" style="107" bestFit="1" customWidth="1"/>
    <col min="1556" max="1810" width="9.140625" style="107"/>
    <col min="1811" max="1811" width="12.42578125" style="107" bestFit="1" customWidth="1"/>
    <col min="1812" max="2066" width="9.140625" style="107"/>
    <col min="2067" max="2067" width="12.42578125" style="107" bestFit="1" customWidth="1"/>
    <col min="2068" max="2322" width="9.140625" style="107"/>
    <col min="2323" max="2323" width="12.42578125" style="107" bestFit="1" customWidth="1"/>
    <col min="2324" max="2578" width="9.140625" style="107"/>
    <col min="2579" max="2579" width="12.42578125" style="107" bestFit="1" customWidth="1"/>
    <col min="2580" max="2834" width="9.140625" style="107"/>
    <col min="2835" max="2835" width="12.42578125" style="107" bestFit="1" customWidth="1"/>
    <col min="2836" max="3090" width="9.140625" style="107"/>
    <col min="3091" max="3091" width="12.42578125" style="107" bestFit="1" customWidth="1"/>
    <col min="3092" max="3346" width="9.140625" style="107"/>
    <col min="3347" max="3347" width="12.42578125" style="107" bestFit="1" customWidth="1"/>
    <col min="3348" max="3602" width="9.140625" style="107"/>
    <col min="3603" max="3603" width="12.42578125" style="107" bestFit="1" customWidth="1"/>
    <col min="3604" max="3858" width="9.140625" style="107"/>
    <col min="3859" max="3859" width="12.42578125" style="107" bestFit="1" customWidth="1"/>
    <col min="3860" max="4114" width="9.140625" style="107"/>
    <col min="4115" max="4115" width="12.42578125" style="107" bestFit="1" customWidth="1"/>
    <col min="4116" max="4370" width="9.140625" style="107"/>
    <col min="4371" max="4371" width="12.42578125" style="107" bestFit="1" customWidth="1"/>
    <col min="4372" max="4626" width="9.140625" style="107"/>
    <col min="4627" max="4627" width="12.42578125" style="107" bestFit="1" customWidth="1"/>
    <col min="4628" max="4882" width="9.140625" style="107"/>
    <col min="4883" max="4883" width="12.42578125" style="107" bestFit="1" customWidth="1"/>
    <col min="4884" max="5138" width="9.140625" style="107"/>
    <col min="5139" max="5139" width="12.42578125" style="107" bestFit="1" customWidth="1"/>
    <col min="5140" max="5394" width="9.140625" style="107"/>
    <col min="5395" max="5395" width="12.42578125" style="107" bestFit="1" customWidth="1"/>
    <col min="5396" max="5650" width="9.140625" style="107"/>
    <col min="5651" max="5651" width="12.42578125" style="107" bestFit="1" customWidth="1"/>
    <col min="5652" max="5906" width="9.140625" style="107"/>
    <col min="5907" max="5907" width="12.42578125" style="107" bestFit="1" customWidth="1"/>
    <col min="5908" max="6162" width="9.140625" style="107"/>
    <col min="6163" max="6163" width="12.42578125" style="107" bestFit="1" customWidth="1"/>
    <col min="6164" max="6418" width="9.140625" style="107"/>
    <col min="6419" max="6419" width="12.42578125" style="107" bestFit="1" customWidth="1"/>
    <col min="6420" max="6674" width="9.140625" style="107"/>
    <col min="6675" max="6675" width="12.42578125" style="107" bestFit="1" customWidth="1"/>
    <col min="6676" max="6930" width="9.140625" style="107"/>
    <col min="6931" max="6931" width="12.42578125" style="107" bestFit="1" customWidth="1"/>
    <col min="6932" max="7186" width="9.140625" style="107"/>
    <col min="7187" max="7187" width="12.42578125" style="107" bestFit="1" customWidth="1"/>
    <col min="7188" max="7442" width="9.140625" style="107"/>
    <col min="7443" max="7443" width="12.42578125" style="107" bestFit="1" customWidth="1"/>
    <col min="7444" max="7698" width="9.140625" style="107"/>
    <col min="7699" max="7699" width="12.42578125" style="107" bestFit="1" customWidth="1"/>
    <col min="7700" max="7954" width="9.140625" style="107"/>
    <col min="7955" max="7955" width="12.42578125" style="107" bestFit="1" customWidth="1"/>
    <col min="7956" max="8210" width="9.140625" style="107"/>
    <col min="8211" max="8211" width="12.42578125" style="107" bestFit="1" customWidth="1"/>
    <col min="8212" max="8466" width="9.140625" style="107"/>
    <col min="8467" max="8467" width="12.42578125" style="107" bestFit="1" customWidth="1"/>
    <col min="8468" max="8722" width="9.140625" style="107"/>
    <col min="8723" max="8723" width="12.42578125" style="107" bestFit="1" customWidth="1"/>
    <col min="8724" max="8978" width="9.140625" style="107"/>
    <col min="8979" max="8979" width="12.42578125" style="107" bestFit="1" customWidth="1"/>
    <col min="8980" max="9234" width="9.140625" style="107"/>
    <col min="9235" max="9235" width="12.42578125" style="107" bestFit="1" customWidth="1"/>
    <col min="9236" max="9490" width="9.140625" style="107"/>
    <col min="9491" max="9491" width="12.42578125" style="107" bestFit="1" customWidth="1"/>
    <col min="9492" max="9746" width="9.140625" style="107"/>
    <col min="9747" max="9747" width="12.42578125" style="107" bestFit="1" customWidth="1"/>
    <col min="9748" max="10002" width="9.140625" style="107"/>
    <col min="10003" max="10003" width="12.42578125" style="107" bestFit="1" customWidth="1"/>
    <col min="10004" max="10258" width="9.140625" style="107"/>
    <col min="10259" max="10259" width="12.42578125" style="107" bestFit="1" customWidth="1"/>
    <col min="10260" max="10514" width="9.140625" style="107"/>
    <col min="10515" max="10515" width="12.42578125" style="107" bestFit="1" customWidth="1"/>
    <col min="10516" max="10770" width="9.140625" style="107"/>
    <col min="10771" max="10771" width="12.42578125" style="107" bestFit="1" customWidth="1"/>
    <col min="10772" max="11026" width="9.140625" style="107"/>
    <col min="11027" max="11027" width="12.42578125" style="107" bestFit="1" customWidth="1"/>
    <col min="11028" max="11282" width="9.140625" style="107"/>
    <col min="11283" max="11283" width="12.42578125" style="107" bestFit="1" customWidth="1"/>
    <col min="11284" max="11538" width="9.140625" style="107"/>
    <col min="11539" max="11539" width="12.42578125" style="107" bestFit="1" customWidth="1"/>
    <col min="11540" max="11794" width="9.140625" style="107"/>
    <col min="11795" max="11795" width="12.42578125" style="107" bestFit="1" customWidth="1"/>
    <col min="11796" max="12050" width="9.140625" style="107"/>
    <col min="12051" max="12051" width="12.42578125" style="107" bestFit="1" customWidth="1"/>
    <col min="12052" max="12306" width="9.140625" style="107"/>
    <col min="12307" max="12307" width="12.42578125" style="107" bestFit="1" customWidth="1"/>
    <col min="12308" max="12562" width="9.140625" style="107"/>
    <col min="12563" max="12563" width="12.42578125" style="107" bestFit="1" customWidth="1"/>
    <col min="12564" max="12818" width="9.140625" style="107"/>
    <col min="12819" max="12819" width="12.42578125" style="107" bestFit="1" customWidth="1"/>
    <col min="12820" max="13074" width="9.140625" style="107"/>
    <col min="13075" max="13075" width="12.42578125" style="107" bestFit="1" customWidth="1"/>
    <col min="13076" max="13330" width="9.140625" style="107"/>
    <col min="13331" max="13331" width="12.42578125" style="107" bestFit="1" customWidth="1"/>
    <col min="13332" max="13586" width="9.140625" style="107"/>
    <col min="13587" max="13587" width="12.42578125" style="107" bestFit="1" customWidth="1"/>
    <col min="13588" max="13842" width="9.140625" style="107"/>
    <col min="13843" max="13843" width="12.42578125" style="107" bestFit="1" customWidth="1"/>
    <col min="13844" max="14098" width="9.140625" style="107"/>
    <col min="14099" max="14099" width="12.42578125" style="107" bestFit="1" customWidth="1"/>
    <col min="14100" max="14354" width="9.140625" style="107"/>
    <col min="14355" max="14355" width="12.42578125" style="107" bestFit="1" customWidth="1"/>
    <col min="14356" max="14610" width="9.140625" style="107"/>
    <col min="14611" max="14611" width="12.42578125" style="107" bestFit="1" customWidth="1"/>
    <col min="14612" max="14866" width="9.140625" style="107"/>
    <col min="14867" max="14867" width="12.42578125" style="107" bestFit="1" customWidth="1"/>
    <col min="14868" max="15122" width="9.140625" style="107"/>
    <col min="15123" max="15123" width="12.42578125" style="107" bestFit="1" customWidth="1"/>
    <col min="15124" max="15378" width="9.140625" style="107"/>
    <col min="15379" max="15379" width="12.42578125" style="107" bestFit="1" customWidth="1"/>
    <col min="15380" max="15634" width="9.140625" style="107"/>
    <col min="15635" max="15635" width="12.42578125" style="107" bestFit="1" customWidth="1"/>
    <col min="15636" max="15890" width="9.140625" style="107"/>
    <col min="15891" max="15891" width="12.42578125" style="107" bestFit="1" customWidth="1"/>
    <col min="15892" max="16146" width="9.140625" style="107"/>
    <col min="16147" max="16147" width="12.42578125" style="107" bestFit="1" customWidth="1"/>
    <col min="16148" max="16384" width="9.140625" style="107"/>
  </cols>
  <sheetData>
    <row r="1" spans="1:22" x14ac:dyDescent="0.2">
      <c r="A1" s="107" t="s">
        <v>198</v>
      </c>
      <c r="B1" s="107" t="s">
        <v>199</v>
      </c>
      <c r="C1" s="107" t="s">
        <v>200</v>
      </c>
      <c r="D1" s="107" t="s">
        <v>201</v>
      </c>
      <c r="E1" s="107" t="s">
        <v>202</v>
      </c>
      <c r="G1" s="107" t="s">
        <v>198</v>
      </c>
      <c r="H1" s="107" t="s">
        <v>199</v>
      </c>
      <c r="I1" s="107" t="s">
        <v>200</v>
      </c>
      <c r="J1" s="107" t="s">
        <v>201</v>
      </c>
      <c r="K1" s="107" t="s">
        <v>202</v>
      </c>
      <c r="L1" s="107" t="s">
        <v>1154</v>
      </c>
      <c r="M1" s="107" t="s">
        <v>1228</v>
      </c>
    </row>
    <row r="2" spans="1:22" ht="27" customHeight="1" x14ac:dyDescent="0.2">
      <c r="A2" s="107" t="s">
        <v>204</v>
      </c>
      <c r="B2" s="107" t="s">
        <v>981</v>
      </c>
      <c r="C2" s="107" t="s">
        <v>206</v>
      </c>
      <c r="D2" s="107" t="s">
        <v>809</v>
      </c>
      <c r="E2" s="107">
        <v>32.56</v>
      </c>
      <c r="F2" s="107" t="s">
        <v>220</v>
      </c>
      <c r="G2" s="107" t="s">
        <v>204</v>
      </c>
      <c r="H2" s="107" t="s">
        <v>1080</v>
      </c>
      <c r="I2" s="107" t="s">
        <v>206</v>
      </c>
      <c r="J2" s="107" t="s">
        <v>210</v>
      </c>
      <c r="K2" s="107">
        <v>34.299999999999997</v>
      </c>
      <c r="L2" s="247" t="s">
        <v>1229</v>
      </c>
      <c r="M2" s="107" t="s">
        <v>1201</v>
      </c>
      <c r="N2" s="248" t="s">
        <v>20</v>
      </c>
      <c r="O2" s="249" t="s">
        <v>21</v>
      </c>
      <c r="P2" s="249" t="s">
        <v>1230</v>
      </c>
      <c r="Q2" s="250" t="s">
        <v>1231</v>
      </c>
      <c r="R2" s="107" t="s">
        <v>780</v>
      </c>
      <c r="S2" s="107" t="s">
        <v>1232</v>
      </c>
      <c r="T2" s="251" t="s">
        <v>1233</v>
      </c>
      <c r="U2" s="107" t="s">
        <v>1234</v>
      </c>
    </row>
    <row r="3" spans="1:22" ht="15" x14ac:dyDescent="0.25">
      <c r="A3" s="107" t="s">
        <v>204</v>
      </c>
      <c r="B3" s="107" t="s">
        <v>1080</v>
      </c>
      <c r="C3" s="107" t="s">
        <v>206</v>
      </c>
      <c r="D3" s="107" t="s">
        <v>210</v>
      </c>
      <c r="E3" s="107">
        <v>34.299999999999997</v>
      </c>
      <c r="F3" s="107" t="s">
        <v>220</v>
      </c>
      <c r="G3" s="107" t="s">
        <v>211</v>
      </c>
      <c r="H3" s="107" t="s">
        <v>1080</v>
      </c>
      <c r="I3" s="107" t="s">
        <v>206</v>
      </c>
      <c r="J3" s="107" t="s">
        <v>210</v>
      </c>
      <c r="K3" s="107">
        <v>33.42</v>
      </c>
      <c r="L3" s="247" t="s">
        <v>1229</v>
      </c>
      <c r="M3" s="107" t="s">
        <v>1202</v>
      </c>
      <c r="N3" s="252" t="s">
        <v>1106</v>
      </c>
      <c r="O3" s="253">
        <v>9.5759014500192477E-10</v>
      </c>
      <c r="P3" s="254">
        <v>576660.78532015928</v>
      </c>
      <c r="Q3" s="255">
        <v>11533.215706403187</v>
      </c>
      <c r="T3" s="107">
        <f>LOG(O3)</f>
        <v>-9.0188203321017575</v>
      </c>
      <c r="U3" s="190">
        <v>1</v>
      </c>
    </row>
    <row r="4" spans="1:22" ht="15" x14ac:dyDescent="0.25">
      <c r="A4" s="107" t="s">
        <v>211</v>
      </c>
      <c r="B4" s="107" t="s">
        <v>981</v>
      </c>
      <c r="C4" s="107" t="s">
        <v>206</v>
      </c>
      <c r="D4" s="107" t="s">
        <v>809</v>
      </c>
      <c r="E4" s="107">
        <v>32.94</v>
      </c>
      <c r="F4" s="107" t="s">
        <v>220</v>
      </c>
      <c r="G4" s="107" t="s">
        <v>212</v>
      </c>
      <c r="H4" s="107" t="s">
        <v>1080</v>
      </c>
      <c r="I4" s="107" t="s">
        <v>206</v>
      </c>
      <c r="J4" s="107" t="s">
        <v>210</v>
      </c>
      <c r="K4" s="107">
        <v>34.25</v>
      </c>
      <c r="L4" s="247" t="s">
        <v>1229</v>
      </c>
      <c r="M4" s="107" t="s">
        <v>1203</v>
      </c>
      <c r="N4" s="256" t="s">
        <v>1107</v>
      </c>
      <c r="O4" s="257">
        <v>9.5759014500192472E-11</v>
      </c>
      <c r="P4" s="258">
        <v>57666.078532015927</v>
      </c>
      <c r="Q4" s="259">
        <v>1153.3215706403184</v>
      </c>
      <c r="T4" s="107">
        <f t="shared" ref="T4:T9" si="0">LOG(O4)</f>
        <v>-10.018820332101757</v>
      </c>
      <c r="U4" s="190">
        <v>1</v>
      </c>
    </row>
    <row r="5" spans="1:22" ht="15" x14ac:dyDescent="0.25">
      <c r="A5" s="107" t="s">
        <v>211</v>
      </c>
      <c r="B5" s="107" t="s">
        <v>1080</v>
      </c>
      <c r="C5" s="107" t="s">
        <v>206</v>
      </c>
      <c r="D5" s="107" t="s">
        <v>210</v>
      </c>
      <c r="E5" s="107">
        <v>33.42</v>
      </c>
      <c r="F5" s="107" t="s">
        <v>220</v>
      </c>
      <c r="G5" s="107" t="s">
        <v>213</v>
      </c>
      <c r="H5" s="107" t="s">
        <v>1080</v>
      </c>
      <c r="I5" s="107" t="s">
        <v>206</v>
      </c>
      <c r="J5" s="107" t="s">
        <v>210</v>
      </c>
      <c r="K5" s="107">
        <v>35.4</v>
      </c>
      <c r="L5" s="247" t="s">
        <v>1229</v>
      </c>
      <c r="M5" s="107" t="s">
        <v>1205</v>
      </c>
      <c r="N5" s="252" t="s">
        <v>1108</v>
      </c>
      <c r="O5" s="253">
        <v>9.5759014500192465E-12</v>
      </c>
      <c r="P5" s="254">
        <v>5766.6078532015927</v>
      </c>
      <c r="Q5" s="255">
        <v>115.33215706403185</v>
      </c>
      <c r="R5" s="107">
        <v>24</v>
      </c>
      <c r="S5" s="107">
        <v>24</v>
      </c>
      <c r="T5" s="107">
        <f t="shared" si="0"/>
        <v>-11.018820332101757</v>
      </c>
      <c r="U5" s="190">
        <f>S5/R5</f>
        <v>1</v>
      </c>
    </row>
    <row r="6" spans="1:22" ht="15" x14ac:dyDescent="0.25">
      <c r="A6" s="107" t="s">
        <v>212</v>
      </c>
      <c r="B6" s="107" t="s">
        <v>981</v>
      </c>
      <c r="C6" s="107" t="s">
        <v>206</v>
      </c>
      <c r="D6" s="107" t="s">
        <v>809</v>
      </c>
      <c r="E6" s="107">
        <v>32.93</v>
      </c>
      <c r="F6" s="107" t="s">
        <v>220</v>
      </c>
      <c r="G6" s="107" t="s">
        <v>214</v>
      </c>
      <c r="H6" s="107" t="s">
        <v>1080</v>
      </c>
      <c r="I6" s="107" t="s">
        <v>206</v>
      </c>
      <c r="J6" s="107" t="s">
        <v>210</v>
      </c>
      <c r="K6" s="107">
        <v>34.01</v>
      </c>
      <c r="L6" s="247" t="s">
        <v>1229</v>
      </c>
      <c r="M6" s="107" t="s">
        <v>1235</v>
      </c>
      <c r="N6" s="256" t="s">
        <v>1109</v>
      </c>
      <c r="O6" s="257">
        <v>9.5759014500192457E-13</v>
      </c>
      <c r="P6" s="258">
        <v>576.66078532015922</v>
      </c>
      <c r="Q6" s="259">
        <v>11.533215706403183</v>
      </c>
      <c r="R6" s="107">
        <v>24</v>
      </c>
      <c r="S6" s="107">
        <f>7+7</f>
        <v>14</v>
      </c>
      <c r="T6" s="107">
        <f t="shared" si="0"/>
        <v>-12.018820332101757</v>
      </c>
      <c r="U6" s="190">
        <f>S6/R6</f>
        <v>0.58333333333333337</v>
      </c>
    </row>
    <row r="7" spans="1:22" ht="15" x14ac:dyDescent="0.25">
      <c r="A7" s="107" t="s">
        <v>212</v>
      </c>
      <c r="B7" s="107" t="s">
        <v>1080</v>
      </c>
      <c r="C7" s="107" t="s">
        <v>206</v>
      </c>
      <c r="D7" s="107" t="s">
        <v>210</v>
      </c>
      <c r="E7" s="107">
        <v>34.25</v>
      </c>
      <c r="F7" s="107" t="s">
        <v>220</v>
      </c>
      <c r="G7" s="107" t="s">
        <v>215</v>
      </c>
      <c r="H7" s="107" t="s">
        <v>1080</v>
      </c>
      <c r="I7" s="107" t="s">
        <v>206</v>
      </c>
      <c r="J7" s="107" t="s">
        <v>210</v>
      </c>
      <c r="K7" s="107">
        <v>34.49</v>
      </c>
      <c r="L7" s="247" t="s">
        <v>1229</v>
      </c>
      <c r="M7" s="107" t="s">
        <v>1236</v>
      </c>
      <c r="N7" s="252" t="s">
        <v>1110</v>
      </c>
      <c r="O7" s="253">
        <v>9.5759014500192455E-14</v>
      </c>
      <c r="P7" s="254">
        <v>57.666078532015923</v>
      </c>
      <c r="Q7" s="255">
        <v>1.1533215706403186</v>
      </c>
      <c r="R7" s="107">
        <v>24</v>
      </c>
      <c r="S7" s="107">
        <f>3+4</f>
        <v>7</v>
      </c>
      <c r="T7" s="107">
        <f t="shared" si="0"/>
        <v>-13.018820332101757</v>
      </c>
      <c r="U7" s="190">
        <f>S7/R7</f>
        <v>0.29166666666666669</v>
      </c>
    </row>
    <row r="8" spans="1:22" ht="15" x14ac:dyDescent="0.25">
      <c r="A8" s="107" t="s">
        <v>213</v>
      </c>
      <c r="B8" s="107" t="s">
        <v>981</v>
      </c>
      <c r="C8" s="107" t="s">
        <v>206</v>
      </c>
      <c r="D8" s="107" t="s">
        <v>809</v>
      </c>
      <c r="E8" s="107">
        <v>32.799999999999997</v>
      </c>
      <c r="F8" s="107" t="s">
        <v>220</v>
      </c>
      <c r="G8" s="107" t="s">
        <v>216</v>
      </c>
      <c r="H8" s="107" t="s">
        <v>1080</v>
      </c>
      <c r="I8" s="107" t="s">
        <v>206</v>
      </c>
      <c r="J8" s="107" t="s">
        <v>210</v>
      </c>
      <c r="K8" s="107">
        <v>33.43</v>
      </c>
      <c r="L8" s="247" t="s">
        <v>1229</v>
      </c>
      <c r="M8" s="107" t="s">
        <v>1237</v>
      </c>
      <c r="N8" s="256" t="s">
        <v>1111</v>
      </c>
      <c r="O8" s="257">
        <v>9.5759014500192448E-15</v>
      </c>
      <c r="P8" s="258">
        <v>5.7666078532015925</v>
      </c>
      <c r="Q8" s="259">
        <v>0.11533215706403185</v>
      </c>
      <c r="R8" s="107">
        <v>12</v>
      </c>
      <c r="S8" s="107">
        <v>3</v>
      </c>
      <c r="T8" s="107">
        <f t="shared" si="0"/>
        <v>-14.018820332101757</v>
      </c>
      <c r="U8" s="190">
        <f>S8/R8</f>
        <v>0.25</v>
      </c>
    </row>
    <row r="9" spans="1:22" ht="15" x14ac:dyDescent="0.25">
      <c r="A9" s="107" t="s">
        <v>213</v>
      </c>
      <c r="B9" s="107" t="s">
        <v>1080</v>
      </c>
      <c r="C9" s="107" t="s">
        <v>206</v>
      </c>
      <c r="D9" s="107" t="s">
        <v>210</v>
      </c>
      <c r="E9" s="107">
        <v>35.4</v>
      </c>
      <c r="F9" s="107" t="s">
        <v>220</v>
      </c>
      <c r="G9" s="107" t="s">
        <v>217</v>
      </c>
      <c r="H9" s="107" t="s">
        <v>1080</v>
      </c>
      <c r="I9" s="107" t="s">
        <v>206</v>
      </c>
      <c r="J9" s="107" t="s">
        <v>210</v>
      </c>
      <c r="K9" s="107">
        <v>34.08</v>
      </c>
      <c r="L9" s="247" t="s">
        <v>1229</v>
      </c>
      <c r="M9" s="107" t="s">
        <v>1238</v>
      </c>
      <c r="N9" s="252" t="s">
        <v>1112</v>
      </c>
      <c r="O9" s="253">
        <v>9.5759014500192445E-16</v>
      </c>
      <c r="P9" s="254">
        <v>0.5766607853201593</v>
      </c>
      <c r="Q9" s="255">
        <v>1.1533215706403185E-2</v>
      </c>
      <c r="T9" s="107">
        <f t="shared" si="0"/>
        <v>-15.018820332101757</v>
      </c>
      <c r="U9" s="190">
        <v>0</v>
      </c>
    </row>
    <row r="10" spans="1:22" ht="15" x14ac:dyDescent="0.25">
      <c r="A10" s="107" t="s">
        <v>214</v>
      </c>
      <c r="B10" s="107" t="s">
        <v>981</v>
      </c>
      <c r="C10" s="107" t="s">
        <v>206</v>
      </c>
      <c r="D10" s="107" t="s">
        <v>809</v>
      </c>
      <c r="E10" s="107">
        <v>33.51</v>
      </c>
      <c r="F10" s="107" t="s">
        <v>220</v>
      </c>
      <c r="G10" s="107" t="s">
        <v>218</v>
      </c>
      <c r="H10" s="107" t="s">
        <v>1080</v>
      </c>
      <c r="I10" s="107" t="s">
        <v>206</v>
      </c>
      <c r="J10" s="107" t="s">
        <v>210</v>
      </c>
      <c r="K10" s="107">
        <v>34.03</v>
      </c>
      <c r="L10" s="247" t="s">
        <v>1229</v>
      </c>
      <c r="M10" s="107" t="s">
        <v>1239</v>
      </c>
      <c r="R10" s="260"/>
      <c r="U10" s="190"/>
    </row>
    <row r="11" spans="1:22" x14ac:dyDescent="0.2">
      <c r="A11" s="107" t="s">
        <v>214</v>
      </c>
      <c r="B11" s="107" t="s">
        <v>1080</v>
      </c>
      <c r="C11" s="107" t="s">
        <v>206</v>
      </c>
      <c r="D11" s="107" t="s">
        <v>210</v>
      </c>
      <c r="E11" s="107">
        <v>34.01</v>
      </c>
      <c r="F11" s="107" t="s">
        <v>220</v>
      </c>
      <c r="G11" s="107" t="s">
        <v>219</v>
      </c>
      <c r="H11" s="107" t="s">
        <v>1080</v>
      </c>
      <c r="I11" s="107" t="s">
        <v>206</v>
      </c>
      <c r="J11" s="107" t="s">
        <v>210</v>
      </c>
      <c r="K11" s="107">
        <v>34.630000000000003</v>
      </c>
      <c r="L11" s="247" t="s">
        <v>1229</v>
      </c>
      <c r="M11" s="107" t="s">
        <v>1240</v>
      </c>
      <c r="R11" s="247" t="s">
        <v>1241</v>
      </c>
      <c r="S11" s="107" t="s">
        <v>27</v>
      </c>
      <c r="T11" s="107" t="s">
        <v>1242</v>
      </c>
      <c r="U11" s="107" t="s">
        <v>1243</v>
      </c>
    </row>
    <row r="12" spans="1:22" x14ac:dyDescent="0.2">
      <c r="A12" s="107" t="s">
        <v>215</v>
      </c>
      <c r="B12" s="107" t="s">
        <v>981</v>
      </c>
      <c r="C12" s="107" t="s">
        <v>206</v>
      </c>
      <c r="D12" s="107" t="s">
        <v>809</v>
      </c>
      <c r="E12" s="107">
        <v>33.89</v>
      </c>
      <c r="F12" s="107" t="s">
        <v>220</v>
      </c>
      <c r="G12" s="107" t="s">
        <v>221</v>
      </c>
      <c r="H12" s="107" t="s">
        <v>1080</v>
      </c>
      <c r="I12" s="107" t="s">
        <v>206</v>
      </c>
      <c r="J12" s="107" t="s">
        <v>210</v>
      </c>
      <c r="K12" s="107">
        <v>34.65</v>
      </c>
      <c r="L12" s="247" t="s">
        <v>1229</v>
      </c>
      <c r="M12" s="107" t="s">
        <v>1244</v>
      </c>
      <c r="R12" s="107">
        <v>-10.8386</v>
      </c>
      <c r="S12" s="107">
        <f>10^R12</f>
        <v>1.4501068364219693E-11</v>
      </c>
      <c r="T12" s="107">
        <f>S12*0.001/1000000*6.022E+23</f>
        <v>8732.5433689331003</v>
      </c>
      <c r="U12" s="193">
        <f>T12/1000*20</f>
        <v>174.65086737866201</v>
      </c>
      <c r="V12" s="107" t="s">
        <v>1195</v>
      </c>
    </row>
    <row r="13" spans="1:22" x14ac:dyDescent="0.2">
      <c r="A13" s="107" t="s">
        <v>215</v>
      </c>
      <c r="B13" s="107" t="s">
        <v>1080</v>
      </c>
      <c r="C13" s="107" t="s">
        <v>206</v>
      </c>
      <c r="D13" s="107" t="s">
        <v>210</v>
      </c>
      <c r="E13" s="107">
        <v>34.49</v>
      </c>
      <c r="F13" s="107" t="s">
        <v>220</v>
      </c>
      <c r="G13" s="107" t="s">
        <v>222</v>
      </c>
      <c r="H13" s="107" t="s">
        <v>1080</v>
      </c>
      <c r="I13" s="107" t="s">
        <v>206</v>
      </c>
      <c r="J13" s="107" t="s">
        <v>210</v>
      </c>
      <c r="K13" s="107">
        <v>35.659999999999997</v>
      </c>
      <c r="L13" s="247" t="s">
        <v>1229</v>
      </c>
      <c r="M13" s="107" t="s">
        <v>1245</v>
      </c>
      <c r="P13" s="107" t="s">
        <v>1246</v>
      </c>
      <c r="Q13" s="107">
        <v>100</v>
      </c>
      <c r="R13" s="261">
        <v>-10.256053113113101</v>
      </c>
      <c r="S13" s="107">
        <f t="shared" ref="S13:S14" si="1">10^R13</f>
        <v>5.5455788778810283E-11</v>
      </c>
      <c r="T13" s="107">
        <f t="shared" ref="T13:T14" si="2">S13*0.001/1000000*6.022E+23</f>
        <v>33395.476002599549</v>
      </c>
      <c r="U13" s="193">
        <f t="shared" ref="U13:U14" si="3">T13/1000*20</f>
        <v>667.90952005199097</v>
      </c>
      <c r="V13" s="107" t="s">
        <v>1195</v>
      </c>
    </row>
    <row r="14" spans="1:22" x14ac:dyDescent="0.2">
      <c r="A14" s="107" t="s">
        <v>216</v>
      </c>
      <c r="B14" s="107" t="s">
        <v>981</v>
      </c>
      <c r="C14" s="107" t="s">
        <v>206</v>
      </c>
      <c r="D14" s="107" t="s">
        <v>809</v>
      </c>
      <c r="E14" s="107">
        <v>32.58</v>
      </c>
      <c r="F14" s="107" t="s">
        <v>220</v>
      </c>
      <c r="G14" s="107" t="s">
        <v>223</v>
      </c>
      <c r="H14" s="107" t="s">
        <v>1080</v>
      </c>
      <c r="I14" s="107" t="s">
        <v>206</v>
      </c>
      <c r="J14" s="107" t="s">
        <v>210</v>
      </c>
      <c r="K14" s="107" t="s">
        <v>220</v>
      </c>
      <c r="L14" s="247" t="s">
        <v>1247</v>
      </c>
      <c r="M14" s="107" t="s">
        <v>1201</v>
      </c>
      <c r="P14" s="107" t="s">
        <v>1248</v>
      </c>
      <c r="Q14" s="107">
        <f>95.099-13.799</f>
        <v>81.300000000000011</v>
      </c>
      <c r="R14" s="261">
        <v>-11.529322142142099</v>
      </c>
      <c r="S14" s="107">
        <f t="shared" si="1"/>
        <v>2.9558191456879153E-12</v>
      </c>
      <c r="T14" s="107">
        <f t="shared" si="2"/>
        <v>1779.9942895332626</v>
      </c>
      <c r="U14" s="193">
        <f t="shared" si="3"/>
        <v>35.599885790665255</v>
      </c>
      <c r="V14" s="107" t="s">
        <v>1195</v>
      </c>
    </row>
    <row r="15" spans="1:22" x14ac:dyDescent="0.2">
      <c r="A15" s="107" t="s">
        <v>216</v>
      </c>
      <c r="B15" s="107" t="s">
        <v>1080</v>
      </c>
      <c r="C15" s="107" t="s">
        <v>206</v>
      </c>
      <c r="D15" s="107" t="s">
        <v>210</v>
      </c>
      <c r="E15" s="107">
        <v>33.43</v>
      </c>
      <c r="F15" s="107" t="s">
        <v>220</v>
      </c>
      <c r="G15" s="107" t="s">
        <v>234</v>
      </c>
      <c r="H15" s="107" t="s">
        <v>1080</v>
      </c>
      <c r="I15" s="107" t="s">
        <v>206</v>
      </c>
      <c r="J15" s="107" t="s">
        <v>210</v>
      </c>
      <c r="K15" s="107">
        <v>38.43</v>
      </c>
      <c r="L15" s="247" t="s">
        <v>1247</v>
      </c>
      <c r="M15" s="107" t="s">
        <v>1202</v>
      </c>
    </row>
    <row r="16" spans="1:22" x14ac:dyDescent="0.2">
      <c r="A16" s="107" t="s">
        <v>217</v>
      </c>
      <c r="B16" s="107" t="s">
        <v>981</v>
      </c>
      <c r="C16" s="107" t="s">
        <v>206</v>
      </c>
      <c r="D16" s="107" t="s">
        <v>809</v>
      </c>
      <c r="E16" s="107">
        <v>33.07</v>
      </c>
      <c r="F16" s="107" t="s">
        <v>220</v>
      </c>
      <c r="G16" s="107" t="s">
        <v>235</v>
      </c>
      <c r="H16" s="107" t="s">
        <v>1080</v>
      </c>
      <c r="I16" s="107" t="s">
        <v>206</v>
      </c>
      <c r="J16" s="107" t="s">
        <v>210</v>
      </c>
      <c r="K16" s="107" t="s">
        <v>220</v>
      </c>
      <c r="L16" s="247" t="s">
        <v>1247</v>
      </c>
      <c r="M16" s="107" t="s">
        <v>1203</v>
      </c>
    </row>
    <row r="17" spans="1:17" x14ac:dyDescent="0.2">
      <c r="A17" s="107" t="s">
        <v>217</v>
      </c>
      <c r="B17" s="107" t="s">
        <v>1080</v>
      </c>
      <c r="C17" s="107" t="s">
        <v>206</v>
      </c>
      <c r="D17" s="107" t="s">
        <v>210</v>
      </c>
      <c r="E17" s="107">
        <v>34.08</v>
      </c>
      <c r="F17" s="107" t="s">
        <v>220</v>
      </c>
      <c r="G17" s="107" t="s">
        <v>236</v>
      </c>
      <c r="H17" s="107" t="s">
        <v>1080</v>
      </c>
      <c r="I17" s="107" t="s">
        <v>206</v>
      </c>
      <c r="J17" s="107" t="s">
        <v>210</v>
      </c>
      <c r="K17" s="107" t="s">
        <v>220</v>
      </c>
      <c r="L17" s="247" t="s">
        <v>1247</v>
      </c>
      <c r="M17" s="107" t="s">
        <v>1205</v>
      </c>
      <c r="N17" s="107" t="s">
        <v>1249</v>
      </c>
    </row>
    <row r="18" spans="1:17" x14ac:dyDescent="0.2">
      <c r="A18" s="107" t="s">
        <v>218</v>
      </c>
      <c r="B18" s="107" t="s">
        <v>981</v>
      </c>
      <c r="C18" s="107" t="s">
        <v>206</v>
      </c>
      <c r="D18" s="107" t="s">
        <v>809</v>
      </c>
      <c r="E18" s="107">
        <v>33.049999999999997</v>
      </c>
      <c r="F18" s="107" t="s">
        <v>220</v>
      </c>
      <c r="G18" s="107" t="s">
        <v>237</v>
      </c>
      <c r="H18" s="107" t="s">
        <v>1080</v>
      </c>
      <c r="I18" s="107" t="s">
        <v>206</v>
      </c>
      <c r="J18" s="107" t="s">
        <v>210</v>
      </c>
      <c r="K18" s="107">
        <v>36.33</v>
      </c>
      <c r="L18" s="247" t="s">
        <v>1247</v>
      </c>
      <c r="M18" s="107" t="s">
        <v>1235</v>
      </c>
    </row>
    <row r="19" spans="1:17" ht="60" x14ac:dyDescent="0.2">
      <c r="A19" s="107" t="s">
        <v>218</v>
      </c>
      <c r="B19" s="107" t="s">
        <v>1080</v>
      </c>
      <c r="C19" s="107" t="s">
        <v>206</v>
      </c>
      <c r="D19" s="107" t="s">
        <v>210</v>
      </c>
      <c r="E19" s="107">
        <v>34.03</v>
      </c>
      <c r="F19" s="107" t="s">
        <v>220</v>
      </c>
      <c r="G19" s="107" t="s">
        <v>238</v>
      </c>
      <c r="H19" s="107" t="s">
        <v>1080</v>
      </c>
      <c r="I19" s="107" t="s">
        <v>206</v>
      </c>
      <c r="J19" s="107" t="s">
        <v>210</v>
      </c>
      <c r="K19" s="107">
        <v>36.65</v>
      </c>
      <c r="L19" s="247" t="s">
        <v>1247</v>
      </c>
      <c r="M19" s="107" t="s">
        <v>1236</v>
      </c>
      <c r="N19" s="262" t="s">
        <v>20</v>
      </c>
      <c r="O19" s="263" t="s">
        <v>21</v>
      </c>
      <c r="P19" s="263" t="s">
        <v>1230</v>
      </c>
      <c r="Q19" s="264" t="s">
        <v>1231</v>
      </c>
    </row>
    <row r="20" spans="1:17" x14ac:dyDescent="0.2">
      <c r="A20" s="107" t="s">
        <v>219</v>
      </c>
      <c r="B20" s="107" t="s">
        <v>981</v>
      </c>
      <c r="C20" s="107" t="s">
        <v>206</v>
      </c>
      <c r="D20" s="107" t="s">
        <v>809</v>
      </c>
      <c r="E20" s="107">
        <v>33.11</v>
      </c>
      <c r="F20" s="107" t="s">
        <v>220</v>
      </c>
      <c r="G20" s="107" t="s">
        <v>239</v>
      </c>
      <c r="H20" s="107" t="s">
        <v>1080</v>
      </c>
      <c r="I20" s="107" t="s">
        <v>206</v>
      </c>
      <c r="J20" s="107" t="s">
        <v>210</v>
      </c>
      <c r="K20" s="107" t="s">
        <v>220</v>
      </c>
      <c r="L20" s="247" t="s">
        <v>1247</v>
      </c>
      <c r="M20" s="107" t="s">
        <v>1237</v>
      </c>
      <c r="N20" s="256" t="s">
        <v>54</v>
      </c>
      <c r="O20" s="257">
        <v>95.759014500192478</v>
      </c>
      <c r="P20" s="258">
        <v>2306643141280637</v>
      </c>
      <c r="Q20" s="259">
        <v>46132862825612.742</v>
      </c>
    </row>
    <row r="21" spans="1:17" x14ac:dyDescent="0.2">
      <c r="A21" s="107" t="s">
        <v>219</v>
      </c>
      <c r="B21" s="107" t="s">
        <v>1080</v>
      </c>
      <c r="C21" s="107" t="s">
        <v>206</v>
      </c>
      <c r="D21" s="107" t="s">
        <v>210</v>
      </c>
      <c r="E21" s="107">
        <v>34.630000000000003</v>
      </c>
      <c r="F21" s="107" t="s">
        <v>220</v>
      </c>
      <c r="G21" s="107" t="s">
        <v>242</v>
      </c>
      <c r="H21" s="107" t="s">
        <v>1080</v>
      </c>
      <c r="I21" s="107" t="s">
        <v>206</v>
      </c>
      <c r="J21" s="107" t="s">
        <v>210</v>
      </c>
      <c r="K21" s="107">
        <v>38.85</v>
      </c>
      <c r="L21" s="247" t="s">
        <v>1247</v>
      </c>
      <c r="M21" s="107" t="s">
        <v>1238</v>
      </c>
      <c r="N21" s="252"/>
      <c r="O21" s="253"/>
      <c r="P21" s="254"/>
      <c r="Q21" s="255"/>
    </row>
    <row r="22" spans="1:17" x14ac:dyDescent="0.2">
      <c r="A22" s="107" t="s">
        <v>221</v>
      </c>
      <c r="B22" s="107" t="s">
        <v>981</v>
      </c>
      <c r="C22" s="107" t="s">
        <v>206</v>
      </c>
      <c r="D22" s="107" t="s">
        <v>809</v>
      </c>
      <c r="E22" s="107">
        <v>33.96</v>
      </c>
      <c r="F22" s="107" t="s">
        <v>220</v>
      </c>
      <c r="G22" s="107" t="s">
        <v>243</v>
      </c>
      <c r="H22" s="107" t="s">
        <v>1080</v>
      </c>
      <c r="I22" s="107" t="s">
        <v>206</v>
      </c>
      <c r="J22" s="107" t="s">
        <v>210</v>
      </c>
      <c r="K22" s="107">
        <v>36.54</v>
      </c>
      <c r="L22" s="247" t="s">
        <v>1247</v>
      </c>
      <c r="M22" s="107" t="s">
        <v>1239</v>
      </c>
      <c r="N22" s="256" t="s">
        <v>1097</v>
      </c>
      <c r="O22" s="257">
        <v>0.95759014500192474</v>
      </c>
      <c r="P22" s="258">
        <v>576660785320159.25</v>
      </c>
      <c r="Q22" s="259">
        <v>11533215706403.186</v>
      </c>
    </row>
    <row r="23" spans="1:17" x14ac:dyDescent="0.2">
      <c r="A23" s="107" t="s">
        <v>221</v>
      </c>
      <c r="B23" s="107" t="s">
        <v>1080</v>
      </c>
      <c r="C23" s="107" t="s">
        <v>206</v>
      </c>
      <c r="D23" s="107" t="s">
        <v>210</v>
      </c>
      <c r="E23" s="107">
        <v>34.65</v>
      </c>
      <c r="F23" s="107" t="s">
        <v>220</v>
      </c>
      <c r="G23" s="107" t="s">
        <v>244</v>
      </c>
      <c r="H23" s="107" t="s">
        <v>1080</v>
      </c>
      <c r="I23" s="107" t="s">
        <v>206</v>
      </c>
      <c r="J23" s="107" t="s">
        <v>210</v>
      </c>
      <c r="K23" s="107">
        <v>35.99</v>
      </c>
      <c r="L23" s="247" t="s">
        <v>1247</v>
      </c>
      <c r="M23" s="107" t="s">
        <v>1240</v>
      </c>
      <c r="N23" s="252" t="s">
        <v>1098</v>
      </c>
      <c r="O23" s="253">
        <v>9.5759014500192474E-2</v>
      </c>
      <c r="P23" s="254">
        <v>57666078532015.922</v>
      </c>
      <c r="Q23" s="255">
        <v>1153321570640.3184</v>
      </c>
    </row>
    <row r="24" spans="1:17" x14ac:dyDescent="0.2">
      <c r="A24" s="107" t="s">
        <v>222</v>
      </c>
      <c r="B24" s="107" t="s">
        <v>981</v>
      </c>
      <c r="C24" s="107" t="s">
        <v>206</v>
      </c>
      <c r="D24" s="107" t="s">
        <v>809</v>
      </c>
      <c r="E24" s="107">
        <v>33.369999999999997</v>
      </c>
      <c r="F24" s="107" t="s">
        <v>220</v>
      </c>
      <c r="G24" s="107" t="s">
        <v>245</v>
      </c>
      <c r="H24" s="107" t="s">
        <v>1080</v>
      </c>
      <c r="I24" s="107" t="s">
        <v>206</v>
      </c>
      <c r="J24" s="107" t="s">
        <v>210</v>
      </c>
      <c r="K24" s="107">
        <v>38.799999999999997</v>
      </c>
      <c r="L24" s="247" t="s">
        <v>1247</v>
      </c>
      <c r="M24" s="107" t="s">
        <v>1244</v>
      </c>
      <c r="N24" s="256" t="s">
        <v>1099</v>
      </c>
      <c r="O24" s="257">
        <v>9.5759014500192471E-3</v>
      </c>
      <c r="P24" s="258">
        <v>5766607853201.5918</v>
      </c>
      <c r="Q24" s="259">
        <v>115332157064.03183</v>
      </c>
    </row>
    <row r="25" spans="1:17" x14ac:dyDescent="0.2">
      <c r="A25" s="107" t="s">
        <v>222</v>
      </c>
      <c r="B25" s="107" t="s">
        <v>1080</v>
      </c>
      <c r="C25" s="107" t="s">
        <v>206</v>
      </c>
      <c r="D25" s="107" t="s">
        <v>210</v>
      </c>
      <c r="E25" s="107">
        <v>35.659999999999997</v>
      </c>
      <c r="F25" s="107" t="s">
        <v>220</v>
      </c>
      <c r="G25" s="107" t="s">
        <v>247</v>
      </c>
      <c r="H25" s="107" t="s">
        <v>1080</v>
      </c>
      <c r="I25" s="107" t="s">
        <v>206</v>
      </c>
      <c r="J25" s="107" t="s">
        <v>210</v>
      </c>
      <c r="K25" s="107" t="s">
        <v>220</v>
      </c>
      <c r="L25" s="247" t="s">
        <v>1247</v>
      </c>
      <c r="M25" s="107" t="s">
        <v>1245</v>
      </c>
      <c r="N25" s="252" t="s">
        <v>1100</v>
      </c>
      <c r="O25" s="253">
        <v>9.5759014500192466E-4</v>
      </c>
      <c r="P25" s="254">
        <v>576660785320.15918</v>
      </c>
      <c r="Q25" s="255">
        <v>11533215706.403183</v>
      </c>
    </row>
    <row r="26" spans="1:17" x14ac:dyDescent="0.2">
      <c r="A26" s="107" t="s">
        <v>223</v>
      </c>
      <c r="B26" s="107" t="s">
        <v>981</v>
      </c>
      <c r="C26" s="107" t="s">
        <v>206</v>
      </c>
      <c r="D26" s="107" t="s">
        <v>809</v>
      </c>
      <c r="E26" s="107">
        <v>33.69</v>
      </c>
      <c r="F26" s="107" t="s">
        <v>220</v>
      </c>
      <c r="G26" s="107" t="s">
        <v>248</v>
      </c>
      <c r="H26" s="107" t="s">
        <v>1080</v>
      </c>
      <c r="I26" s="107" t="s">
        <v>206</v>
      </c>
      <c r="J26" s="107" t="s">
        <v>210</v>
      </c>
      <c r="K26" s="107">
        <v>36.83</v>
      </c>
      <c r="L26" s="247" t="s">
        <v>1250</v>
      </c>
      <c r="M26" s="107" t="s">
        <v>1201</v>
      </c>
      <c r="N26" s="256" t="s">
        <v>1101</v>
      </c>
      <c r="O26" s="257">
        <v>9.5759014500192472E-5</v>
      </c>
      <c r="P26" s="258">
        <v>57666078532.015915</v>
      </c>
      <c r="Q26" s="259">
        <v>1153321570.6403182</v>
      </c>
    </row>
    <row r="27" spans="1:17" x14ac:dyDescent="0.2">
      <c r="A27" s="107" t="s">
        <v>223</v>
      </c>
      <c r="B27" s="107" t="s">
        <v>1080</v>
      </c>
      <c r="C27" s="107" t="s">
        <v>206</v>
      </c>
      <c r="D27" s="107" t="s">
        <v>210</v>
      </c>
      <c r="E27" s="107" t="s">
        <v>220</v>
      </c>
      <c r="F27" s="107" t="s">
        <v>220</v>
      </c>
      <c r="G27" s="107" t="s">
        <v>249</v>
      </c>
      <c r="H27" s="107" t="s">
        <v>1080</v>
      </c>
      <c r="I27" s="107" t="s">
        <v>206</v>
      </c>
      <c r="J27" s="107" t="s">
        <v>210</v>
      </c>
      <c r="K27" s="107" t="s">
        <v>220</v>
      </c>
      <c r="L27" s="247" t="s">
        <v>1250</v>
      </c>
      <c r="M27" s="107" t="s">
        <v>1202</v>
      </c>
      <c r="N27" s="252" t="s">
        <v>1102</v>
      </c>
      <c r="O27" s="253">
        <v>9.5759014500192472E-6</v>
      </c>
      <c r="P27" s="254">
        <v>5766607853.2015915</v>
      </c>
      <c r="Q27" s="255">
        <v>115332157.06403182</v>
      </c>
    </row>
    <row r="28" spans="1:17" x14ac:dyDescent="0.2">
      <c r="A28" s="107" t="s">
        <v>234</v>
      </c>
      <c r="B28" s="107" t="s">
        <v>981</v>
      </c>
      <c r="C28" s="107" t="s">
        <v>206</v>
      </c>
      <c r="D28" s="107" t="s">
        <v>809</v>
      </c>
      <c r="E28" s="107">
        <v>32.659999999999997</v>
      </c>
      <c r="F28" s="107" t="s">
        <v>220</v>
      </c>
      <c r="G28" s="107" t="s">
        <v>250</v>
      </c>
      <c r="H28" s="107" t="s">
        <v>1080</v>
      </c>
      <c r="I28" s="107" t="s">
        <v>206</v>
      </c>
      <c r="J28" s="107" t="s">
        <v>210</v>
      </c>
      <c r="K28" s="107" t="s">
        <v>220</v>
      </c>
      <c r="L28" s="247" t="s">
        <v>1250</v>
      </c>
      <c r="M28" s="107" t="s">
        <v>1203</v>
      </c>
      <c r="N28" s="256" t="s">
        <v>1103</v>
      </c>
      <c r="O28" s="257">
        <v>9.5759014500192476E-7</v>
      </c>
      <c r="P28" s="258">
        <v>576660785.3201592</v>
      </c>
      <c r="Q28" s="259">
        <v>11533215.706403183</v>
      </c>
    </row>
    <row r="29" spans="1:17" x14ac:dyDescent="0.2">
      <c r="A29" s="107" t="s">
        <v>234</v>
      </c>
      <c r="B29" s="107" t="s">
        <v>1080</v>
      </c>
      <c r="C29" s="107" t="s">
        <v>206</v>
      </c>
      <c r="D29" s="107" t="s">
        <v>210</v>
      </c>
      <c r="E29" s="107">
        <v>38.43</v>
      </c>
      <c r="F29" s="107" t="s">
        <v>220</v>
      </c>
      <c r="G29" s="107" t="s">
        <v>251</v>
      </c>
      <c r="H29" s="107" t="s">
        <v>1080</v>
      </c>
      <c r="I29" s="107" t="s">
        <v>206</v>
      </c>
      <c r="J29" s="107" t="s">
        <v>210</v>
      </c>
      <c r="K29" s="107">
        <v>35.619999999999997</v>
      </c>
      <c r="L29" s="247" t="s">
        <v>1250</v>
      </c>
      <c r="M29" s="107" t="s">
        <v>1205</v>
      </c>
      <c r="N29" s="252" t="s">
        <v>1104</v>
      </c>
      <c r="O29" s="253">
        <v>9.5759014500192479E-8</v>
      </c>
      <c r="P29" s="254">
        <v>57666078.53201592</v>
      </c>
      <c r="Q29" s="255">
        <v>1153321.5706403183</v>
      </c>
    </row>
    <row r="30" spans="1:17" x14ac:dyDescent="0.2">
      <c r="A30" s="107" t="s">
        <v>235</v>
      </c>
      <c r="B30" s="107" t="s">
        <v>981</v>
      </c>
      <c r="C30" s="107" t="s">
        <v>206</v>
      </c>
      <c r="D30" s="107" t="s">
        <v>809</v>
      </c>
      <c r="E30" s="107">
        <v>32.22</v>
      </c>
      <c r="F30" s="107" t="s">
        <v>220</v>
      </c>
      <c r="G30" s="107" t="s">
        <v>252</v>
      </c>
      <c r="H30" s="107" t="s">
        <v>1080</v>
      </c>
      <c r="I30" s="107" t="s">
        <v>206</v>
      </c>
      <c r="J30" s="107" t="s">
        <v>210</v>
      </c>
      <c r="K30" s="107" t="s">
        <v>220</v>
      </c>
      <c r="L30" s="247" t="s">
        <v>1250</v>
      </c>
      <c r="M30" s="107" t="s">
        <v>1235</v>
      </c>
      <c r="N30" s="256" t="s">
        <v>1105</v>
      </c>
      <c r="O30" s="257">
        <v>9.5759014500192485E-9</v>
      </c>
      <c r="P30" s="258">
        <v>5766607.8532015923</v>
      </c>
      <c r="Q30" s="259">
        <v>115332.15706403185</v>
      </c>
    </row>
    <row r="31" spans="1:17" x14ac:dyDescent="0.2">
      <c r="A31" s="107" t="s">
        <v>235</v>
      </c>
      <c r="B31" s="107" t="s">
        <v>1080</v>
      </c>
      <c r="C31" s="107" t="s">
        <v>206</v>
      </c>
      <c r="D31" s="107" t="s">
        <v>210</v>
      </c>
      <c r="E31" s="107" t="s">
        <v>220</v>
      </c>
      <c r="F31" s="107" t="s">
        <v>220</v>
      </c>
      <c r="G31" s="107" t="s">
        <v>253</v>
      </c>
      <c r="H31" s="107" t="s">
        <v>1080</v>
      </c>
      <c r="I31" s="107" t="s">
        <v>206</v>
      </c>
      <c r="J31" s="107" t="s">
        <v>210</v>
      </c>
      <c r="K31" s="107" t="s">
        <v>220</v>
      </c>
      <c r="L31" s="247" t="s">
        <v>1250</v>
      </c>
      <c r="M31" s="107" t="s">
        <v>1236</v>
      </c>
      <c r="N31" s="252" t="s">
        <v>1106</v>
      </c>
      <c r="O31" s="253">
        <v>9.5759014500192477E-10</v>
      </c>
      <c r="P31" s="254">
        <v>576660.78532015928</v>
      </c>
      <c r="Q31" s="255">
        <v>11533.215706403187</v>
      </c>
    </row>
    <row r="32" spans="1:17" x14ac:dyDescent="0.2">
      <c r="A32" s="107" t="s">
        <v>236</v>
      </c>
      <c r="B32" s="107" t="s">
        <v>981</v>
      </c>
      <c r="C32" s="107" t="s">
        <v>206</v>
      </c>
      <c r="D32" s="107" t="s">
        <v>809</v>
      </c>
      <c r="E32" s="107">
        <v>33.200000000000003</v>
      </c>
      <c r="F32" s="107" t="s">
        <v>220</v>
      </c>
      <c r="G32" s="107" t="s">
        <v>254</v>
      </c>
      <c r="H32" s="107" t="s">
        <v>1080</v>
      </c>
      <c r="I32" s="107" t="s">
        <v>206</v>
      </c>
      <c r="J32" s="107" t="s">
        <v>210</v>
      </c>
      <c r="K32" s="107" t="s">
        <v>220</v>
      </c>
      <c r="L32" s="247" t="s">
        <v>1250</v>
      </c>
      <c r="M32" s="107" t="s">
        <v>1237</v>
      </c>
      <c r="N32" s="256" t="s">
        <v>1107</v>
      </c>
      <c r="O32" s="257">
        <v>9.5759014500192472E-11</v>
      </c>
      <c r="P32" s="258">
        <v>57666.078532015927</v>
      </c>
      <c r="Q32" s="259">
        <v>1153.3215706403184</v>
      </c>
    </row>
    <row r="33" spans="1:17" x14ac:dyDescent="0.2">
      <c r="A33" s="107" t="s">
        <v>236</v>
      </c>
      <c r="B33" s="107" t="s">
        <v>1080</v>
      </c>
      <c r="C33" s="107" t="s">
        <v>206</v>
      </c>
      <c r="D33" s="107" t="s">
        <v>210</v>
      </c>
      <c r="E33" s="107" t="s">
        <v>220</v>
      </c>
      <c r="F33" s="107" t="s">
        <v>220</v>
      </c>
      <c r="G33" s="107" t="s">
        <v>255</v>
      </c>
      <c r="H33" s="107" t="s">
        <v>1080</v>
      </c>
      <c r="I33" s="107" t="s">
        <v>206</v>
      </c>
      <c r="J33" s="107" t="s">
        <v>210</v>
      </c>
      <c r="K33" s="107" t="s">
        <v>220</v>
      </c>
      <c r="L33" s="247" t="s">
        <v>1250</v>
      </c>
      <c r="M33" s="107" t="s">
        <v>1238</v>
      </c>
      <c r="N33" s="252" t="s">
        <v>1108</v>
      </c>
      <c r="O33" s="253">
        <v>9.5759014500192465E-12</v>
      </c>
      <c r="P33" s="254">
        <v>5766.6078532015927</v>
      </c>
      <c r="Q33" s="255">
        <v>115.33215706403185</v>
      </c>
    </row>
    <row r="34" spans="1:17" x14ac:dyDescent="0.2">
      <c r="A34" s="107" t="s">
        <v>237</v>
      </c>
      <c r="B34" s="107" t="s">
        <v>981</v>
      </c>
      <c r="C34" s="107" t="s">
        <v>206</v>
      </c>
      <c r="D34" s="107" t="s">
        <v>809</v>
      </c>
      <c r="E34" s="107">
        <v>32.79</v>
      </c>
      <c r="F34" s="107" t="s">
        <v>220</v>
      </c>
      <c r="G34" s="107" t="s">
        <v>256</v>
      </c>
      <c r="H34" s="107" t="s">
        <v>1080</v>
      </c>
      <c r="I34" s="107" t="s">
        <v>206</v>
      </c>
      <c r="J34" s="107" t="s">
        <v>210</v>
      </c>
      <c r="K34" s="107" t="s">
        <v>220</v>
      </c>
      <c r="L34" s="247" t="s">
        <v>1250</v>
      </c>
      <c r="M34" s="107" t="s">
        <v>1239</v>
      </c>
      <c r="N34" s="256" t="s">
        <v>1109</v>
      </c>
      <c r="O34" s="257">
        <v>9.5759014500192457E-13</v>
      </c>
      <c r="P34" s="258">
        <v>576.66078532015922</v>
      </c>
      <c r="Q34" s="259">
        <v>11.533215706403183</v>
      </c>
    </row>
    <row r="35" spans="1:17" x14ac:dyDescent="0.2">
      <c r="A35" s="107" t="s">
        <v>237</v>
      </c>
      <c r="B35" s="107" t="s">
        <v>1080</v>
      </c>
      <c r="C35" s="107" t="s">
        <v>206</v>
      </c>
      <c r="D35" s="107" t="s">
        <v>210</v>
      </c>
      <c r="E35" s="107">
        <v>36.33</v>
      </c>
      <c r="F35" s="107" t="s">
        <v>220</v>
      </c>
      <c r="G35" s="107" t="s">
        <v>257</v>
      </c>
      <c r="H35" s="107" t="s">
        <v>1080</v>
      </c>
      <c r="I35" s="107" t="s">
        <v>206</v>
      </c>
      <c r="J35" s="107" t="s">
        <v>210</v>
      </c>
      <c r="K35" s="107" t="s">
        <v>220</v>
      </c>
      <c r="L35" s="247" t="s">
        <v>1250</v>
      </c>
      <c r="M35" s="107" t="s">
        <v>1240</v>
      </c>
      <c r="N35" s="252" t="s">
        <v>1110</v>
      </c>
      <c r="O35" s="253">
        <v>9.5759014500192455E-14</v>
      </c>
      <c r="P35" s="254">
        <v>57.666078532015923</v>
      </c>
      <c r="Q35" s="255">
        <v>1.1533215706403186</v>
      </c>
    </row>
    <row r="36" spans="1:17" x14ac:dyDescent="0.2">
      <c r="A36" s="107" t="s">
        <v>238</v>
      </c>
      <c r="B36" s="107" t="s">
        <v>981</v>
      </c>
      <c r="C36" s="107" t="s">
        <v>206</v>
      </c>
      <c r="D36" s="107" t="s">
        <v>809</v>
      </c>
      <c r="E36" s="107">
        <v>32.979999999999997</v>
      </c>
      <c r="F36" s="107" t="s">
        <v>220</v>
      </c>
      <c r="G36" s="107" t="s">
        <v>258</v>
      </c>
      <c r="H36" s="107" t="s">
        <v>1080</v>
      </c>
      <c r="I36" s="107" t="s">
        <v>206</v>
      </c>
      <c r="J36" s="107" t="s">
        <v>210</v>
      </c>
      <c r="K36" s="107" t="s">
        <v>220</v>
      </c>
      <c r="L36" s="247" t="s">
        <v>1250</v>
      </c>
      <c r="M36" s="107" t="s">
        <v>1244</v>
      </c>
      <c r="N36" s="256" t="s">
        <v>1111</v>
      </c>
      <c r="O36" s="257">
        <v>9.5759014500192448E-15</v>
      </c>
      <c r="P36" s="258">
        <v>5.7666078532015925</v>
      </c>
      <c r="Q36" s="259">
        <v>0.11533215706403185</v>
      </c>
    </row>
    <row r="37" spans="1:17" x14ac:dyDescent="0.2">
      <c r="A37" s="107" t="s">
        <v>238</v>
      </c>
      <c r="B37" s="107" t="s">
        <v>1080</v>
      </c>
      <c r="C37" s="107" t="s">
        <v>206</v>
      </c>
      <c r="D37" s="107" t="s">
        <v>210</v>
      </c>
      <c r="E37" s="107">
        <v>36.65</v>
      </c>
      <c r="F37" s="107" t="s">
        <v>220</v>
      </c>
      <c r="G37" s="107" t="s">
        <v>259</v>
      </c>
      <c r="H37" s="107" t="s">
        <v>1080</v>
      </c>
      <c r="I37" s="107" t="s">
        <v>206</v>
      </c>
      <c r="J37" s="107" t="s">
        <v>210</v>
      </c>
      <c r="K37" s="107">
        <v>38.520000000000003</v>
      </c>
      <c r="L37" s="247" t="s">
        <v>1250</v>
      </c>
      <c r="M37" s="107" t="s">
        <v>1245</v>
      </c>
      <c r="N37" s="252" t="s">
        <v>1112</v>
      </c>
      <c r="O37" s="253">
        <v>9.5759014500192445E-16</v>
      </c>
      <c r="P37" s="254">
        <v>0.5766607853201593</v>
      </c>
      <c r="Q37" s="255">
        <v>1.1533215706403185E-2</v>
      </c>
    </row>
    <row r="38" spans="1:17" x14ac:dyDescent="0.2">
      <c r="A38" s="107" t="s">
        <v>239</v>
      </c>
      <c r="B38" s="107" t="s">
        <v>981</v>
      </c>
      <c r="C38" s="107" t="s">
        <v>206</v>
      </c>
      <c r="D38" s="107" t="s">
        <v>809</v>
      </c>
      <c r="E38" s="107">
        <v>33.31</v>
      </c>
      <c r="F38" s="107" t="s">
        <v>220</v>
      </c>
      <c r="G38" s="107" t="s">
        <v>260</v>
      </c>
      <c r="H38" s="107" t="s">
        <v>1080</v>
      </c>
      <c r="I38" s="107" t="s">
        <v>206</v>
      </c>
      <c r="J38" s="107" t="s">
        <v>210</v>
      </c>
      <c r="K38" s="107" t="s">
        <v>220</v>
      </c>
      <c r="L38" s="247" t="s">
        <v>1251</v>
      </c>
      <c r="M38" s="107" t="s">
        <v>1201</v>
      </c>
    </row>
    <row r="39" spans="1:17" x14ac:dyDescent="0.2">
      <c r="A39" s="107" t="s">
        <v>239</v>
      </c>
      <c r="B39" s="107" t="s">
        <v>1080</v>
      </c>
      <c r="C39" s="107" t="s">
        <v>206</v>
      </c>
      <c r="D39" s="107" t="s">
        <v>210</v>
      </c>
      <c r="E39" s="107" t="s">
        <v>220</v>
      </c>
      <c r="F39" s="107" t="s">
        <v>220</v>
      </c>
      <c r="G39" s="107" t="s">
        <v>261</v>
      </c>
      <c r="H39" s="107" t="s">
        <v>1080</v>
      </c>
      <c r="I39" s="107" t="s">
        <v>206</v>
      </c>
      <c r="J39" s="107" t="s">
        <v>210</v>
      </c>
      <c r="K39" s="107" t="s">
        <v>220</v>
      </c>
      <c r="L39" s="247" t="s">
        <v>1251</v>
      </c>
      <c r="M39" s="107" t="s">
        <v>1202</v>
      </c>
    </row>
    <row r="40" spans="1:17" x14ac:dyDescent="0.2">
      <c r="A40" s="107" t="s">
        <v>242</v>
      </c>
      <c r="B40" s="107" t="s">
        <v>981</v>
      </c>
      <c r="C40" s="107" t="s">
        <v>206</v>
      </c>
      <c r="D40" s="107" t="s">
        <v>809</v>
      </c>
      <c r="E40" s="107">
        <v>32.82</v>
      </c>
      <c r="F40" s="107" t="s">
        <v>220</v>
      </c>
      <c r="G40" s="107" t="s">
        <v>262</v>
      </c>
      <c r="H40" s="107" t="s">
        <v>1080</v>
      </c>
      <c r="I40" s="107" t="s">
        <v>206</v>
      </c>
      <c r="J40" s="107" t="s">
        <v>210</v>
      </c>
      <c r="K40" s="107" t="s">
        <v>220</v>
      </c>
      <c r="L40" s="247" t="s">
        <v>1251</v>
      </c>
      <c r="M40" s="107" t="s">
        <v>1203</v>
      </c>
    </row>
    <row r="41" spans="1:17" x14ac:dyDescent="0.2">
      <c r="A41" s="107" t="s">
        <v>242</v>
      </c>
      <c r="B41" s="107" t="s">
        <v>1080</v>
      </c>
      <c r="C41" s="107" t="s">
        <v>206</v>
      </c>
      <c r="D41" s="107" t="s">
        <v>210</v>
      </c>
      <c r="E41" s="107">
        <v>38.85</v>
      </c>
      <c r="F41" s="107" t="s">
        <v>220</v>
      </c>
      <c r="G41" s="107" t="s">
        <v>263</v>
      </c>
      <c r="H41" s="107" t="s">
        <v>1080</v>
      </c>
      <c r="I41" s="107" t="s">
        <v>206</v>
      </c>
      <c r="J41" s="107" t="s">
        <v>210</v>
      </c>
      <c r="K41" s="107" t="s">
        <v>220</v>
      </c>
      <c r="L41" s="247" t="s">
        <v>1251</v>
      </c>
      <c r="M41" s="107" t="s">
        <v>1205</v>
      </c>
    </row>
    <row r="42" spans="1:17" x14ac:dyDescent="0.2">
      <c r="A42" s="107" t="s">
        <v>243</v>
      </c>
      <c r="B42" s="107" t="s">
        <v>981</v>
      </c>
      <c r="C42" s="107" t="s">
        <v>206</v>
      </c>
      <c r="D42" s="107" t="s">
        <v>809</v>
      </c>
      <c r="E42" s="107">
        <v>32.86</v>
      </c>
      <c r="F42" s="107" t="s">
        <v>220</v>
      </c>
      <c r="G42" s="107" t="s">
        <v>264</v>
      </c>
      <c r="H42" s="107" t="s">
        <v>1080</v>
      </c>
      <c r="I42" s="107" t="s">
        <v>206</v>
      </c>
      <c r="J42" s="107" t="s">
        <v>210</v>
      </c>
      <c r="K42" s="107">
        <v>37.630000000000003</v>
      </c>
      <c r="L42" s="247" t="s">
        <v>1251</v>
      </c>
      <c r="M42" s="107" t="s">
        <v>1235</v>
      </c>
    </row>
    <row r="43" spans="1:17" x14ac:dyDescent="0.2">
      <c r="A43" s="107" t="s">
        <v>243</v>
      </c>
      <c r="B43" s="107" t="s">
        <v>1080</v>
      </c>
      <c r="C43" s="107" t="s">
        <v>206</v>
      </c>
      <c r="D43" s="107" t="s">
        <v>210</v>
      </c>
      <c r="E43" s="107">
        <v>36.54</v>
      </c>
      <c r="F43" s="107" t="s">
        <v>220</v>
      </c>
      <c r="G43" s="107" t="s">
        <v>265</v>
      </c>
      <c r="H43" s="107" t="s">
        <v>1080</v>
      </c>
      <c r="I43" s="107" t="s">
        <v>206</v>
      </c>
      <c r="J43" s="107" t="s">
        <v>210</v>
      </c>
      <c r="K43" s="107" t="s">
        <v>220</v>
      </c>
      <c r="L43" s="247" t="s">
        <v>1251</v>
      </c>
      <c r="M43" s="107" t="s">
        <v>1236</v>
      </c>
    </row>
    <row r="44" spans="1:17" x14ac:dyDescent="0.2">
      <c r="A44" s="107" t="s">
        <v>244</v>
      </c>
      <c r="B44" s="107" t="s">
        <v>981</v>
      </c>
      <c r="C44" s="107" t="s">
        <v>206</v>
      </c>
      <c r="D44" s="107" t="s">
        <v>809</v>
      </c>
      <c r="E44" s="107">
        <v>32.950000000000003</v>
      </c>
      <c r="F44" s="107" t="s">
        <v>220</v>
      </c>
      <c r="G44" s="107" t="s">
        <v>266</v>
      </c>
      <c r="H44" s="107" t="s">
        <v>1080</v>
      </c>
      <c r="I44" s="107" t="s">
        <v>206</v>
      </c>
      <c r="J44" s="107" t="s">
        <v>210</v>
      </c>
      <c r="K44" s="107" t="s">
        <v>220</v>
      </c>
      <c r="L44" s="247" t="s">
        <v>1251</v>
      </c>
      <c r="M44" s="107" t="s">
        <v>1237</v>
      </c>
    </row>
    <row r="45" spans="1:17" x14ac:dyDescent="0.2">
      <c r="A45" s="107" t="s">
        <v>244</v>
      </c>
      <c r="B45" s="107" t="s">
        <v>1080</v>
      </c>
      <c r="C45" s="107" t="s">
        <v>206</v>
      </c>
      <c r="D45" s="107" t="s">
        <v>210</v>
      </c>
      <c r="E45" s="107">
        <v>35.99</v>
      </c>
      <c r="F45" s="107" t="s">
        <v>220</v>
      </c>
      <c r="G45" s="107" t="s">
        <v>267</v>
      </c>
      <c r="H45" s="107" t="s">
        <v>1080</v>
      </c>
      <c r="I45" s="107" t="s">
        <v>206</v>
      </c>
      <c r="J45" s="107" t="s">
        <v>210</v>
      </c>
      <c r="K45" s="107">
        <v>38.58</v>
      </c>
      <c r="L45" s="247" t="s">
        <v>1251</v>
      </c>
      <c r="M45" s="107" t="s">
        <v>1238</v>
      </c>
    </row>
    <row r="46" spans="1:17" x14ac:dyDescent="0.2">
      <c r="A46" s="107" t="s">
        <v>245</v>
      </c>
      <c r="B46" s="107" t="s">
        <v>981</v>
      </c>
      <c r="C46" s="107" t="s">
        <v>206</v>
      </c>
      <c r="D46" s="107" t="s">
        <v>809</v>
      </c>
      <c r="E46" s="107">
        <v>33.44</v>
      </c>
      <c r="F46" s="107" t="s">
        <v>220</v>
      </c>
      <c r="G46" s="107" t="s">
        <v>268</v>
      </c>
      <c r="H46" s="107" t="s">
        <v>1080</v>
      </c>
      <c r="I46" s="107" t="s">
        <v>206</v>
      </c>
      <c r="J46" s="107" t="s">
        <v>210</v>
      </c>
      <c r="K46" s="107">
        <v>38.17</v>
      </c>
      <c r="L46" s="247" t="s">
        <v>1251</v>
      </c>
      <c r="M46" s="107" t="s">
        <v>1239</v>
      </c>
    </row>
    <row r="47" spans="1:17" x14ac:dyDescent="0.2">
      <c r="A47" s="107" t="s">
        <v>245</v>
      </c>
      <c r="B47" s="107" t="s">
        <v>1080</v>
      </c>
      <c r="C47" s="107" t="s">
        <v>206</v>
      </c>
      <c r="D47" s="107" t="s">
        <v>210</v>
      </c>
      <c r="E47" s="107">
        <v>38.799999999999997</v>
      </c>
      <c r="F47" s="107" t="s">
        <v>220</v>
      </c>
      <c r="G47" s="107" t="s">
        <v>270</v>
      </c>
      <c r="H47" s="107" t="s">
        <v>1080</v>
      </c>
      <c r="I47" s="107" t="s">
        <v>206</v>
      </c>
      <c r="J47" s="107" t="s">
        <v>210</v>
      </c>
      <c r="K47" s="107" t="s">
        <v>220</v>
      </c>
      <c r="L47" s="247" t="s">
        <v>1251</v>
      </c>
      <c r="M47" s="107" t="s">
        <v>1240</v>
      </c>
    </row>
    <row r="48" spans="1:17" x14ac:dyDescent="0.2">
      <c r="A48" s="107" t="s">
        <v>247</v>
      </c>
      <c r="B48" s="107" t="s">
        <v>981</v>
      </c>
      <c r="C48" s="107" t="s">
        <v>206</v>
      </c>
      <c r="D48" s="107" t="s">
        <v>809</v>
      </c>
      <c r="E48" s="107">
        <v>33.31</v>
      </c>
      <c r="F48" s="107" t="s">
        <v>220</v>
      </c>
      <c r="G48" s="107" t="s">
        <v>272</v>
      </c>
      <c r="H48" s="107" t="s">
        <v>1080</v>
      </c>
      <c r="I48" s="107" t="s">
        <v>206</v>
      </c>
      <c r="J48" s="107" t="s">
        <v>210</v>
      </c>
      <c r="K48" s="107" t="s">
        <v>220</v>
      </c>
      <c r="L48" s="247" t="s">
        <v>1251</v>
      </c>
      <c r="M48" s="107" t="s">
        <v>1244</v>
      </c>
    </row>
    <row r="49" spans="1:13" x14ac:dyDescent="0.2">
      <c r="A49" s="107" t="s">
        <v>247</v>
      </c>
      <c r="B49" s="107" t="s">
        <v>1080</v>
      </c>
      <c r="C49" s="107" t="s">
        <v>206</v>
      </c>
      <c r="D49" s="107" t="s">
        <v>210</v>
      </c>
      <c r="E49" s="107" t="s">
        <v>220</v>
      </c>
      <c r="F49" s="107" t="s">
        <v>220</v>
      </c>
      <c r="G49" s="107" t="s">
        <v>273</v>
      </c>
      <c r="H49" s="107" t="s">
        <v>1080</v>
      </c>
      <c r="I49" s="107" t="s">
        <v>206</v>
      </c>
      <c r="J49" s="107" t="s">
        <v>210</v>
      </c>
      <c r="K49" s="107" t="s">
        <v>220</v>
      </c>
      <c r="L49" s="247" t="s">
        <v>1251</v>
      </c>
      <c r="M49" s="107" t="s">
        <v>1245</v>
      </c>
    </row>
    <row r="50" spans="1:13" x14ac:dyDescent="0.2">
      <c r="A50" s="107" t="s">
        <v>248</v>
      </c>
      <c r="B50" s="107" t="s">
        <v>981</v>
      </c>
      <c r="C50" s="107" t="s">
        <v>206</v>
      </c>
      <c r="D50" s="107" t="s">
        <v>809</v>
      </c>
      <c r="E50" s="107">
        <v>32.729999999999997</v>
      </c>
      <c r="F50" s="107" t="s">
        <v>220</v>
      </c>
      <c r="G50" s="107" t="s">
        <v>274</v>
      </c>
      <c r="H50" s="107" t="s">
        <v>1080</v>
      </c>
      <c r="I50" s="107" t="s">
        <v>206</v>
      </c>
      <c r="J50" s="107" t="s">
        <v>210</v>
      </c>
      <c r="K50" s="107">
        <v>34.03</v>
      </c>
      <c r="L50" s="247" t="s">
        <v>1229</v>
      </c>
      <c r="M50" s="107" t="s">
        <v>1252</v>
      </c>
    </row>
    <row r="51" spans="1:13" x14ac:dyDescent="0.2">
      <c r="A51" s="107" t="s">
        <v>248</v>
      </c>
      <c r="B51" s="107" t="s">
        <v>1080</v>
      </c>
      <c r="C51" s="107" t="s">
        <v>206</v>
      </c>
      <c r="D51" s="107" t="s">
        <v>210</v>
      </c>
      <c r="E51" s="107">
        <v>36.83</v>
      </c>
      <c r="F51" s="107" t="s">
        <v>220</v>
      </c>
      <c r="G51" s="107" t="s">
        <v>275</v>
      </c>
      <c r="H51" s="107" t="s">
        <v>1080</v>
      </c>
      <c r="I51" s="107" t="s">
        <v>206</v>
      </c>
      <c r="J51" s="107" t="s">
        <v>210</v>
      </c>
      <c r="K51" s="107">
        <v>34.76</v>
      </c>
      <c r="L51" s="247" t="s">
        <v>1229</v>
      </c>
      <c r="M51" s="107" t="s">
        <v>1253</v>
      </c>
    </row>
    <row r="52" spans="1:13" x14ac:dyDescent="0.2">
      <c r="A52" s="107" t="s">
        <v>249</v>
      </c>
      <c r="B52" s="107" t="s">
        <v>981</v>
      </c>
      <c r="C52" s="107" t="s">
        <v>206</v>
      </c>
      <c r="D52" s="107" t="s">
        <v>809</v>
      </c>
      <c r="E52" s="107">
        <v>32.950000000000003</v>
      </c>
      <c r="F52" s="107" t="s">
        <v>220</v>
      </c>
      <c r="G52" s="107" t="s">
        <v>276</v>
      </c>
      <c r="H52" s="107" t="s">
        <v>1080</v>
      </c>
      <c r="I52" s="107" t="s">
        <v>206</v>
      </c>
      <c r="J52" s="107" t="s">
        <v>210</v>
      </c>
      <c r="K52" s="107">
        <v>34.380000000000003</v>
      </c>
      <c r="L52" s="247" t="s">
        <v>1229</v>
      </c>
      <c r="M52" s="107" t="s">
        <v>1254</v>
      </c>
    </row>
    <row r="53" spans="1:13" x14ac:dyDescent="0.2">
      <c r="A53" s="107" t="s">
        <v>249</v>
      </c>
      <c r="B53" s="107" t="s">
        <v>1080</v>
      </c>
      <c r="C53" s="107" t="s">
        <v>206</v>
      </c>
      <c r="D53" s="107" t="s">
        <v>210</v>
      </c>
      <c r="E53" s="107" t="s">
        <v>220</v>
      </c>
      <c r="F53" s="107" t="s">
        <v>220</v>
      </c>
      <c r="G53" s="107" t="s">
        <v>277</v>
      </c>
      <c r="H53" s="107" t="s">
        <v>1080</v>
      </c>
      <c r="I53" s="107" t="s">
        <v>206</v>
      </c>
      <c r="J53" s="107" t="s">
        <v>210</v>
      </c>
      <c r="K53" s="107">
        <v>33.83</v>
      </c>
      <c r="L53" s="247" t="s">
        <v>1229</v>
      </c>
      <c r="M53" s="107" t="s">
        <v>1255</v>
      </c>
    </row>
    <row r="54" spans="1:13" x14ac:dyDescent="0.2">
      <c r="A54" s="107" t="s">
        <v>250</v>
      </c>
      <c r="B54" s="107" t="s">
        <v>981</v>
      </c>
      <c r="C54" s="107" t="s">
        <v>206</v>
      </c>
      <c r="D54" s="107" t="s">
        <v>809</v>
      </c>
      <c r="E54" s="107">
        <v>33.229999999999997</v>
      </c>
      <c r="F54" s="107" t="s">
        <v>220</v>
      </c>
      <c r="G54" s="107" t="s">
        <v>278</v>
      </c>
      <c r="H54" s="107" t="s">
        <v>1080</v>
      </c>
      <c r="I54" s="107" t="s">
        <v>206</v>
      </c>
      <c r="J54" s="107" t="s">
        <v>210</v>
      </c>
      <c r="K54" s="107">
        <v>34.450000000000003</v>
      </c>
      <c r="L54" s="247" t="s">
        <v>1229</v>
      </c>
      <c r="M54" s="107" t="s">
        <v>1256</v>
      </c>
    </row>
    <row r="55" spans="1:13" x14ac:dyDescent="0.2">
      <c r="A55" s="107" t="s">
        <v>250</v>
      </c>
      <c r="B55" s="107" t="s">
        <v>1080</v>
      </c>
      <c r="C55" s="107" t="s">
        <v>206</v>
      </c>
      <c r="D55" s="107" t="s">
        <v>210</v>
      </c>
      <c r="E55" s="107" t="s">
        <v>220</v>
      </c>
      <c r="F55" s="107" t="s">
        <v>220</v>
      </c>
      <c r="G55" s="107" t="s">
        <v>279</v>
      </c>
      <c r="H55" s="107" t="s">
        <v>1080</v>
      </c>
      <c r="I55" s="107" t="s">
        <v>206</v>
      </c>
      <c r="J55" s="107" t="s">
        <v>210</v>
      </c>
      <c r="K55" s="107">
        <v>33.83</v>
      </c>
      <c r="L55" s="247" t="s">
        <v>1229</v>
      </c>
      <c r="M55" s="107" t="s">
        <v>1257</v>
      </c>
    </row>
    <row r="56" spans="1:13" x14ac:dyDescent="0.2">
      <c r="A56" s="107" t="s">
        <v>251</v>
      </c>
      <c r="B56" s="107" t="s">
        <v>981</v>
      </c>
      <c r="C56" s="107" t="s">
        <v>206</v>
      </c>
      <c r="D56" s="107" t="s">
        <v>809</v>
      </c>
      <c r="E56" s="107">
        <v>33.06</v>
      </c>
      <c r="F56" s="107" t="s">
        <v>220</v>
      </c>
      <c r="G56" s="107" t="s">
        <v>280</v>
      </c>
      <c r="H56" s="107" t="s">
        <v>1080</v>
      </c>
      <c r="I56" s="107" t="s">
        <v>206</v>
      </c>
      <c r="J56" s="107" t="s">
        <v>210</v>
      </c>
      <c r="K56" s="107">
        <v>33.450000000000003</v>
      </c>
      <c r="L56" s="247" t="s">
        <v>1229</v>
      </c>
      <c r="M56" s="107" t="s">
        <v>1258</v>
      </c>
    </row>
    <row r="57" spans="1:13" x14ac:dyDescent="0.2">
      <c r="A57" s="107" t="s">
        <v>251</v>
      </c>
      <c r="B57" s="107" t="s">
        <v>1080</v>
      </c>
      <c r="C57" s="107" t="s">
        <v>206</v>
      </c>
      <c r="D57" s="107" t="s">
        <v>210</v>
      </c>
      <c r="E57" s="107">
        <v>35.619999999999997</v>
      </c>
      <c r="F57" s="107" t="s">
        <v>220</v>
      </c>
      <c r="G57" s="107" t="s">
        <v>281</v>
      </c>
      <c r="H57" s="107" t="s">
        <v>1080</v>
      </c>
      <c r="I57" s="107" t="s">
        <v>206</v>
      </c>
      <c r="J57" s="107" t="s">
        <v>210</v>
      </c>
      <c r="K57" s="107">
        <v>34.76</v>
      </c>
      <c r="L57" s="247" t="s">
        <v>1229</v>
      </c>
      <c r="M57" s="107" t="s">
        <v>1259</v>
      </c>
    </row>
    <row r="58" spans="1:13" x14ac:dyDescent="0.2">
      <c r="A58" s="107" t="s">
        <v>252</v>
      </c>
      <c r="B58" s="107" t="s">
        <v>981</v>
      </c>
      <c r="C58" s="107" t="s">
        <v>206</v>
      </c>
      <c r="D58" s="107" t="s">
        <v>809</v>
      </c>
      <c r="E58" s="107">
        <v>34.03</v>
      </c>
      <c r="F58" s="107" t="s">
        <v>220</v>
      </c>
      <c r="G58" s="107" t="s">
        <v>282</v>
      </c>
      <c r="H58" s="107" t="s">
        <v>1080</v>
      </c>
      <c r="I58" s="107" t="s">
        <v>206</v>
      </c>
      <c r="J58" s="107" t="s">
        <v>210</v>
      </c>
      <c r="K58" s="107">
        <v>34.659999999999997</v>
      </c>
      <c r="L58" s="247" t="s">
        <v>1229</v>
      </c>
      <c r="M58" s="107" t="s">
        <v>1260</v>
      </c>
    </row>
    <row r="59" spans="1:13" x14ac:dyDescent="0.2">
      <c r="A59" s="107" t="s">
        <v>252</v>
      </c>
      <c r="B59" s="107" t="s">
        <v>1080</v>
      </c>
      <c r="C59" s="107" t="s">
        <v>206</v>
      </c>
      <c r="D59" s="107" t="s">
        <v>210</v>
      </c>
      <c r="E59" s="107" t="s">
        <v>220</v>
      </c>
      <c r="F59" s="107" t="s">
        <v>220</v>
      </c>
      <c r="G59" s="107" t="s">
        <v>283</v>
      </c>
      <c r="H59" s="107" t="s">
        <v>1080</v>
      </c>
      <c r="I59" s="107" t="s">
        <v>206</v>
      </c>
      <c r="J59" s="107" t="s">
        <v>210</v>
      </c>
      <c r="K59" s="107">
        <v>35.22</v>
      </c>
      <c r="L59" s="247" t="s">
        <v>1229</v>
      </c>
      <c r="M59" s="107" t="s">
        <v>1261</v>
      </c>
    </row>
    <row r="60" spans="1:13" x14ac:dyDescent="0.2">
      <c r="A60" s="107" t="s">
        <v>253</v>
      </c>
      <c r="B60" s="107" t="s">
        <v>981</v>
      </c>
      <c r="C60" s="107" t="s">
        <v>206</v>
      </c>
      <c r="D60" s="107" t="s">
        <v>809</v>
      </c>
      <c r="E60" s="107">
        <v>33.29</v>
      </c>
      <c r="F60" s="107" t="s">
        <v>220</v>
      </c>
      <c r="G60" s="107" t="s">
        <v>284</v>
      </c>
      <c r="H60" s="107" t="s">
        <v>1080</v>
      </c>
      <c r="I60" s="107" t="s">
        <v>206</v>
      </c>
      <c r="J60" s="107" t="s">
        <v>210</v>
      </c>
      <c r="K60" s="107">
        <v>34.47</v>
      </c>
      <c r="L60" s="247" t="s">
        <v>1229</v>
      </c>
      <c r="M60" s="107" t="s">
        <v>1262</v>
      </c>
    </row>
    <row r="61" spans="1:13" x14ac:dyDescent="0.2">
      <c r="A61" s="107" t="s">
        <v>253</v>
      </c>
      <c r="B61" s="107" t="s">
        <v>1080</v>
      </c>
      <c r="C61" s="107" t="s">
        <v>206</v>
      </c>
      <c r="D61" s="107" t="s">
        <v>210</v>
      </c>
      <c r="E61" s="107" t="s">
        <v>220</v>
      </c>
      <c r="F61" s="107" t="s">
        <v>220</v>
      </c>
      <c r="G61" s="107" t="s">
        <v>285</v>
      </c>
      <c r="H61" s="107" t="s">
        <v>1080</v>
      </c>
      <c r="I61" s="107" t="s">
        <v>206</v>
      </c>
      <c r="J61" s="107" t="s">
        <v>210</v>
      </c>
      <c r="K61" s="107">
        <v>34.31</v>
      </c>
      <c r="L61" s="247" t="s">
        <v>1229</v>
      </c>
      <c r="M61" s="107" t="s">
        <v>1263</v>
      </c>
    </row>
    <row r="62" spans="1:13" x14ac:dyDescent="0.2">
      <c r="A62" s="107" t="s">
        <v>254</v>
      </c>
      <c r="B62" s="107" t="s">
        <v>981</v>
      </c>
      <c r="C62" s="107" t="s">
        <v>206</v>
      </c>
      <c r="D62" s="107" t="s">
        <v>809</v>
      </c>
      <c r="E62" s="107">
        <v>32.590000000000003</v>
      </c>
      <c r="F62" s="107" t="s">
        <v>220</v>
      </c>
      <c r="G62" s="107" t="s">
        <v>286</v>
      </c>
      <c r="H62" s="107" t="s">
        <v>1080</v>
      </c>
      <c r="I62" s="107" t="s">
        <v>206</v>
      </c>
      <c r="J62" s="107" t="s">
        <v>210</v>
      </c>
      <c r="K62" s="107" t="s">
        <v>220</v>
      </c>
      <c r="L62" s="247" t="s">
        <v>1247</v>
      </c>
      <c r="M62" s="107" t="s">
        <v>1252</v>
      </c>
    </row>
    <row r="63" spans="1:13" x14ac:dyDescent="0.2">
      <c r="A63" s="107" t="s">
        <v>254</v>
      </c>
      <c r="B63" s="107" t="s">
        <v>1080</v>
      </c>
      <c r="C63" s="107" t="s">
        <v>206</v>
      </c>
      <c r="D63" s="107" t="s">
        <v>210</v>
      </c>
      <c r="E63" s="107" t="s">
        <v>220</v>
      </c>
      <c r="F63" s="107" t="s">
        <v>220</v>
      </c>
      <c r="G63" s="107" t="s">
        <v>287</v>
      </c>
      <c r="H63" s="107" t="s">
        <v>1080</v>
      </c>
      <c r="I63" s="107" t="s">
        <v>206</v>
      </c>
      <c r="J63" s="107" t="s">
        <v>210</v>
      </c>
      <c r="K63" s="107">
        <v>38.25</v>
      </c>
      <c r="L63" s="247" t="s">
        <v>1247</v>
      </c>
      <c r="M63" s="107" t="s">
        <v>1253</v>
      </c>
    </row>
    <row r="64" spans="1:13" x14ac:dyDescent="0.2">
      <c r="A64" s="107" t="s">
        <v>255</v>
      </c>
      <c r="B64" s="107" t="s">
        <v>981</v>
      </c>
      <c r="C64" s="107" t="s">
        <v>206</v>
      </c>
      <c r="D64" s="107" t="s">
        <v>809</v>
      </c>
      <c r="E64" s="107">
        <v>33.11</v>
      </c>
      <c r="F64" s="107" t="s">
        <v>220</v>
      </c>
      <c r="G64" s="107" t="s">
        <v>288</v>
      </c>
      <c r="H64" s="107" t="s">
        <v>1080</v>
      </c>
      <c r="I64" s="107" t="s">
        <v>206</v>
      </c>
      <c r="J64" s="107" t="s">
        <v>210</v>
      </c>
      <c r="K64" s="107">
        <v>37.049999999999997</v>
      </c>
      <c r="L64" s="247" t="s">
        <v>1247</v>
      </c>
      <c r="M64" s="107" t="s">
        <v>1254</v>
      </c>
    </row>
    <row r="65" spans="1:13" x14ac:dyDescent="0.2">
      <c r="A65" s="107" t="s">
        <v>255</v>
      </c>
      <c r="B65" s="107" t="s">
        <v>1080</v>
      </c>
      <c r="C65" s="107" t="s">
        <v>206</v>
      </c>
      <c r="D65" s="107" t="s">
        <v>210</v>
      </c>
      <c r="E65" s="107" t="s">
        <v>220</v>
      </c>
      <c r="F65" s="107" t="s">
        <v>220</v>
      </c>
      <c r="G65" s="107" t="s">
        <v>289</v>
      </c>
      <c r="H65" s="107" t="s">
        <v>1080</v>
      </c>
      <c r="I65" s="107" t="s">
        <v>206</v>
      </c>
      <c r="J65" s="107" t="s">
        <v>210</v>
      </c>
      <c r="K65" s="107">
        <v>36.64</v>
      </c>
      <c r="L65" s="247" t="s">
        <v>1247</v>
      </c>
      <c r="M65" s="107" t="s">
        <v>1255</v>
      </c>
    </row>
    <row r="66" spans="1:13" x14ac:dyDescent="0.2">
      <c r="A66" s="107" t="s">
        <v>256</v>
      </c>
      <c r="B66" s="107" t="s">
        <v>981</v>
      </c>
      <c r="C66" s="107" t="s">
        <v>206</v>
      </c>
      <c r="D66" s="107" t="s">
        <v>809</v>
      </c>
      <c r="E66" s="107">
        <v>33.299999999999997</v>
      </c>
      <c r="F66" s="107" t="s">
        <v>220</v>
      </c>
      <c r="G66" s="107" t="s">
        <v>290</v>
      </c>
      <c r="H66" s="107" t="s">
        <v>1080</v>
      </c>
      <c r="I66" s="107" t="s">
        <v>206</v>
      </c>
      <c r="J66" s="107" t="s">
        <v>210</v>
      </c>
      <c r="K66" s="107" t="s">
        <v>220</v>
      </c>
      <c r="L66" s="247" t="s">
        <v>1247</v>
      </c>
      <c r="M66" s="107" t="s">
        <v>1256</v>
      </c>
    </row>
    <row r="67" spans="1:13" x14ac:dyDescent="0.2">
      <c r="A67" s="107" t="s">
        <v>256</v>
      </c>
      <c r="B67" s="107" t="s">
        <v>1080</v>
      </c>
      <c r="C67" s="107" t="s">
        <v>206</v>
      </c>
      <c r="D67" s="107" t="s">
        <v>210</v>
      </c>
      <c r="E67" s="107" t="s">
        <v>220</v>
      </c>
      <c r="F67" s="107" t="s">
        <v>220</v>
      </c>
      <c r="G67" s="107" t="s">
        <v>291</v>
      </c>
      <c r="H67" s="107" t="s">
        <v>1080</v>
      </c>
      <c r="I67" s="107" t="s">
        <v>206</v>
      </c>
      <c r="J67" s="107" t="s">
        <v>210</v>
      </c>
      <c r="K67" s="107" t="s">
        <v>220</v>
      </c>
      <c r="L67" s="247" t="s">
        <v>1247</v>
      </c>
      <c r="M67" s="107" t="s">
        <v>1257</v>
      </c>
    </row>
    <row r="68" spans="1:13" x14ac:dyDescent="0.2">
      <c r="A68" s="107" t="s">
        <v>257</v>
      </c>
      <c r="B68" s="107" t="s">
        <v>981</v>
      </c>
      <c r="C68" s="107" t="s">
        <v>206</v>
      </c>
      <c r="D68" s="107" t="s">
        <v>809</v>
      </c>
      <c r="E68" s="107">
        <v>32.520000000000003</v>
      </c>
      <c r="F68" s="107" t="s">
        <v>220</v>
      </c>
      <c r="G68" s="107" t="s">
        <v>292</v>
      </c>
      <c r="H68" s="107" t="s">
        <v>1080</v>
      </c>
      <c r="I68" s="107" t="s">
        <v>206</v>
      </c>
      <c r="J68" s="107" t="s">
        <v>210</v>
      </c>
      <c r="K68" s="107">
        <v>39.380000000000003</v>
      </c>
      <c r="L68" s="247" t="s">
        <v>1247</v>
      </c>
      <c r="M68" s="107" t="s">
        <v>1258</v>
      </c>
    </row>
    <row r="69" spans="1:13" x14ac:dyDescent="0.2">
      <c r="A69" s="107" t="s">
        <v>257</v>
      </c>
      <c r="B69" s="107" t="s">
        <v>1080</v>
      </c>
      <c r="C69" s="107" t="s">
        <v>206</v>
      </c>
      <c r="D69" s="107" t="s">
        <v>210</v>
      </c>
      <c r="E69" s="107" t="s">
        <v>220</v>
      </c>
      <c r="F69" s="107" t="s">
        <v>220</v>
      </c>
      <c r="G69" s="107" t="s">
        <v>293</v>
      </c>
      <c r="H69" s="107" t="s">
        <v>1080</v>
      </c>
      <c r="I69" s="107" t="s">
        <v>206</v>
      </c>
      <c r="J69" s="107" t="s">
        <v>210</v>
      </c>
      <c r="K69" s="107" t="s">
        <v>220</v>
      </c>
      <c r="L69" s="247" t="s">
        <v>1247</v>
      </c>
      <c r="M69" s="107" t="s">
        <v>1259</v>
      </c>
    </row>
    <row r="70" spans="1:13" x14ac:dyDescent="0.2">
      <c r="A70" s="107" t="s">
        <v>258</v>
      </c>
      <c r="B70" s="107" t="s">
        <v>981</v>
      </c>
      <c r="C70" s="107" t="s">
        <v>206</v>
      </c>
      <c r="D70" s="107" t="s">
        <v>809</v>
      </c>
      <c r="E70" s="107">
        <v>32.85</v>
      </c>
      <c r="F70" s="107" t="s">
        <v>220</v>
      </c>
      <c r="G70" s="107" t="s">
        <v>294</v>
      </c>
      <c r="H70" s="107" t="s">
        <v>1080</v>
      </c>
      <c r="I70" s="107" t="s">
        <v>206</v>
      </c>
      <c r="J70" s="107" t="s">
        <v>210</v>
      </c>
      <c r="K70" s="107">
        <v>37.4</v>
      </c>
      <c r="L70" s="247" t="s">
        <v>1247</v>
      </c>
      <c r="M70" s="107" t="s">
        <v>1260</v>
      </c>
    </row>
    <row r="71" spans="1:13" x14ac:dyDescent="0.2">
      <c r="A71" s="107" t="s">
        <v>258</v>
      </c>
      <c r="B71" s="107" t="s">
        <v>1080</v>
      </c>
      <c r="C71" s="107" t="s">
        <v>206</v>
      </c>
      <c r="D71" s="107" t="s">
        <v>210</v>
      </c>
      <c r="E71" s="107" t="s">
        <v>220</v>
      </c>
      <c r="F71" s="107" t="s">
        <v>220</v>
      </c>
      <c r="G71" s="107" t="s">
        <v>295</v>
      </c>
      <c r="H71" s="107" t="s">
        <v>1080</v>
      </c>
      <c r="I71" s="107" t="s">
        <v>206</v>
      </c>
      <c r="J71" s="107" t="s">
        <v>210</v>
      </c>
      <c r="K71" s="107" t="s">
        <v>220</v>
      </c>
      <c r="L71" s="247" t="s">
        <v>1247</v>
      </c>
      <c r="M71" s="107" t="s">
        <v>1261</v>
      </c>
    </row>
    <row r="72" spans="1:13" x14ac:dyDescent="0.2">
      <c r="A72" s="107" t="s">
        <v>259</v>
      </c>
      <c r="B72" s="107" t="s">
        <v>981</v>
      </c>
      <c r="C72" s="107" t="s">
        <v>206</v>
      </c>
      <c r="D72" s="107" t="s">
        <v>809</v>
      </c>
      <c r="E72" s="107">
        <v>32.67</v>
      </c>
      <c r="F72" s="107" t="s">
        <v>220</v>
      </c>
      <c r="G72" s="107" t="s">
        <v>296</v>
      </c>
      <c r="H72" s="107" t="s">
        <v>1080</v>
      </c>
      <c r="I72" s="107" t="s">
        <v>206</v>
      </c>
      <c r="J72" s="107" t="s">
        <v>210</v>
      </c>
      <c r="K72" s="107">
        <v>37.85</v>
      </c>
      <c r="L72" s="247" t="s">
        <v>1247</v>
      </c>
      <c r="M72" s="107" t="s">
        <v>1262</v>
      </c>
    </row>
    <row r="73" spans="1:13" x14ac:dyDescent="0.2">
      <c r="A73" s="107" t="s">
        <v>259</v>
      </c>
      <c r="B73" s="107" t="s">
        <v>1080</v>
      </c>
      <c r="C73" s="107" t="s">
        <v>206</v>
      </c>
      <c r="D73" s="107" t="s">
        <v>210</v>
      </c>
      <c r="E73" s="107">
        <v>38.520000000000003</v>
      </c>
      <c r="F73" s="107" t="s">
        <v>220</v>
      </c>
      <c r="G73" s="107" t="s">
        <v>297</v>
      </c>
      <c r="H73" s="107" t="s">
        <v>1080</v>
      </c>
      <c r="I73" s="107" t="s">
        <v>206</v>
      </c>
      <c r="J73" s="107" t="s">
        <v>210</v>
      </c>
      <c r="K73" s="107">
        <v>36.229999999999997</v>
      </c>
      <c r="L73" s="247" t="s">
        <v>1247</v>
      </c>
      <c r="M73" s="107" t="s">
        <v>1263</v>
      </c>
    </row>
    <row r="74" spans="1:13" x14ac:dyDescent="0.2">
      <c r="A74" s="107" t="s">
        <v>260</v>
      </c>
      <c r="B74" s="107" t="s">
        <v>981</v>
      </c>
      <c r="C74" s="107" t="s">
        <v>206</v>
      </c>
      <c r="D74" s="107" t="s">
        <v>809</v>
      </c>
      <c r="E74" s="107">
        <v>33.19</v>
      </c>
      <c r="F74" s="107" t="s">
        <v>220</v>
      </c>
      <c r="G74" s="107" t="s">
        <v>298</v>
      </c>
      <c r="H74" s="107" t="s">
        <v>1080</v>
      </c>
      <c r="I74" s="107" t="s">
        <v>206</v>
      </c>
      <c r="J74" s="107" t="s">
        <v>210</v>
      </c>
      <c r="K74" s="107" t="s">
        <v>220</v>
      </c>
      <c r="L74" s="247" t="s">
        <v>1250</v>
      </c>
      <c r="M74" s="107" t="s">
        <v>1252</v>
      </c>
    </row>
    <row r="75" spans="1:13" x14ac:dyDescent="0.2">
      <c r="A75" s="107" t="s">
        <v>260</v>
      </c>
      <c r="B75" s="107" t="s">
        <v>1080</v>
      </c>
      <c r="C75" s="107" t="s">
        <v>206</v>
      </c>
      <c r="D75" s="107" t="s">
        <v>210</v>
      </c>
      <c r="E75" s="107" t="s">
        <v>220</v>
      </c>
      <c r="F75" s="107" t="s">
        <v>220</v>
      </c>
      <c r="G75" s="107" t="s">
        <v>299</v>
      </c>
      <c r="H75" s="107" t="s">
        <v>1080</v>
      </c>
      <c r="I75" s="107" t="s">
        <v>206</v>
      </c>
      <c r="J75" s="107" t="s">
        <v>210</v>
      </c>
      <c r="K75" s="107" t="s">
        <v>220</v>
      </c>
      <c r="L75" s="247" t="s">
        <v>1250</v>
      </c>
      <c r="M75" s="107" t="s">
        <v>1253</v>
      </c>
    </row>
    <row r="76" spans="1:13" x14ac:dyDescent="0.2">
      <c r="A76" s="107" t="s">
        <v>261</v>
      </c>
      <c r="B76" s="107" t="s">
        <v>981</v>
      </c>
      <c r="C76" s="107" t="s">
        <v>206</v>
      </c>
      <c r="D76" s="107" t="s">
        <v>809</v>
      </c>
      <c r="E76" s="107">
        <v>32.950000000000003</v>
      </c>
      <c r="F76" s="107" t="s">
        <v>220</v>
      </c>
      <c r="G76" s="107" t="s">
        <v>300</v>
      </c>
      <c r="H76" s="107" t="s">
        <v>1080</v>
      </c>
      <c r="I76" s="107" t="s">
        <v>206</v>
      </c>
      <c r="J76" s="107" t="s">
        <v>210</v>
      </c>
      <c r="K76" s="107" t="s">
        <v>220</v>
      </c>
      <c r="L76" s="247" t="s">
        <v>1250</v>
      </c>
      <c r="M76" s="107" t="s">
        <v>1254</v>
      </c>
    </row>
    <row r="77" spans="1:13" x14ac:dyDescent="0.2">
      <c r="A77" s="107" t="s">
        <v>261</v>
      </c>
      <c r="B77" s="107" t="s">
        <v>1080</v>
      </c>
      <c r="C77" s="107" t="s">
        <v>206</v>
      </c>
      <c r="D77" s="107" t="s">
        <v>210</v>
      </c>
      <c r="E77" s="107" t="s">
        <v>220</v>
      </c>
      <c r="F77" s="107" t="s">
        <v>220</v>
      </c>
      <c r="G77" s="107" t="s">
        <v>301</v>
      </c>
      <c r="H77" s="107" t="s">
        <v>1080</v>
      </c>
      <c r="I77" s="107" t="s">
        <v>206</v>
      </c>
      <c r="J77" s="107" t="s">
        <v>210</v>
      </c>
      <c r="K77" s="107" t="s">
        <v>220</v>
      </c>
      <c r="L77" s="247" t="s">
        <v>1250</v>
      </c>
      <c r="M77" s="107" t="s">
        <v>1255</v>
      </c>
    </row>
    <row r="78" spans="1:13" x14ac:dyDescent="0.2">
      <c r="A78" s="107" t="s">
        <v>262</v>
      </c>
      <c r="B78" s="107" t="s">
        <v>981</v>
      </c>
      <c r="C78" s="107" t="s">
        <v>206</v>
      </c>
      <c r="D78" s="107" t="s">
        <v>809</v>
      </c>
      <c r="E78" s="107">
        <v>32.35</v>
      </c>
      <c r="F78" s="107" t="s">
        <v>220</v>
      </c>
      <c r="G78" s="107" t="s">
        <v>302</v>
      </c>
      <c r="H78" s="107" t="s">
        <v>1080</v>
      </c>
      <c r="I78" s="107" t="s">
        <v>206</v>
      </c>
      <c r="J78" s="107" t="s">
        <v>210</v>
      </c>
      <c r="K78" s="107">
        <v>37.130000000000003</v>
      </c>
      <c r="L78" s="247" t="s">
        <v>1250</v>
      </c>
      <c r="M78" s="107" t="s">
        <v>1256</v>
      </c>
    </row>
    <row r="79" spans="1:13" x14ac:dyDescent="0.2">
      <c r="A79" s="107" t="s">
        <v>262</v>
      </c>
      <c r="B79" s="107" t="s">
        <v>1080</v>
      </c>
      <c r="C79" s="107" t="s">
        <v>206</v>
      </c>
      <c r="D79" s="107" t="s">
        <v>210</v>
      </c>
      <c r="E79" s="107" t="s">
        <v>220</v>
      </c>
      <c r="F79" s="107" t="s">
        <v>220</v>
      </c>
      <c r="G79" s="107" t="s">
        <v>303</v>
      </c>
      <c r="H79" s="107" t="s">
        <v>1080</v>
      </c>
      <c r="I79" s="107" t="s">
        <v>206</v>
      </c>
      <c r="J79" s="107" t="s">
        <v>210</v>
      </c>
      <c r="K79" s="107">
        <v>36.950000000000003</v>
      </c>
      <c r="L79" s="247" t="s">
        <v>1250</v>
      </c>
      <c r="M79" s="107" t="s">
        <v>1257</v>
      </c>
    </row>
    <row r="80" spans="1:13" x14ac:dyDescent="0.2">
      <c r="A80" s="107" t="s">
        <v>263</v>
      </c>
      <c r="B80" s="107" t="s">
        <v>981</v>
      </c>
      <c r="C80" s="107" t="s">
        <v>206</v>
      </c>
      <c r="D80" s="107" t="s">
        <v>809</v>
      </c>
      <c r="E80" s="107">
        <v>33.18</v>
      </c>
      <c r="F80" s="107" t="s">
        <v>220</v>
      </c>
      <c r="G80" s="107" t="s">
        <v>304</v>
      </c>
      <c r="H80" s="107" t="s">
        <v>1080</v>
      </c>
      <c r="I80" s="107" t="s">
        <v>206</v>
      </c>
      <c r="J80" s="107" t="s">
        <v>210</v>
      </c>
      <c r="K80" s="107" t="s">
        <v>220</v>
      </c>
      <c r="L80" s="247" t="s">
        <v>1250</v>
      </c>
      <c r="M80" s="107" t="s">
        <v>1258</v>
      </c>
    </row>
    <row r="81" spans="1:13" x14ac:dyDescent="0.2">
      <c r="A81" s="107" t="s">
        <v>263</v>
      </c>
      <c r="B81" s="107" t="s">
        <v>1080</v>
      </c>
      <c r="C81" s="107" t="s">
        <v>206</v>
      </c>
      <c r="D81" s="107" t="s">
        <v>210</v>
      </c>
      <c r="E81" s="107" t="s">
        <v>220</v>
      </c>
      <c r="F81" s="107" t="s">
        <v>220</v>
      </c>
      <c r="G81" s="107" t="s">
        <v>305</v>
      </c>
      <c r="H81" s="107" t="s">
        <v>1080</v>
      </c>
      <c r="I81" s="107" t="s">
        <v>206</v>
      </c>
      <c r="J81" s="107" t="s">
        <v>210</v>
      </c>
      <c r="K81" s="107" t="s">
        <v>220</v>
      </c>
      <c r="L81" s="247" t="s">
        <v>1250</v>
      </c>
      <c r="M81" s="107" t="s">
        <v>1259</v>
      </c>
    </row>
    <row r="82" spans="1:13" x14ac:dyDescent="0.2">
      <c r="A82" s="107" t="s">
        <v>264</v>
      </c>
      <c r="B82" s="107" t="s">
        <v>981</v>
      </c>
      <c r="C82" s="107" t="s">
        <v>206</v>
      </c>
      <c r="D82" s="107" t="s">
        <v>809</v>
      </c>
      <c r="E82" s="107">
        <v>33.270000000000003</v>
      </c>
      <c r="F82" s="107" t="s">
        <v>220</v>
      </c>
      <c r="G82" s="107" t="s">
        <v>306</v>
      </c>
      <c r="H82" s="107" t="s">
        <v>1080</v>
      </c>
      <c r="I82" s="107" t="s">
        <v>206</v>
      </c>
      <c r="J82" s="107" t="s">
        <v>210</v>
      </c>
      <c r="K82" s="107" t="s">
        <v>220</v>
      </c>
      <c r="L82" s="247" t="s">
        <v>1250</v>
      </c>
      <c r="M82" s="107" t="s">
        <v>1260</v>
      </c>
    </row>
    <row r="83" spans="1:13" x14ac:dyDescent="0.2">
      <c r="A83" s="107" t="s">
        <v>264</v>
      </c>
      <c r="B83" s="107" t="s">
        <v>1080</v>
      </c>
      <c r="C83" s="107" t="s">
        <v>206</v>
      </c>
      <c r="D83" s="107" t="s">
        <v>210</v>
      </c>
      <c r="E83" s="107">
        <v>37.630000000000003</v>
      </c>
      <c r="F83" s="107" t="s">
        <v>220</v>
      </c>
      <c r="G83" s="107" t="s">
        <v>307</v>
      </c>
      <c r="H83" s="107" t="s">
        <v>1080</v>
      </c>
      <c r="I83" s="107" t="s">
        <v>206</v>
      </c>
      <c r="J83" s="107" t="s">
        <v>210</v>
      </c>
      <c r="K83" s="107">
        <v>37.35</v>
      </c>
      <c r="L83" s="247" t="s">
        <v>1250</v>
      </c>
      <c r="M83" s="107" t="s">
        <v>1261</v>
      </c>
    </row>
    <row r="84" spans="1:13" x14ac:dyDescent="0.2">
      <c r="A84" s="107" t="s">
        <v>265</v>
      </c>
      <c r="B84" s="107" t="s">
        <v>981</v>
      </c>
      <c r="C84" s="107" t="s">
        <v>206</v>
      </c>
      <c r="D84" s="107" t="s">
        <v>809</v>
      </c>
      <c r="E84" s="107">
        <v>33.04</v>
      </c>
      <c r="F84" s="107" t="s">
        <v>220</v>
      </c>
      <c r="G84" s="107" t="s">
        <v>308</v>
      </c>
      <c r="H84" s="107" t="s">
        <v>1080</v>
      </c>
      <c r="I84" s="107" t="s">
        <v>206</v>
      </c>
      <c r="J84" s="107" t="s">
        <v>210</v>
      </c>
      <c r="K84" s="107" t="s">
        <v>220</v>
      </c>
      <c r="L84" s="247" t="s">
        <v>1250</v>
      </c>
      <c r="M84" s="107" t="s">
        <v>1262</v>
      </c>
    </row>
    <row r="85" spans="1:13" x14ac:dyDescent="0.2">
      <c r="A85" s="107" t="s">
        <v>265</v>
      </c>
      <c r="B85" s="107" t="s">
        <v>1080</v>
      </c>
      <c r="C85" s="107" t="s">
        <v>206</v>
      </c>
      <c r="D85" s="107" t="s">
        <v>210</v>
      </c>
      <c r="E85" s="107" t="s">
        <v>220</v>
      </c>
      <c r="F85" s="107" t="s">
        <v>220</v>
      </c>
      <c r="G85" s="107" t="s">
        <v>309</v>
      </c>
      <c r="H85" s="107" t="s">
        <v>1080</v>
      </c>
      <c r="I85" s="107" t="s">
        <v>206</v>
      </c>
      <c r="J85" s="107" t="s">
        <v>210</v>
      </c>
      <c r="K85" s="107">
        <v>38.96</v>
      </c>
      <c r="L85" s="247" t="s">
        <v>1250</v>
      </c>
      <c r="M85" s="107" t="s">
        <v>1263</v>
      </c>
    </row>
    <row r="86" spans="1:13" x14ac:dyDescent="0.2">
      <c r="A86" s="107" t="s">
        <v>266</v>
      </c>
      <c r="B86" s="107" t="s">
        <v>981</v>
      </c>
      <c r="C86" s="107" t="s">
        <v>206</v>
      </c>
      <c r="D86" s="107" t="s">
        <v>809</v>
      </c>
      <c r="E86" s="107">
        <v>34.119999999999997</v>
      </c>
      <c r="F86" s="107" t="s">
        <v>220</v>
      </c>
      <c r="G86" s="107" t="s">
        <v>310</v>
      </c>
      <c r="H86" s="107" t="s">
        <v>1080</v>
      </c>
      <c r="I86" s="107" t="s">
        <v>206</v>
      </c>
      <c r="J86" s="107" t="s">
        <v>210</v>
      </c>
      <c r="K86" s="107">
        <v>37.82</v>
      </c>
      <c r="L86" s="107" t="s">
        <v>915</v>
      </c>
      <c r="M86" s="107" t="s">
        <v>1201</v>
      </c>
    </row>
    <row r="87" spans="1:13" x14ac:dyDescent="0.2">
      <c r="A87" s="107" t="s">
        <v>266</v>
      </c>
      <c r="B87" s="107" t="s">
        <v>1080</v>
      </c>
      <c r="C87" s="107" t="s">
        <v>206</v>
      </c>
      <c r="D87" s="107" t="s">
        <v>210</v>
      </c>
      <c r="E87" s="107" t="s">
        <v>220</v>
      </c>
      <c r="F87" s="107" t="s">
        <v>220</v>
      </c>
      <c r="G87" s="107" t="s">
        <v>311</v>
      </c>
      <c r="H87" s="107" t="s">
        <v>1080</v>
      </c>
      <c r="I87" s="107" t="s">
        <v>206</v>
      </c>
      <c r="J87" s="107" t="s">
        <v>210</v>
      </c>
      <c r="K87" s="107" t="s">
        <v>220</v>
      </c>
      <c r="L87" s="107" t="s">
        <v>915</v>
      </c>
      <c r="M87" s="107" t="s">
        <v>1202</v>
      </c>
    </row>
    <row r="88" spans="1:13" x14ac:dyDescent="0.2">
      <c r="A88" s="107" t="s">
        <v>267</v>
      </c>
      <c r="B88" s="107" t="s">
        <v>981</v>
      </c>
      <c r="C88" s="107" t="s">
        <v>206</v>
      </c>
      <c r="D88" s="107" t="s">
        <v>809</v>
      </c>
      <c r="E88" s="107">
        <v>33.22</v>
      </c>
      <c r="F88" s="107" t="s">
        <v>220</v>
      </c>
      <c r="G88" s="107" t="s">
        <v>312</v>
      </c>
      <c r="H88" s="107" t="s">
        <v>1080</v>
      </c>
      <c r="I88" s="107" t="s">
        <v>206</v>
      </c>
      <c r="J88" s="107" t="s">
        <v>210</v>
      </c>
      <c r="K88" s="107" t="s">
        <v>220</v>
      </c>
      <c r="L88" s="107" t="s">
        <v>915</v>
      </c>
      <c r="M88" s="107" t="s">
        <v>1203</v>
      </c>
    </row>
    <row r="89" spans="1:13" x14ac:dyDescent="0.2">
      <c r="A89" s="107" t="s">
        <v>267</v>
      </c>
      <c r="B89" s="107" t="s">
        <v>1080</v>
      </c>
      <c r="C89" s="107" t="s">
        <v>206</v>
      </c>
      <c r="D89" s="107" t="s">
        <v>210</v>
      </c>
      <c r="E89" s="107">
        <v>38.58</v>
      </c>
      <c r="F89" s="107" t="s">
        <v>220</v>
      </c>
      <c r="G89" s="107" t="s">
        <v>313</v>
      </c>
      <c r="H89" s="107" t="s">
        <v>1080</v>
      </c>
      <c r="I89" s="107" t="s">
        <v>206</v>
      </c>
      <c r="J89" s="107" t="s">
        <v>210</v>
      </c>
      <c r="K89" s="107">
        <v>37.21</v>
      </c>
      <c r="L89" s="107" t="s">
        <v>915</v>
      </c>
      <c r="M89" s="107" t="s">
        <v>1205</v>
      </c>
    </row>
    <row r="90" spans="1:13" x14ac:dyDescent="0.2">
      <c r="A90" s="107" t="s">
        <v>268</v>
      </c>
      <c r="B90" s="107" t="s">
        <v>981</v>
      </c>
      <c r="C90" s="107" t="s">
        <v>206</v>
      </c>
      <c r="D90" s="107" t="s">
        <v>809</v>
      </c>
      <c r="E90" s="107">
        <v>33.049999999999997</v>
      </c>
      <c r="F90" s="107" t="s">
        <v>220</v>
      </c>
      <c r="G90" s="107" t="s">
        <v>314</v>
      </c>
      <c r="H90" s="107" t="s">
        <v>1080</v>
      </c>
      <c r="I90" s="107" t="s">
        <v>206</v>
      </c>
      <c r="J90" s="107" t="s">
        <v>210</v>
      </c>
      <c r="K90" s="107" t="s">
        <v>220</v>
      </c>
      <c r="L90" s="107" t="s">
        <v>915</v>
      </c>
      <c r="M90" s="107" t="s">
        <v>1235</v>
      </c>
    </row>
    <row r="91" spans="1:13" x14ac:dyDescent="0.2">
      <c r="A91" s="107" t="s">
        <v>268</v>
      </c>
      <c r="B91" s="107" t="s">
        <v>1080</v>
      </c>
      <c r="C91" s="107" t="s">
        <v>206</v>
      </c>
      <c r="D91" s="107" t="s">
        <v>210</v>
      </c>
      <c r="E91" s="107">
        <v>38.17</v>
      </c>
      <c r="F91" s="107" t="s">
        <v>220</v>
      </c>
      <c r="G91" s="107" t="s">
        <v>315</v>
      </c>
      <c r="H91" s="107" t="s">
        <v>1080</v>
      </c>
      <c r="I91" s="107" t="s">
        <v>206</v>
      </c>
      <c r="J91" s="107" t="s">
        <v>210</v>
      </c>
      <c r="K91" s="107" t="s">
        <v>220</v>
      </c>
      <c r="L91" s="107" t="s">
        <v>915</v>
      </c>
      <c r="M91" s="107" t="s">
        <v>1236</v>
      </c>
    </row>
    <row r="92" spans="1:13" x14ac:dyDescent="0.2">
      <c r="A92" s="107" t="s">
        <v>270</v>
      </c>
      <c r="B92" s="107" t="s">
        <v>981</v>
      </c>
      <c r="C92" s="107" t="s">
        <v>206</v>
      </c>
      <c r="D92" s="107" t="s">
        <v>809</v>
      </c>
      <c r="E92" s="107">
        <v>33.21</v>
      </c>
      <c r="F92" s="107" t="s">
        <v>220</v>
      </c>
      <c r="G92" s="107" t="s">
        <v>316</v>
      </c>
      <c r="H92" s="107" t="s">
        <v>1080</v>
      </c>
      <c r="I92" s="107" t="s">
        <v>206</v>
      </c>
      <c r="J92" s="107" t="s">
        <v>210</v>
      </c>
      <c r="K92" s="107" t="s">
        <v>220</v>
      </c>
      <c r="L92" s="107" t="s">
        <v>915</v>
      </c>
      <c r="M92" s="107" t="s">
        <v>1237</v>
      </c>
    </row>
    <row r="93" spans="1:13" x14ac:dyDescent="0.2">
      <c r="A93" s="107" t="s">
        <v>270</v>
      </c>
      <c r="B93" s="107" t="s">
        <v>1080</v>
      </c>
      <c r="C93" s="107" t="s">
        <v>206</v>
      </c>
      <c r="D93" s="107" t="s">
        <v>210</v>
      </c>
      <c r="E93" s="107" t="s">
        <v>220</v>
      </c>
      <c r="F93" s="107" t="s">
        <v>220</v>
      </c>
      <c r="G93" s="107" t="s">
        <v>317</v>
      </c>
      <c r="H93" s="107" t="s">
        <v>1080</v>
      </c>
      <c r="I93" s="107" t="s">
        <v>206</v>
      </c>
      <c r="J93" s="107" t="s">
        <v>210</v>
      </c>
      <c r="K93" s="107" t="s">
        <v>220</v>
      </c>
      <c r="L93" s="107" t="s">
        <v>915</v>
      </c>
      <c r="M93" s="107" t="s">
        <v>1238</v>
      </c>
    </row>
    <row r="94" spans="1:13" x14ac:dyDescent="0.2">
      <c r="A94" s="107" t="s">
        <v>272</v>
      </c>
      <c r="B94" s="107" t="s">
        <v>981</v>
      </c>
      <c r="C94" s="107" t="s">
        <v>206</v>
      </c>
      <c r="D94" s="107" t="s">
        <v>809</v>
      </c>
      <c r="E94" s="107">
        <v>33.729999999999997</v>
      </c>
      <c r="F94" s="107" t="s">
        <v>220</v>
      </c>
      <c r="G94" s="107" t="s">
        <v>318</v>
      </c>
      <c r="H94" s="107" t="s">
        <v>1080</v>
      </c>
      <c r="I94" s="107" t="s">
        <v>206</v>
      </c>
      <c r="J94" s="107" t="s">
        <v>210</v>
      </c>
      <c r="K94" s="107" t="s">
        <v>220</v>
      </c>
      <c r="L94" s="107" t="s">
        <v>915</v>
      </c>
      <c r="M94" s="107" t="s">
        <v>1239</v>
      </c>
    </row>
    <row r="95" spans="1:13" x14ac:dyDescent="0.2">
      <c r="A95" s="107" t="s">
        <v>272</v>
      </c>
      <c r="B95" s="107" t="s">
        <v>1080</v>
      </c>
      <c r="C95" s="107" t="s">
        <v>206</v>
      </c>
      <c r="D95" s="107" t="s">
        <v>210</v>
      </c>
      <c r="E95" s="107" t="s">
        <v>220</v>
      </c>
      <c r="F95" s="107" t="s">
        <v>220</v>
      </c>
      <c r="G95" s="107" t="s">
        <v>319</v>
      </c>
      <c r="H95" s="107" t="s">
        <v>1080</v>
      </c>
      <c r="I95" s="107" t="s">
        <v>206</v>
      </c>
      <c r="J95" s="107" t="s">
        <v>210</v>
      </c>
      <c r="K95" s="107">
        <v>39.39</v>
      </c>
      <c r="L95" s="107" t="s">
        <v>915</v>
      </c>
      <c r="M95" s="107" t="s">
        <v>1240</v>
      </c>
    </row>
    <row r="96" spans="1:13" x14ac:dyDescent="0.2">
      <c r="A96" s="107" t="s">
        <v>273</v>
      </c>
      <c r="B96" s="107" t="s">
        <v>981</v>
      </c>
      <c r="C96" s="107" t="s">
        <v>206</v>
      </c>
      <c r="D96" s="107" t="s">
        <v>809</v>
      </c>
      <c r="E96" s="107">
        <v>33.770000000000003</v>
      </c>
      <c r="F96" s="107" t="s">
        <v>220</v>
      </c>
      <c r="G96" s="107" t="s">
        <v>321</v>
      </c>
      <c r="H96" s="107" t="s">
        <v>1080</v>
      </c>
      <c r="I96" s="107" t="s">
        <v>206</v>
      </c>
      <c r="J96" s="107" t="s">
        <v>210</v>
      </c>
      <c r="K96" s="107" t="s">
        <v>220</v>
      </c>
      <c r="L96" s="107" t="s">
        <v>915</v>
      </c>
      <c r="M96" s="107" t="s">
        <v>1244</v>
      </c>
    </row>
    <row r="97" spans="1:13" x14ac:dyDescent="0.2">
      <c r="A97" s="107" t="s">
        <v>273</v>
      </c>
      <c r="B97" s="107" t="s">
        <v>1080</v>
      </c>
      <c r="C97" s="107" t="s">
        <v>206</v>
      </c>
      <c r="D97" s="107" t="s">
        <v>210</v>
      </c>
      <c r="E97" s="107" t="s">
        <v>220</v>
      </c>
      <c r="F97" s="107" t="s">
        <v>220</v>
      </c>
      <c r="G97" s="107" t="s">
        <v>322</v>
      </c>
      <c r="H97" s="107" t="s">
        <v>1080</v>
      </c>
      <c r="I97" s="107" t="s">
        <v>206</v>
      </c>
      <c r="J97" s="107" t="s">
        <v>210</v>
      </c>
      <c r="K97" s="107">
        <v>35.94</v>
      </c>
      <c r="L97" s="107" t="s">
        <v>915</v>
      </c>
      <c r="M97" s="107" t="s">
        <v>1245</v>
      </c>
    </row>
    <row r="98" spans="1:13" x14ac:dyDescent="0.2">
      <c r="A98" s="107" t="s">
        <v>274</v>
      </c>
      <c r="B98" s="107" t="s">
        <v>981</v>
      </c>
      <c r="C98" s="107" t="s">
        <v>206</v>
      </c>
      <c r="D98" s="107" t="s">
        <v>809</v>
      </c>
      <c r="E98" s="107">
        <v>32.57</v>
      </c>
      <c r="F98" s="107" t="s">
        <v>220</v>
      </c>
      <c r="G98" s="107" t="s">
        <v>204</v>
      </c>
      <c r="H98" s="107" t="s">
        <v>981</v>
      </c>
      <c r="I98" s="107" t="s">
        <v>206</v>
      </c>
      <c r="J98" s="107" t="s">
        <v>809</v>
      </c>
      <c r="K98" s="107">
        <v>32.56</v>
      </c>
      <c r="L98" s="247" t="s">
        <v>1229</v>
      </c>
      <c r="M98" s="107" t="s">
        <v>1201</v>
      </c>
    </row>
    <row r="99" spans="1:13" x14ac:dyDescent="0.2">
      <c r="A99" s="107" t="s">
        <v>274</v>
      </c>
      <c r="B99" s="107" t="s">
        <v>1080</v>
      </c>
      <c r="C99" s="107" t="s">
        <v>206</v>
      </c>
      <c r="D99" s="107" t="s">
        <v>210</v>
      </c>
      <c r="E99" s="107">
        <v>34.03</v>
      </c>
      <c r="F99" s="107" t="s">
        <v>220</v>
      </c>
      <c r="G99" s="107" t="s">
        <v>211</v>
      </c>
      <c r="H99" s="107" t="s">
        <v>981</v>
      </c>
      <c r="I99" s="107" t="s">
        <v>206</v>
      </c>
      <c r="J99" s="107" t="s">
        <v>809</v>
      </c>
      <c r="K99" s="107">
        <v>32.94</v>
      </c>
      <c r="L99" s="247" t="s">
        <v>1229</v>
      </c>
      <c r="M99" s="107" t="s">
        <v>1202</v>
      </c>
    </row>
    <row r="100" spans="1:13" x14ac:dyDescent="0.2">
      <c r="A100" s="107" t="s">
        <v>275</v>
      </c>
      <c r="B100" s="107" t="s">
        <v>981</v>
      </c>
      <c r="C100" s="107" t="s">
        <v>206</v>
      </c>
      <c r="D100" s="107" t="s">
        <v>809</v>
      </c>
      <c r="E100" s="107">
        <v>33.68</v>
      </c>
      <c r="F100" s="107" t="s">
        <v>220</v>
      </c>
      <c r="G100" s="107" t="s">
        <v>212</v>
      </c>
      <c r="H100" s="107" t="s">
        <v>981</v>
      </c>
      <c r="I100" s="107" t="s">
        <v>206</v>
      </c>
      <c r="J100" s="107" t="s">
        <v>809</v>
      </c>
      <c r="K100" s="107">
        <v>32.93</v>
      </c>
      <c r="L100" s="247" t="s">
        <v>1229</v>
      </c>
      <c r="M100" s="107" t="s">
        <v>1203</v>
      </c>
    </row>
    <row r="101" spans="1:13" x14ac:dyDescent="0.2">
      <c r="A101" s="107" t="s">
        <v>275</v>
      </c>
      <c r="B101" s="107" t="s">
        <v>1080</v>
      </c>
      <c r="C101" s="107" t="s">
        <v>206</v>
      </c>
      <c r="D101" s="107" t="s">
        <v>210</v>
      </c>
      <c r="E101" s="107">
        <v>34.76</v>
      </c>
      <c r="F101" s="107" t="s">
        <v>220</v>
      </c>
      <c r="G101" s="107" t="s">
        <v>213</v>
      </c>
      <c r="H101" s="107" t="s">
        <v>981</v>
      </c>
      <c r="I101" s="107" t="s">
        <v>206</v>
      </c>
      <c r="J101" s="107" t="s">
        <v>809</v>
      </c>
      <c r="K101" s="107">
        <v>32.799999999999997</v>
      </c>
      <c r="L101" s="247" t="s">
        <v>1229</v>
      </c>
      <c r="M101" s="107" t="s">
        <v>1205</v>
      </c>
    </row>
    <row r="102" spans="1:13" x14ac:dyDescent="0.2">
      <c r="A102" s="107" t="s">
        <v>276</v>
      </c>
      <c r="B102" s="107" t="s">
        <v>981</v>
      </c>
      <c r="C102" s="107" t="s">
        <v>206</v>
      </c>
      <c r="D102" s="107" t="s">
        <v>809</v>
      </c>
      <c r="E102" s="107">
        <v>33.14</v>
      </c>
      <c r="F102" s="107" t="s">
        <v>220</v>
      </c>
      <c r="G102" s="107" t="s">
        <v>214</v>
      </c>
      <c r="H102" s="107" t="s">
        <v>981</v>
      </c>
      <c r="I102" s="107" t="s">
        <v>206</v>
      </c>
      <c r="J102" s="107" t="s">
        <v>809</v>
      </c>
      <c r="K102" s="107">
        <v>33.51</v>
      </c>
      <c r="L102" s="247" t="s">
        <v>1229</v>
      </c>
      <c r="M102" s="107" t="s">
        <v>1235</v>
      </c>
    </row>
    <row r="103" spans="1:13" x14ac:dyDescent="0.2">
      <c r="A103" s="107" t="s">
        <v>276</v>
      </c>
      <c r="B103" s="107" t="s">
        <v>1080</v>
      </c>
      <c r="C103" s="107" t="s">
        <v>206</v>
      </c>
      <c r="D103" s="107" t="s">
        <v>210</v>
      </c>
      <c r="E103" s="107">
        <v>34.380000000000003</v>
      </c>
      <c r="F103" s="107" t="s">
        <v>220</v>
      </c>
      <c r="G103" s="107" t="s">
        <v>215</v>
      </c>
      <c r="H103" s="107" t="s">
        <v>981</v>
      </c>
      <c r="I103" s="107" t="s">
        <v>206</v>
      </c>
      <c r="J103" s="107" t="s">
        <v>809</v>
      </c>
      <c r="K103" s="107">
        <v>33.89</v>
      </c>
      <c r="L103" s="247" t="s">
        <v>1229</v>
      </c>
      <c r="M103" s="107" t="s">
        <v>1236</v>
      </c>
    </row>
    <row r="104" spans="1:13" x14ac:dyDescent="0.2">
      <c r="A104" s="107" t="s">
        <v>277</v>
      </c>
      <c r="B104" s="107" t="s">
        <v>981</v>
      </c>
      <c r="C104" s="107" t="s">
        <v>206</v>
      </c>
      <c r="D104" s="107" t="s">
        <v>809</v>
      </c>
      <c r="E104" s="107">
        <v>32.58</v>
      </c>
      <c r="F104" s="107" t="s">
        <v>220</v>
      </c>
      <c r="G104" s="107" t="s">
        <v>216</v>
      </c>
      <c r="H104" s="107" t="s">
        <v>981</v>
      </c>
      <c r="I104" s="107" t="s">
        <v>206</v>
      </c>
      <c r="J104" s="107" t="s">
        <v>809</v>
      </c>
      <c r="K104" s="107">
        <v>32.58</v>
      </c>
      <c r="L104" s="247" t="s">
        <v>1229</v>
      </c>
      <c r="M104" s="107" t="s">
        <v>1237</v>
      </c>
    </row>
    <row r="105" spans="1:13" x14ac:dyDescent="0.2">
      <c r="A105" s="107" t="s">
        <v>277</v>
      </c>
      <c r="B105" s="107" t="s">
        <v>1080</v>
      </c>
      <c r="C105" s="107" t="s">
        <v>206</v>
      </c>
      <c r="D105" s="107" t="s">
        <v>210</v>
      </c>
      <c r="E105" s="107">
        <v>33.83</v>
      </c>
      <c r="F105" s="107" t="s">
        <v>220</v>
      </c>
      <c r="G105" s="107" t="s">
        <v>217</v>
      </c>
      <c r="H105" s="107" t="s">
        <v>981</v>
      </c>
      <c r="I105" s="107" t="s">
        <v>206</v>
      </c>
      <c r="J105" s="107" t="s">
        <v>809</v>
      </c>
      <c r="K105" s="107">
        <v>33.07</v>
      </c>
      <c r="L105" s="247" t="s">
        <v>1229</v>
      </c>
      <c r="M105" s="107" t="s">
        <v>1238</v>
      </c>
    </row>
    <row r="106" spans="1:13" x14ac:dyDescent="0.2">
      <c r="A106" s="107" t="s">
        <v>278</v>
      </c>
      <c r="B106" s="107" t="s">
        <v>981</v>
      </c>
      <c r="C106" s="107" t="s">
        <v>206</v>
      </c>
      <c r="D106" s="107" t="s">
        <v>809</v>
      </c>
      <c r="E106" s="107">
        <v>32.86</v>
      </c>
      <c r="F106" s="107" t="s">
        <v>220</v>
      </c>
      <c r="G106" s="107" t="s">
        <v>218</v>
      </c>
      <c r="H106" s="107" t="s">
        <v>981</v>
      </c>
      <c r="I106" s="107" t="s">
        <v>206</v>
      </c>
      <c r="J106" s="107" t="s">
        <v>809</v>
      </c>
      <c r="K106" s="107">
        <v>33.049999999999997</v>
      </c>
      <c r="L106" s="247" t="s">
        <v>1229</v>
      </c>
      <c r="M106" s="107" t="s">
        <v>1239</v>
      </c>
    </row>
    <row r="107" spans="1:13" x14ac:dyDescent="0.2">
      <c r="A107" s="107" t="s">
        <v>278</v>
      </c>
      <c r="B107" s="107" t="s">
        <v>1080</v>
      </c>
      <c r="C107" s="107" t="s">
        <v>206</v>
      </c>
      <c r="D107" s="107" t="s">
        <v>210</v>
      </c>
      <c r="E107" s="107">
        <v>34.450000000000003</v>
      </c>
      <c r="F107" s="107" t="s">
        <v>220</v>
      </c>
      <c r="G107" s="107" t="s">
        <v>219</v>
      </c>
      <c r="H107" s="107" t="s">
        <v>981</v>
      </c>
      <c r="I107" s="107" t="s">
        <v>206</v>
      </c>
      <c r="J107" s="107" t="s">
        <v>809</v>
      </c>
      <c r="K107" s="107">
        <v>33.11</v>
      </c>
      <c r="L107" s="247" t="s">
        <v>1229</v>
      </c>
      <c r="M107" s="107" t="s">
        <v>1240</v>
      </c>
    </row>
    <row r="108" spans="1:13" x14ac:dyDescent="0.2">
      <c r="A108" s="107" t="s">
        <v>279</v>
      </c>
      <c r="B108" s="107" t="s">
        <v>981</v>
      </c>
      <c r="C108" s="107" t="s">
        <v>206</v>
      </c>
      <c r="D108" s="107" t="s">
        <v>809</v>
      </c>
      <c r="E108" s="107">
        <v>32.93</v>
      </c>
      <c r="F108" s="107" t="s">
        <v>220</v>
      </c>
      <c r="G108" s="107" t="s">
        <v>221</v>
      </c>
      <c r="H108" s="107" t="s">
        <v>981</v>
      </c>
      <c r="I108" s="107" t="s">
        <v>206</v>
      </c>
      <c r="J108" s="107" t="s">
        <v>809</v>
      </c>
      <c r="K108" s="107">
        <v>33.96</v>
      </c>
      <c r="L108" s="247" t="s">
        <v>1229</v>
      </c>
      <c r="M108" s="107" t="s">
        <v>1244</v>
      </c>
    </row>
    <row r="109" spans="1:13" x14ac:dyDescent="0.2">
      <c r="A109" s="107" t="s">
        <v>279</v>
      </c>
      <c r="B109" s="107" t="s">
        <v>1080</v>
      </c>
      <c r="C109" s="107" t="s">
        <v>206</v>
      </c>
      <c r="D109" s="107" t="s">
        <v>210</v>
      </c>
      <c r="E109" s="107">
        <v>33.83</v>
      </c>
      <c r="F109" s="107" t="s">
        <v>220</v>
      </c>
      <c r="G109" s="107" t="s">
        <v>222</v>
      </c>
      <c r="H109" s="107" t="s">
        <v>981</v>
      </c>
      <c r="I109" s="107" t="s">
        <v>206</v>
      </c>
      <c r="J109" s="107" t="s">
        <v>809</v>
      </c>
      <c r="K109" s="107">
        <v>33.369999999999997</v>
      </c>
      <c r="L109" s="247" t="s">
        <v>1229</v>
      </c>
      <c r="M109" s="107" t="s">
        <v>1245</v>
      </c>
    </row>
    <row r="110" spans="1:13" x14ac:dyDescent="0.2">
      <c r="A110" s="107" t="s">
        <v>280</v>
      </c>
      <c r="B110" s="107" t="s">
        <v>981</v>
      </c>
      <c r="C110" s="107" t="s">
        <v>206</v>
      </c>
      <c r="D110" s="107" t="s">
        <v>809</v>
      </c>
      <c r="E110" s="107">
        <v>32.54</v>
      </c>
      <c r="F110" s="107" t="s">
        <v>220</v>
      </c>
      <c r="G110" s="107" t="s">
        <v>223</v>
      </c>
      <c r="H110" s="107" t="s">
        <v>981</v>
      </c>
      <c r="I110" s="107" t="s">
        <v>206</v>
      </c>
      <c r="J110" s="107" t="s">
        <v>809</v>
      </c>
      <c r="K110" s="107">
        <v>33.69</v>
      </c>
      <c r="L110" s="247" t="s">
        <v>1247</v>
      </c>
      <c r="M110" s="107" t="s">
        <v>1201</v>
      </c>
    </row>
    <row r="111" spans="1:13" x14ac:dyDescent="0.2">
      <c r="A111" s="107" t="s">
        <v>280</v>
      </c>
      <c r="B111" s="107" t="s">
        <v>1080</v>
      </c>
      <c r="C111" s="107" t="s">
        <v>206</v>
      </c>
      <c r="D111" s="107" t="s">
        <v>210</v>
      </c>
      <c r="E111" s="107">
        <v>33.450000000000003</v>
      </c>
      <c r="F111" s="107" t="s">
        <v>220</v>
      </c>
      <c r="G111" s="107" t="s">
        <v>234</v>
      </c>
      <c r="H111" s="107" t="s">
        <v>981</v>
      </c>
      <c r="I111" s="107" t="s">
        <v>206</v>
      </c>
      <c r="J111" s="107" t="s">
        <v>809</v>
      </c>
      <c r="K111" s="107">
        <v>32.659999999999997</v>
      </c>
      <c r="L111" s="247" t="s">
        <v>1247</v>
      </c>
      <c r="M111" s="107" t="s">
        <v>1202</v>
      </c>
    </row>
    <row r="112" spans="1:13" x14ac:dyDescent="0.2">
      <c r="A112" s="107" t="s">
        <v>281</v>
      </c>
      <c r="B112" s="107" t="s">
        <v>981</v>
      </c>
      <c r="C112" s="107" t="s">
        <v>206</v>
      </c>
      <c r="D112" s="107" t="s">
        <v>809</v>
      </c>
      <c r="E112" s="107">
        <v>33.03</v>
      </c>
      <c r="F112" s="107" t="s">
        <v>220</v>
      </c>
      <c r="G112" s="107" t="s">
        <v>235</v>
      </c>
      <c r="H112" s="107" t="s">
        <v>981</v>
      </c>
      <c r="I112" s="107" t="s">
        <v>206</v>
      </c>
      <c r="J112" s="107" t="s">
        <v>809</v>
      </c>
      <c r="K112" s="107">
        <v>32.22</v>
      </c>
      <c r="L112" s="247" t="s">
        <v>1247</v>
      </c>
      <c r="M112" s="107" t="s">
        <v>1203</v>
      </c>
    </row>
    <row r="113" spans="1:13" x14ac:dyDescent="0.2">
      <c r="A113" s="107" t="s">
        <v>281</v>
      </c>
      <c r="B113" s="107" t="s">
        <v>1080</v>
      </c>
      <c r="C113" s="107" t="s">
        <v>206</v>
      </c>
      <c r="D113" s="107" t="s">
        <v>210</v>
      </c>
      <c r="E113" s="107">
        <v>34.76</v>
      </c>
      <c r="F113" s="107" t="s">
        <v>220</v>
      </c>
      <c r="G113" s="107" t="s">
        <v>236</v>
      </c>
      <c r="H113" s="107" t="s">
        <v>981</v>
      </c>
      <c r="I113" s="107" t="s">
        <v>206</v>
      </c>
      <c r="J113" s="107" t="s">
        <v>809</v>
      </c>
      <c r="K113" s="107">
        <v>33.200000000000003</v>
      </c>
      <c r="L113" s="247" t="s">
        <v>1247</v>
      </c>
      <c r="M113" s="107" t="s">
        <v>1205</v>
      </c>
    </row>
    <row r="114" spans="1:13" x14ac:dyDescent="0.2">
      <c r="A114" s="107" t="s">
        <v>282</v>
      </c>
      <c r="B114" s="107" t="s">
        <v>981</v>
      </c>
      <c r="C114" s="107" t="s">
        <v>206</v>
      </c>
      <c r="D114" s="107" t="s">
        <v>809</v>
      </c>
      <c r="E114" s="107">
        <v>33.01</v>
      </c>
      <c r="F114" s="107" t="s">
        <v>220</v>
      </c>
      <c r="G114" s="107" t="s">
        <v>237</v>
      </c>
      <c r="H114" s="107" t="s">
        <v>981</v>
      </c>
      <c r="I114" s="107" t="s">
        <v>206</v>
      </c>
      <c r="J114" s="107" t="s">
        <v>809</v>
      </c>
      <c r="K114" s="107">
        <v>32.79</v>
      </c>
      <c r="L114" s="247" t="s">
        <v>1247</v>
      </c>
      <c r="M114" s="107" t="s">
        <v>1235</v>
      </c>
    </row>
    <row r="115" spans="1:13" x14ac:dyDescent="0.2">
      <c r="A115" s="107" t="s">
        <v>282</v>
      </c>
      <c r="B115" s="107" t="s">
        <v>1080</v>
      </c>
      <c r="C115" s="107" t="s">
        <v>206</v>
      </c>
      <c r="D115" s="107" t="s">
        <v>210</v>
      </c>
      <c r="E115" s="107">
        <v>34.659999999999997</v>
      </c>
      <c r="F115" s="107" t="s">
        <v>220</v>
      </c>
      <c r="G115" s="107" t="s">
        <v>238</v>
      </c>
      <c r="H115" s="107" t="s">
        <v>981</v>
      </c>
      <c r="I115" s="107" t="s">
        <v>206</v>
      </c>
      <c r="J115" s="107" t="s">
        <v>809</v>
      </c>
      <c r="K115" s="107">
        <v>32.979999999999997</v>
      </c>
      <c r="L115" s="247" t="s">
        <v>1247</v>
      </c>
      <c r="M115" s="107" t="s">
        <v>1236</v>
      </c>
    </row>
    <row r="116" spans="1:13" x14ac:dyDescent="0.2">
      <c r="A116" s="107" t="s">
        <v>283</v>
      </c>
      <c r="B116" s="107" t="s">
        <v>981</v>
      </c>
      <c r="C116" s="107" t="s">
        <v>206</v>
      </c>
      <c r="D116" s="107" t="s">
        <v>809</v>
      </c>
      <c r="E116" s="107">
        <v>32.630000000000003</v>
      </c>
      <c r="F116" s="107" t="s">
        <v>220</v>
      </c>
      <c r="G116" s="107" t="s">
        <v>239</v>
      </c>
      <c r="H116" s="107" t="s">
        <v>981</v>
      </c>
      <c r="I116" s="107" t="s">
        <v>206</v>
      </c>
      <c r="J116" s="107" t="s">
        <v>809</v>
      </c>
      <c r="K116" s="107">
        <v>33.31</v>
      </c>
      <c r="L116" s="247" t="s">
        <v>1247</v>
      </c>
      <c r="M116" s="107" t="s">
        <v>1237</v>
      </c>
    </row>
    <row r="117" spans="1:13" x14ac:dyDescent="0.2">
      <c r="A117" s="107" t="s">
        <v>283</v>
      </c>
      <c r="B117" s="107" t="s">
        <v>1080</v>
      </c>
      <c r="C117" s="107" t="s">
        <v>206</v>
      </c>
      <c r="D117" s="107" t="s">
        <v>210</v>
      </c>
      <c r="E117" s="107">
        <v>35.22</v>
      </c>
      <c r="F117" s="107" t="s">
        <v>220</v>
      </c>
      <c r="G117" s="107" t="s">
        <v>242</v>
      </c>
      <c r="H117" s="107" t="s">
        <v>981</v>
      </c>
      <c r="I117" s="107" t="s">
        <v>206</v>
      </c>
      <c r="J117" s="107" t="s">
        <v>809</v>
      </c>
      <c r="K117" s="107">
        <v>32.82</v>
      </c>
      <c r="L117" s="247" t="s">
        <v>1247</v>
      </c>
      <c r="M117" s="107" t="s">
        <v>1238</v>
      </c>
    </row>
    <row r="118" spans="1:13" x14ac:dyDescent="0.2">
      <c r="A118" s="107" t="s">
        <v>284</v>
      </c>
      <c r="B118" s="107" t="s">
        <v>981</v>
      </c>
      <c r="C118" s="107" t="s">
        <v>206</v>
      </c>
      <c r="D118" s="107" t="s">
        <v>809</v>
      </c>
      <c r="E118" s="107">
        <v>33.479999999999997</v>
      </c>
      <c r="F118" s="107" t="s">
        <v>220</v>
      </c>
      <c r="G118" s="107" t="s">
        <v>243</v>
      </c>
      <c r="H118" s="107" t="s">
        <v>981</v>
      </c>
      <c r="I118" s="107" t="s">
        <v>206</v>
      </c>
      <c r="J118" s="107" t="s">
        <v>809</v>
      </c>
      <c r="K118" s="107">
        <v>32.86</v>
      </c>
      <c r="L118" s="247" t="s">
        <v>1247</v>
      </c>
      <c r="M118" s="107" t="s">
        <v>1239</v>
      </c>
    </row>
    <row r="119" spans="1:13" x14ac:dyDescent="0.2">
      <c r="A119" s="107" t="s">
        <v>284</v>
      </c>
      <c r="B119" s="107" t="s">
        <v>1080</v>
      </c>
      <c r="C119" s="107" t="s">
        <v>206</v>
      </c>
      <c r="D119" s="107" t="s">
        <v>210</v>
      </c>
      <c r="E119" s="107">
        <v>34.47</v>
      </c>
      <c r="F119" s="107" t="s">
        <v>220</v>
      </c>
      <c r="G119" s="107" t="s">
        <v>244</v>
      </c>
      <c r="H119" s="107" t="s">
        <v>981</v>
      </c>
      <c r="I119" s="107" t="s">
        <v>206</v>
      </c>
      <c r="J119" s="107" t="s">
        <v>809</v>
      </c>
      <c r="K119" s="107">
        <v>32.950000000000003</v>
      </c>
      <c r="L119" s="247" t="s">
        <v>1247</v>
      </c>
      <c r="M119" s="107" t="s">
        <v>1240</v>
      </c>
    </row>
    <row r="120" spans="1:13" x14ac:dyDescent="0.2">
      <c r="A120" s="107" t="s">
        <v>285</v>
      </c>
      <c r="B120" s="107" t="s">
        <v>981</v>
      </c>
      <c r="C120" s="107" t="s">
        <v>206</v>
      </c>
      <c r="D120" s="107" t="s">
        <v>809</v>
      </c>
      <c r="E120" s="107">
        <v>32.700000000000003</v>
      </c>
      <c r="F120" s="107" t="s">
        <v>220</v>
      </c>
      <c r="G120" s="107" t="s">
        <v>245</v>
      </c>
      <c r="H120" s="107" t="s">
        <v>981</v>
      </c>
      <c r="I120" s="107" t="s">
        <v>206</v>
      </c>
      <c r="J120" s="107" t="s">
        <v>809</v>
      </c>
      <c r="K120" s="107">
        <v>33.44</v>
      </c>
      <c r="L120" s="247" t="s">
        <v>1247</v>
      </c>
      <c r="M120" s="107" t="s">
        <v>1244</v>
      </c>
    </row>
    <row r="121" spans="1:13" x14ac:dyDescent="0.2">
      <c r="A121" s="107" t="s">
        <v>285</v>
      </c>
      <c r="B121" s="107" t="s">
        <v>1080</v>
      </c>
      <c r="C121" s="107" t="s">
        <v>206</v>
      </c>
      <c r="D121" s="107" t="s">
        <v>210</v>
      </c>
      <c r="E121" s="107">
        <v>34.31</v>
      </c>
      <c r="F121" s="107" t="s">
        <v>220</v>
      </c>
      <c r="G121" s="107" t="s">
        <v>247</v>
      </c>
      <c r="H121" s="107" t="s">
        <v>981</v>
      </c>
      <c r="I121" s="107" t="s">
        <v>206</v>
      </c>
      <c r="J121" s="107" t="s">
        <v>809</v>
      </c>
      <c r="K121" s="107">
        <v>33.31</v>
      </c>
      <c r="L121" s="247" t="s">
        <v>1247</v>
      </c>
      <c r="M121" s="107" t="s">
        <v>1245</v>
      </c>
    </row>
    <row r="122" spans="1:13" x14ac:dyDescent="0.2">
      <c r="A122" s="107" t="s">
        <v>286</v>
      </c>
      <c r="B122" s="107" t="s">
        <v>981</v>
      </c>
      <c r="C122" s="107" t="s">
        <v>206</v>
      </c>
      <c r="D122" s="107" t="s">
        <v>809</v>
      </c>
      <c r="E122" s="107">
        <v>32.35</v>
      </c>
      <c r="F122" s="107" t="s">
        <v>220</v>
      </c>
      <c r="G122" s="107" t="s">
        <v>248</v>
      </c>
      <c r="H122" s="107" t="s">
        <v>981</v>
      </c>
      <c r="I122" s="107" t="s">
        <v>206</v>
      </c>
      <c r="J122" s="107" t="s">
        <v>809</v>
      </c>
      <c r="K122" s="107">
        <v>32.729999999999997</v>
      </c>
      <c r="L122" s="247" t="s">
        <v>1250</v>
      </c>
      <c r="M122" s="107" t="s">
        <v>1201</v>
      </c>
    </row>
    <row r="123" spans="1:13" x14ac:dyDescent="0.2">
      <c r="A123" s="107" t="s">
        <v>286</v>
      </c>
      <c r="B123" s="107" t="s">
        <v>1080</v>
      </c>
      <c r="C123" s="107" t="s">
        <v>206</v>
      </c>
      <c r="D123" s="107" t="s">
        <v>210</v>
      </c>
      <c r="E123" s="107" t="s">
        <v>220</v>
      </c>
      <c r="F123" s="107" t="s">
        <v>220</v>
      </c>
      <c r="G123" s="107" t="s">
        <v>249</v>
      </c>
      <c r="H123" s="107" t="s">
        <v>981</v>
      </c>
      <c r="I123" s="107" t="s">
        <v>206</v>
      </c>
      <c r="J123" s="107" t="s">
        <v>809</v>
      </c>
      <c r="K123" s="107">
        <v>32.950000000000003</v>
      </c>
      <c r="L123" s="247" t="s">
        <v>1250</v>
      </c>
      <c r="M123" s="107" t="s">
        <v>1202</v>
      </c>
    </row>
    <row r="124" spans="1:13" x14ac:dyDescent="0.2">
      <c r="A124" s="107" t="s">
        <v>287</v>
      </c>
      <c r="B124" s="107" t="s">
        <v>981</v>
      </c>
      <c r="C124" s="107" t="s">
        <v>206</v>
      </c>
      <c r="D124" s="107" t="s">
        <v>809</v>
      </c>
      <c r="E124" s="107">
        <v>33.03</v>
      </c>
      <c r="F124" s="107" t="s">
        <v>220</v>
      </c>
      <c r="G124" s="107" t="s">
        <v>250</v>
      </c>
      <c r="H124" s="107" t="s">
        <v>981</v>
      </c>
      <c r="I124" s="107" t="s">
        <v>206</v>
      </c>
      <c r="J124" s="107" t="s">
        <v>809</v>
      </c>
      <c r="K124" s="107">
        <v>33.229999999999997</v>
      </c>
      <c r="L124" s="247" t="s">
        <v>1250</v>
      </c>
      <c r="M124" s="107" t="s">
        <v>1203</v>
      </c>
    </row>
    <row r="125" spans="1:13" x14ac:dyDescent="0.2">
      <c r="A125" s="107" t="s">
        <v>287</v>
      </c>
      <c r="B125" s="107" t="s">
        <v>1080</v>
      </c>
      <c r="C125" s="107" t="s">
        <v>206</v>
      </c>
      <c r="D125" s="107" t="s">
        <v>210</v>
      </c>
      <c r="E125" s="107">
        <v>38.25</v>
      </c>
      <c r="F125" s="107" t="s">
        <v>220</v>
      </c>
      <c r="G125" s="107" t="s">
        <v>251</v>
      </c>
      <c r="H125" s="107" t="s">
        <v>981</v>
      </c>
      <c r="I125" s="107" t="s">
        <v>206</v>
      </c>
      <c r="J125" s="107" t="s">
        <v>809</v>
      </c>
      <c r="K125" s="107">
        <v>33.06</v>
      </c>
      <c r="L125" s="247" t="s">
        <v>1250</v>
      </c>
      <c r="M125" s="107" t="s">
        <v>1205</v>
      </c>
    </row>
    <row r="126" spans="1:13" x14ac:dyDescent="0.2">
      <c r="A126" s="107" t="s">
        <v>288</v>
      </c>
      <c r="B126" s="107" t="s">
        <v>981</v>
      </c>
      <c r="C126" s="107" t="s">
        <v>206</v>
      </c>
      <c r="D126" s="107" t="s">
        <v>809</v>
      </c>
      <c r="E126" s="107">
        <v>33.65</v>
      </c>
      <c r="F126" s="107" t="s">
        <v>220</v>
      </c>
      <c r="G126" s="107" t="s">
        <v>252</v>
      </c>
      <c r="H126" s="107" t="s">
        <v>981</v>
      </c>
      <c r="I126" s="107" t="s">
        <v>206</v>
      </c>
      <c r="J126" s="107" t="s">
        <v>809</v>
      </c>
      <c r="K126" s="107">
        <v>34.03</v>
      </c>
      <c r="L126" s="247" t="s">
        <v>1250</v>
      </c>
      <c r="M126" s="107" t="s">
        <v>1235</v>
      </c>
    </row>
    <row r="127" spans="1:13" x14ac:dyDescent="0.2">
      <c r="A127" s="107" t="s">
        <v>288</v>
      </c>
      <c r="B127" s="107" t="s">
        <v>1080</v>
      </c>
      <c r="C127" s="107" t="s">
        <v>206</v>
      </c>
      <c r="D127" s="107" t="s">
        <v>210</v>
      </c>
      <c r="E127" s="107">
        <v>37.049999999999997</v>
      </c>
      <c r="F127" s="107" t="s">
        <v>220</v>
      </c>
      <c r="G127" s="107" t="s">
        <v>253</v>
      </c>
      <c r="H127" s="107" t="s">
        <v>981</v>
      </c>
      <c r="I127" s="107" t="s">
        <v>206</v>
      </c>
      <c r="J127" s="107" t="s">
        <v>809</v>
      </c>
      <c r="K127" s="107">
        <v>33.29</v>
      </c>
      <c r="L127" s="247" t="s">
        <v>1250</v>
      </c>
      <c r="M127" s="107" t="s">
        <v>1236</v>
      </c>
    </row>
    <row r="128" spans="1:13" x14ac:dyDescent="0.2">
      <c r="A128" s="107" t="s">
        <v>289</v>
      </c>
      <c r="B128" s="107" t="s">
        <v>981</v>
      </c>
      <c r="C128" s="107" t="s">
        <v>206</v>
      </c>
      <c r="D128" s="107" t="s">
        <v>809</v>
      </c>
      <c r="E128" s="107">
        <v>32.200000000000003</v>
      </c>
      <c r="F128" s="107" t="s">
        <v>220</v>
      </c>
      <c r="G128" s="107" t="s">
        <v>254</v>
      </c>
      <c r="H128" s="107" t="s">
        <v>981</v>
      </c>
      <c r="I128" s="107" t="s">
        <v>206</v>
      </c>
      <c r="J128" s="107" t="s">
        <v>809</v>
      </c>
      <c r="K128" s="107">
        <v>32.590000000000003</v>
      </c>
      <c r="L128" s="247" t="s">
        <v>1250</v>
      </c>
      <c r="M128" s="107" t="s">
        <v>1237</v>
      </c>
    </row>
    <row r="129" spans="1:13" x14ac:dyDescent="0.2">
      <c r="A129" s="107" t="s">
        <v>289</v>
      </c>
      <c r="B129" s="107" t="s">
        <v>1080</v>
      </c>
      <c r="C129" s="107" t="s">
        <v>206</v>
      </c>
      <c r="D129" s="107" t="s">
        <v>210</v>
      </c>
      <c r="E129" s="107">
        <v>36.64</v>
      </c>
      <c r="F129" s="107" t="s">
        <v>220</v>
      </c>
      <c r="G129" s="107" t="s">
        <v>255</v>
      </c>
      <c r="H129" s="107" t="s">
        <v>981</v>
      </c>
      <c r="I129" s="107" t="s">
        <v>206</v>
      </c>
      <c r="J129" s="107" t="s">
        <v>809</v>
      </c>
      <c r="K129" s="107">
        <v>33.11</v>
      </c>
      <c r="L129" s="247" t="s">
        <v>1250</v>
      </c>
      <c r="M129" s="107" t="s">
        <v>1238</v>
      </c>
    </row>
    <row r="130" spans="1:13" x14ac:dyDescent="0.2">
      <c r="A130" s="107" t="s">
        <v>290</v>
      </c>
      <c r="B130" s="107" t="s">
        <v>981</v>
      </c>
      <c r="C130" s="107" t="s">
        <v>206</v>
      </c>
      <c r="D130" s="107" t="s">
        <v>809</v>
      </c>
      <c r="E130" s="107">
        <v>32.67</v>
      </c>
      <c r="F130" s="107" t="s">
        <v>220</v>
      </c>
      <c r="G130" s="107" t="s">
        <v>256</v>
      </c>
      <c r="H130" s="107" t="s">
        <v>981</v>
      </c>
      <c r="I130" s="107" t="s">
        <v>206</v>
      </c>
      <c r="J130" s="107" t="s">
        <v>809</v>
      </c>
      <c r="K130" s="107">
        <v>33.299999999999997</v>
      </c>
      <c r="L130" s="247" t="s">
        <v>1250</v>
      </c>
      <c r="M130" s="107" t="s">
        <v>1239</v>
      </c>
    </row>
    <row r="131" spans="1:13" x14ac:dyDescent="0.2">
      <c r="A131" s="107" t="s">
        <v>290</v>
      </c>
      <c r="B131" s="107" t="s">
        <v>1080</v>
      </c>
      <c r="C131" s="107" t="s">
        <v>206</v>
      </c>
      <c r="D131" s="107" t="s">
        <v>210</v>
      </c>
      <c r="E131" s="107" t="s">
        <v>220</v>
      </c>
      <c r="F131" s="107" t="s">
        <v>220</v>
      </c>
      <c r="G131" s="107" t="s">
        <v>257</v>
      </c>
      <c r="H131" s="107" t="s">
        <v>981</v>
      </c>
      <c r="I131" s="107" t="s">
        <v>206</v>
      </c>
      <c r="J131" s="107" t="s">
        <v>809</v>
      </c>
      <c r="K131" s="107">
        <v>32.520000000000003</v>
      </c>
      <c r="L131" s="247" t="s">
        <v>1250</v>
      </c>
      <c r="M131" s="107" t="s">
        <v>1240</v>
      </c>
    </row>
    <row r="132" spans="1:13" x14ac:dyDescent="0.2">
      <c r="A132" s="107" t="s">
        <v>291</v>
      </c>
      <c r="B132" s="107" t="s">
        <v>981</v>
      </c>
      <c r="C132" s="107" t="s">
        <v>206</v>
      </c>
      <c r="D132" s="107" t="s">
        <v>809</v>
      </c>
      <c r="E132" s="107">
        <v>33.130000000000003</v>
      </c>
      <c r="F132" s="107" t="s">
        <v>220</v>
      </c>
      <c r="G132" s="107" t="s">
        <v>258</v>
      </c>
      <c r="H132" s="107" t="s">
        <v>981</v>
      </c>
      <c r="I132" s="107" t="s">
        <v>206</v>
      </c>
      <c r="J132" s="107" t="s">
        <v>809</v>
      </c>
      <c r="K132" s="107">
        <v>32.85</v>
      </c>
      <c r="L132" s="247" t="s">
        <v>1250</v>
      </c>
      <c r="M132" s="107" t="s">
        <v>1244</v>
      </c>
    </row>
    <row r="133" spans="1:13" x14ac:dyDescent="0.2">
      <c r="A133" s="107" t="s">
        <v>291</v>
      </c>
      <c r="B133" s="107" t="s">
        <v>1080</v>
      </c>
      <c r="C133" s="107" t="s">
        <v>206</v>
      </c>
      <c r="D133" s="107" t="s">
        <v>210</v>
      </c>
      <c r="E133" s="107" t="s">
        <v>220</v>
      </c>
      <c r="F133" s="107" t="s">
        <v>220</v>
      </c>
      <c r="G133" s="107" t="s">
        <v>259</v>
      </c>
      <c r="H133" s="107" t="s">
        <v>981</v>
      </c>
      <c r="I133" s="107" t="s">
        <v>206</v>
      </c>
      <c r="J133" s="107" t="s">
        <v>809</v>
      </c>
      <c r="K133" s="107">
        <v>32.67</v>
      </c>
      <c r="L133" s="247" t="s">
        <v>1250</v>
      </c>
      <c r="M133" s="107" t="s">
        <v>1245</v>
      </c>
    </row>
    <row r="134" spans="1:13" x14ac:dyDescent="0.2">
      <c r="A134" s="107" t="s">
        <v>292</v>
      </c>
      <c r="B134" s="107" t="s">
        <v>981</v>
      </c>
      <c r="C134" s="107" t="s">
        <v>206</v>
      </c>
      <c r="D134" s="107" t="s">
        <v>809</v>
      </c>
      <c r="E134" s="107">
        <v>32.520000000000003</v>
      </c>
      <c r="F134" s="107" t="s">
        <v>220</v>
      </c>
      <c r="G134" s="107" t="s">
        <v>260</v>
      </c>
      <c r="H134" s="107" t="s">
        <v>981</v>
      </c>
      <c r="I134" s="107" t="s">
        <v>206</v>
      </c>
      <c r="J134" s="107" t="s">
        <v>809</v>
      </c>
      <c r="K134" s="107">
        <v>33.19</v>
      </c>
      <c r="L134" s="247" t="s">
        <v>1251</v>
      </c>
      <c r="M134" s="107" t="s">
        <v>1201</v>
      </c>
    </row>
    <row r="135" spans="1:13" x14ac:dyDescent="0.2">
      <c r="A135" s="107" t="s">
        <v>292</v>
      </c>
      <c r="B135" s="107" t="s">
        <v>1080</v>
      </c>
      <c r="C135" s="107" t="s">
        <v>206</v>
      </c>
      <c r="D135" s="107" t="s">
        <v>210</v>
      </c>
      <c r="E135" s="107">
        <v>39.380000000000003</v>
      </c>
      <c r="F135" s="107" t="s">
        <v>220</v>
      </c>
      <c r="G135" s="107" t="s">
        <v>261</v>
      </c>
      <c r="H135" s="107" t="s">
        <v>981</v>
      </c>
      <c r="I135" s="107" t="s">
        <v>206</v>
      </c>
      <c r="J135" s="107" t="s">
        <v>809</v>
      </c>
      <c r="K135" s="107">
        <v>32.950000000000003</v>
      </c>
      <c r="L135" s="247" t="s">
        <v>1251</v>
      </c>
      <c r="M135" s="107" t="s">
        <v>1202</v>
      </c>
    </row>
    <row r="136" spans="1:13" x14ac:dyDescent="0.2">
      <c r="A136" s="107" t="s">
        <v>293</v>
      </c>
      <c r="B136" s="107" t="s">
        <v>981</v>
      </c>
      <c r="C136" s="107" t="s">
        <v>206</v>
      </c>
      <c r="D136" s="107" t="s">
        <v>809</v>
      </c>
      <c r="E136" s="107">
        <v>32.840000000000003</v>
      </c>
      <c r="F136" s="107" t="s">
        <v>220</v>
      </c>
      <c r="G136" s="107" t="s">
        <v>262</v>
      </c>
      <c r="H136" s="107" t="s">
        <v>981</v>
      </c>
      <c r="I136" s="107" t="s">
        <v>206</v>
      </c>
      <c r="J136" s="107" t="s">
        <v>809</v>
      </c>
      <c r="K136" s="107">
        <v>32.35</v>
      </c>
      <c r="L136" s="247" t="s">
        <v>1251</v>
      </c>
      <c r="M136" s="107" t="s">
        <v>1203</v>
      </c>
    </row>
    <row r="137" spans="1:13" x14ac:dyDescent="0.2">
      <c r="A137" s="107" t="s">
        <v>293</v>
      </c>
      <c r="B137" s="107" t="s">
        <v>1080</v>
      </c>
      <c r="C137" s="107" t="s">
        <v>206</v>
      </c>
      <c r="D137" s="107" t="s">
        <v>210</v>
      </c>
      <c r="E137" s="107" t="s">
        <v>220</v>
      </c>
      <c r="F137" s="107" t="s">
        <v>220</v>
      </c>
      <c r="G137" s="107" t="s">
        <v>263</v>
      </c>
      <c r="H137" s="107" t="s">
        <v>981</v>
      </c>
      <c r="I137" s="107" t="s">
        <v>206</v>
      </c>
      <c r="J137" s="107" t="s">
        <v>809</v>
      </c>
      <c r="K137" s="107">
        <v>33.18</v>
      </c>
      <c r="L137" s="247" t="s">
        <v>1251</v>
      </c>
      <c r="M137" s="107" t="s">
        <v>1205</v>
      </c>
    </row>
    <row r="138" spans="1:13" x14ac:dyDescent="0.2">
      <c r="A138" s="107" t="s">
        <v>294</v>
      </c>
      <c r="B138" s="107" t="s">
        <v>981</v>
      </c>
      <c r="C138" s="107" t="s">
        <v>206</v>
      </c>
      <c r="D138" s="107" t="s">
        <v>809</v>
      </c>
      <c r="E138" s="107">
        <v>32.51</v>
      </c>
      <c r="F138" s="107" t="s">
        <v>220</v>
      </c>
      <c r="G138" s="107" t="s">
        <v>264</v>
      </c>
      <c r="H138" s="107" t="s">
        <v>981</v>
      </c>
      <c r="I138" s="107" t="s">
        <v>206</v>
      </c>
      <c r="J138" s="107" t="s">
        <v>809</v>
      </c>
      <c r="K138" s="107">
        <v>33.270000000000003</v>
      </c>
      <c r="L138" s="247" t="s">
        <v>1251</v>
      </c>
      <c r="M138" s="107" t="s">
        <v>1235</v>
      </c>
    </row>
    <row r="139" spans="1:13" x14ac:dyDescent="0.2">
      <c r="A139" s="107" t="s">
        <v>294</v>
      </c>
      <c r="B139" s="107" t="s">
        <v>1080</v>
      </c>
      <c r="C139" s="107" t="s">
        <v>206</v>
      </c>
      <c r="D139" s="107" t="s">
        <v>210</v>
      </c>
      <c r="E139" s="107">
        <v>37.4</v>
      </c>
      <c r="F139" s="107" t="s">
        <v>220</v>
      </c>
      <c r="G139" s="107" t="s">
        <v>265</v>
      </c>
      <c r="H139" s="107" t="s">
        <v>981</v>
      </c>
      <c r="I139" s="107" t="s">
        <v>206</v>
      </c>
      <c r="J139" s="107" t="s">
        <v>809</v>
      </c>
      <c r="K139" s="107">
        <v>33.04</v>
      </c>
      <c r="L139" s="247" t="s">
        <v>1251</v>
      </c>
      <c r="M139" s="107" t="s">
        <v>1236</v>
      </c>
    </row>
    <row r="140" spans="1:13" x14ac:dyDescent="0.2">
      <c r="A140" s="107" t="s">
        <v>295</v>
      </c>
      <c r="B140" s="107" t="s">
        <v>981</v>
      </c>
      <c r="C140" s="107" t="s">
        <v>206</v>
      </c>
      <c r="D140" s="107" t="s">
        <v>809</v>
      </c>
      <c r="E140" s="107">
        <v>33.36</v>
      </c>
      <c r="F140" s="107" t="s">
        <v>220</v>
      </c>
      <c r="G140" s="107" t="s">
        <v>266</v>
      </c>
      <c r="H140" s="107" t="s">
        <v>981</v>
      </c>
      <c r="I140" s="107" t="s">
        <v>206</v>
      </c>
      <c r="J140" s="107" t="s">
        <v>809</v>
      </c>
      <c r="K140" s="107">
        <v>34.119999999999997</v>
      </c>
      <c r="L140" s="247" t="s">
        <v>1251</v>
      </c>
      <c r="M140" s="107" t="s">
        <v>1237</v>
      </c>
    </row>
    <row r="141" spans="1:13" x14ac:dyDescent="0.2">
      <c r="A141" s="107" t="s">
        <v>295</v>
      </c>
      <c r="B141" s="107" t="s">
        <v>1080</v>
      </c>
      <c r="C141" s="107" t="s">
        <v>206</v>
      </c>
      <c r="D141" s="107" t="s">
        <v>210</v>
      </c>
      <c r="E141" s="107" t="s">
        <v>220</v>
      </c>
      <c r="F141" s="107" t="s">
        <v>220</v>
      </c>
      <c r="G141" s="107" t="s">
        <v>267</v>
      </c>
      <c r="H141" s="107" t="s">
        <v>981</v>
      </c>
      <c r="I141" s="107" t="s">
        <v>206</v>
      </c>
      <c r="J141" s="107" t="s">
        <v>809</v>
      </c>
      <c r="K141" s="107">
        <v>33.22</v>
      </c>
      <c r="L141" s="247" t="s">
        <v>1251</v>
      </c>
      <c r="M141" s="107" t="s">
        <v>1238</v>
      </c>
    </row>
    <row r="142" spans="1:13" x14ac:dyDescent="0.2">
      <c r="A142" s="107" t="s">
        <v>296</v>
      </c>
      <c r="B142" s="107" t="s">
        <v>981</v>
      </c>
      <c r="C142" s="107" t="s">
        <v>206</v>
      </c>
      <c r="D142" s="107" t="s">
        <v>809</v>
      </c>
      <c r="E142" s="107">
        <v>33.96</v>
      </c>
      <c r="F142" s="107" t="s">
        <v>220</v>
      </c>
      <c r="G142" s="107" t="s">
        <v>268</v>
      </c>
      <c r="H142" s="107" t="s">
        <v>981</v>
      </c>
      <c r="I142" s="107" t="s">
        <v>206</v>
      </c>
      <c r="J142" s="107" t="s">
        <v>809</v>
      </c>
      <c r="K142" s="107">
        <v>33.049999999999997</v>
      </c>
      <c r="L142" s="247" t="s">
        <v>1251</v>
      </c>
      <c r="M142" s="107" t="s">
        <v>1239</v>
      </c>
    </row>
    <row r="143" spans="1:13" x14ac:dyDescent="0.2">
      <c r="A143" s="107" t="s">
        <v>296</v>
      </c>
      <c r="B143" s="107" t="s">
        <v>1080</v>
      </c>
      <c r="C143" s="107" t="s">
        <v>206</v>
      </c>
      <c r="D143" s="107" t="s">
        <v>210</v>
      </c>
      <c r="E143" s="107">
        <v>37.85</v>
      </c>
      <c r="F143" s="107" t="s">
        <v>220</v>
      </c>
      <c r="G143" s="107" t="s">
        <v>270</v>
      </c>
      <c r="H143" s="107" t="s">
        <v>981</v>
      </c>
      <c r="I143" s="107" t="s">
        <v>206</v>
      </c>
      <c r="J143" s="107" t="s">
        <v>809</v>
      </c>
      <c r="K143" s="107">
        <v>33.21</v>
      </c>
      <c r="L143" s="247" t="s">
        <v>1251</v>
      </c>
      <c r="M143" s="107" t="s">
        <v>1240</v>
      </c>
    </row>
    <row r="144" spans="1:13" x14ac:dyDescent="0.2">
      <c r="A144" s="107" t="s">
        <v>297</v>
      </c>
      <c r="B144" s="107" t="s">
        <v>981</v>
      </c>
      <c r="C144" s="107" t="s">
        <v>206</v>
      </c>
      <c r="D144" s="107" t="s">
        <v>809</v>
      </c>
      <c r="E144" s="107">
        <v>32.71</v>
      </c>
      <c r="F144" s="107" t="s">
        <v>220</v>
      </c>
      <c r="G144" s="107" t="s">
        <v>272</v>
      </c>
      <c r="H144" s="107" t="s">
        <v>981</v>
      </c>
      <c r="I144" s="107" t="s">
        <v>206</v>
      </c>
      <c r="J144" s="107" t="s">
        <v>809</v>
      </c>
      <c r="K144" s="107">
        <v>33.729999999999997</v>
      </c>
      <c r="L144" s="247" t="s">
        <v>1251</v>
      </c>
      <c r="M144" s="107" t="s">
        <v>1244</v>
      </c>
    </row>
    <row r="145" spans="1:13" x14ac:dyDescent="0.2">
      <c r="A145" s="107" t="s">
        <v>297</v>
      </c>
      <c r="B145" s="107" t="s">
        <v>1080</v>
      </c>
      <c r="C145" s="107" t="s">
        <v>206</v>
      </c>
      <c r="D145" s="107" t="s">
        <v>210</v>
      </c>
      <c r="E145" s="107">
        <v>36.229999999999997</v>
      </c>
      <c r="F145" s="107" t="s">
        <v>220</v>
      </c>
      <c r="G145" s="107" t="s">
        <v>273</v>
      </c>
      <c r="H145" s="107" t="s">
        <v>981</v>
      </c>
      <c r="I145" s="107" t="s">
        <v>206</v>
      </c>
      <c r="J145" s="107" t="s">
        <v>809</v>
      </c>
      <c r="K145" s="107">
        <v>33.770000000000003</v>
      </c>
      <c r="L145" s="247" t="s">
        <v>1251</v>
      </c>
      <c r="M145" s="107" t="s">
        <v>1245</v>
      </c>
    </row>
    <row r="146" spans="1:13" x14ac:dyDescent="0.2">
      <c r="A146" s="107" t="s">
        <v>298</v>
      </c>
      <c r="B146" s="107" t="s">
        <v>981</v>
      </c>
      <c r="C146" s="107" t="s">
        <v>206</v>
      </c>
      <c r="D146" s="107" t="s">
        <v>809</v>
      </c>
      <c r="E146" s="107">
        <v>32.92</v>
      </c>
      <c r="F146" s="107" t="s">
        <v>220</v>
      </c>
      <c r="G146" s="107" t="s">
        <v>274</v>
      </c>
      <c r="H146" s="107" t="s">
        <v>981</v>
      </c>
      <c r="I146" s="107" t="s">
        <v>206</v>
      </c>
      <c r="J146" s="107" t="s">
        <v>809</v>
      </c>
      <c r="K146" s="107">
        <v>32.57</v>
      </c>
      <c r="L146" s="247" t="s">
        <v>1229</v>
      </c>
      <c r="M146" s="107" t="s">
        <v>1252</v>
      </c>
    </row>
    <row r="147" spans="1:13" x14ac:dyDescent="0.2">
      <c r="A147" s="107" t="s">
        <v>298</v>
      </c>
      <c r="B147" s="107" t="s">
        <v>1080</v>
      </c>
      <c r="C147" s="107" t="s">
        <v>206</v>
      </c>
      <c r="D147" s="107" t="s">
        <v>210</v>
      </c>
      <c r="E147" s="107" t="s">
        <v>220</v>
      </c>
      <c r="F147" s="107" t="s">
        <v>220</v>
      </c>
      <c r="G147" s="107" t="s">
        <v>275</v>
      </c>
      <c r="H147" s="107" t="s">
        <v>981</v>
      </c>
      <c r="I147" s="107" t="s">
        <v>206</v>
      </c>
      <c r="J147" s="107" t="s">
        <v>809</v>
      </c>
      <c r="K147" s="107">
        <v>33.68</v>
      </c>
      <c r="L147" s="247" t="s">
        <v>1229</v>
      </c>
      <c r="M147" s="107" t="s">
        <v>1253</v>
      </c>
    </row>
    <row r="148" spans="1:13" x14ac:dyDescent="0.2">
      <c r="A148" s="107" t="s">
        <v>299</v>
      </c>
      <c r="B148" s="107" t="s">
        <v>981</v>
      </c>
      <c r="C148" s="107" t="s">
        <v>206</v>
      </c>
      <c r="D148" s="107" t="s">
        <v>809</v>
      </c>
      <c r="E148" s="107">
        <v>32.07</v>
      </c>
      <c r="F148" s="107" t="s">
        <v>220</v>
      </c>
      <c r="G148" s="107" t="s">
        <v>276</v>
      </c>
      <c r="H148" s="107" t="s">
        <v>981</v>
      </c>
      <c r="I148" s="107" t="s">
        <v>206</v>
      </c>
      <c r="J148" s="107" t="s">
        <v>809</v>
      </c>
      <c r="K148" s="107">
        <v>33.14</v>
      </c>
      <c r="L148" s="247" t="s">
        <v>1229</v>
      </c>
      <c r="M148" s="107" t="s">
        <v>1254</v>
      </c>
    </row>
    <row r="149" spans="1:13" x14ac:dyDescent="0.2">
      <c r="A149" s="107" t="s">
        <v>299</v>
      </c>
      <c r="B149" s="107" t="s">
        <v>1080</v>
      </c>
      <c r="C149" s="107" t="s">
        <v>206</v>
      </c>
      <c r="D149" s="107" t="s">
        <v>210</v>
      </c>
      <c r="E149" s="107" t="s">
        <v>220</v>
      </c>
      <c r="F149" s="107" t="s">
        <v>220</v>
      </c>
      <c r="G149" s="107" t="s">
        <v>277</v>
      </c>
      <c r="H149" s="107" t="s">
        <v>981</v>
      </c>
      <c r="I149" s="107" t="s">
        <v>206</v>
      </c>
      <c r="J149" s="107" t="s">
        <v>809</v>
      </c>
      <c r="K149" s="107">
        <v>32.58</v>
      </c>
      <c r="L149" s="247" t="s">
        <v>1229</v>
      </c>
      <c r="M149" s="107" t="s">
        <v>1255</v>
      </c>
    </row>
    <row r="150" spans="1:13" x14ac:dyDescent="0.2">
      <c r="A150" s="107" t="s">
        <v>300</v>
      </c>
      <c r="B150" s="107" t="s">
        <v>981</v>
      </c>
      <c r="C150" s="107" t="s">
        <v>206</v>
      </c>
      <c r="D150" s="107" t="s">
        <v>809</v>
      </c>
      <c r="E150" s="107">
        <v>32.799999999999997</v>
      </c>
      <c r="F150" s="107" t="s">
        <v>220</v>
      </c>
      <c r="G150" s="107" t="s">
        <v>278</v>
      </c>
      <c r="H150" s="107" t="s">
        <v>981</v>
      </c>
      <c r="I150" s="107" t="s">
        <v>206</v>
      </c>
      <c r="J150" s="107" t="s">
        <v>809</v>
      </c>
      <c r="K150" s="107">
        <v>32.86</v>
      </c>
      <c r="L150" s="247" t="s">
        <v>1229</v>
      </c>
      <c r="M150" s="107" t="s">
        <v>1256</v>
      </c>
    </row>
    <row r="151" spans="1:13" x14ac:dyDescent="0.2">
      <c r="A151" s="107" t="s">
        <v>300</v>
      </c>
      <c r="B151" s="107" t="s">
        <v>1080</v>
      </c>
      <c r="C151" s="107" t="s">
        <v>206</v>
      </c>
      <c r="D151" s="107" t="s">
        <v>210</v>
      </c>
      <c r="E151" s="107" t="s">
        <v>220</v>
      </c>
      <c r="F151" s="107" t="s">
        <v>220</v>
      </c>
      <c r="G151" s="107" t="s">
        <v>279</v>
      </c>
      <c r="H151" s="107" t="s">
        <v>981</v>
      </c>
      <c r="I151" s="107" t="s">
        <v>206</v>
      </c>
      <c r="J151" s="107" t="s">
        <v>809</v>
      </c>
      <c r="K151" s="107">
        <v>32.93</v>
      </c>
      <c r="L151" s="247" t="s">
        <v>1229</v>
      </c>
      <c r="M151" s="107" t="s">
        <v>1257</v>
      </c>
    </row>
    <row r="152" spans="1:13" x14ac:dyDescent="0.2">
      <c r="A152" s="107" t="s">
        <v>301</v>
      </c>
      <c r="B152" s="107" t="s">
        <v>981</v>
      </c>
      <c r="C152" s="107" t="s">
        <v>206</v>
      </c>
      <c r="D152" s="107" t="s">
        <v>809</v>
      </c>
      <c r="E152" s="107">
        <v>34.299999999999997</v>
      </c>
      <c r="F152" s="107" t="s">
        <v>220</v>
      </c>
      <c r="G152" s="107" t="s">
        <v>280</v>
      </c>
      <c r="H152" s="107" t="s">
        <v>981</v>
      </c>
      <c r="I152" s="107" t="s">
        <v>206</v>
      </c>
      <c r="J152" s="107" t="s">
        <v>809</v>
      </c>
      <c r="K152" s="107">
        <v>32.54</v>
      </c>
      <c r="L152" s="247" t="s">
        <v>1229</v>
      </c>
      <c r="M152" s="107" t="s">
        <v>1258</v>
      </c>
    </row>
    <row r="153" spans="1:13" x14ac:dyDescent="0.2">
      <c r="A153" s="107" t="s">
        <v>301</v>
      </c>
      <c r="B153" s="107" t="s">
        <v>1080</v>
      </c>
      <c r="C153" s="107" t="s">
        <v>206</v>
      </c>
      <c r="D153" s="107" t="s">
        <v>210</v>
      </c>
      <c r="E153" s="107" t="s">
        <v>220</v>
      </c>
      <c r="F153" s="107" t="s">
        <v>220</v>
      </c>
      <c r="G153" s="107" t="s">
        <v>281</v>
      </c>
      <c r="H153" s="107" t="s">
        <v>981</v>
      </c>
      <c r="I153" s="107" t="s">
        <v>206</v>
      </c>
      <c r="J153" s="107" t="s">
        <v>809</v>
      </c>
      <c r="K153" s="107">
        <v>33.03</v>
      </c>
      <c r="L153" s="247" t="s">
        <v>1229</v>
      </c>
      <c r="M153" s="107" t="s">
        <v>1259</v>
      </c>
    </row>
    <row r="154" spans="1:13" x14ac:dyDescent="0.2">
      <c r="A154" s="107" t="s">
        <v>302</v>
      </c>
      <c r="B154" s="107" t="s">
        <v>981</v>
      </c>
      <c r="C154" s="107" t="s">
        <v>206</v>
      </c>
      <c r="D154" s="107" t="s">
        <v>809</v>
      </c>
      <c r="E154" s="107">
        <v>33.590000000000003</v>
      </c>
      <c r="F154" s="107" t="s">
        <v>220</v>
      </c>
      <c r="G154" s="107" t="s">
        <v>282</v>
      </c>
      <c r="H154" s="107" t="s">
        <v>981</v>
      </c>
      <c r="I154" s="107" t="s">
        <v>206</v>
      </c>
      <c r="J154" s="107" t="s">
        <v>809</v>
      </c>
      <c r="K154" s="107">
        <v>33.01</v>
      </c>
      <c r="L154" s="247" t="s">
        <v>1229</v>
      </c>
      <c r="M154" s="107" t="s">
        <v>1260</v>
      </c>
    </row>
    <row r="155" spans="1:13" x14ac:dyDescent="0.2">
      <c r="A155" s="107" t="s">
        <v>302</v>
      </c>
      <c r="B155" s="107" t="s">
        <v>1080</v>
      </c>
      <c r="C155" s="107" t="s">
        <v>206</v>
      </c>
      <c r="D155" s="107" t="s">
        <v>210</v>
      </c>
      <c r="E155" s="107">
        <v>37.130000000000003</v>
      </c>
      <c r="F155" s="107" t="s">
        <v>220</v>
      </c>
      <c r="G155" s="107" t="s">
        <v>283</v>
      </c>
      <c r="H155" s="107" t="s">
        <v>981</v>
      </c>
      <c r="I155" s="107" t="s">
        <v>206</v>
      </c>
      <c r="J155" s="107" t="s">
        <v>809</v>
      </c>
      <c r="K155" s="107">
        <v>32.630000000000003</v>
      </c>
      <c r="L155" s="247" t="s">
        <v>1229</v>
      </c>
      <c r="M155" s="107" t="s">
        <v>1261</v>
      </c>
    </row>
    <row r="156" spans="1:13" x14ac:dyDescent="0.2">
      <c r="A156" s="107" t="s">
        <v>303</v>
      </c>
      <c r="B156" s="107" t="s">
        <v>981</v>
      </c>
      <c r="C156" s="107" t="s">
        <v>206</v>
      </c>
      <c r="D156" s="107" t="s">
        <v>809</v>
      </c>
      <c r="E156" s="107">
        <v>32.61</v>
      </c>
      <c r="F156" s="107" t="s">
        <v>220</v>
      </c>
      <c r="G156" s="107" t="s">
        <v>284</v>
      </c>
      <c r="H156" s="107" t="s">
        <v>981</v>
      </c>
      <c r="I156" s="107" t="s">
        <v>206</v>
      </c>
      <c r="J156" s="107" t="s">
        <v>809</v>
      </c>
      <c r="K156" s="107">
        <v>33.479999999999997</v>
      </c>
      <c r="L156" s="247" t="s">
        <v>1229</v>
      </c>
      <c r="M156" s="107" t="s">
        <v>1262</v>
      </c>
    </row>
    <row r="157" spans="1:13" x14ac:dyDescent="0.2">
      <c r="A157" s="107" t="s">
        <v>303</v>
      </c>
      <c r="B157" s="107" t="s">
        <v>1080</v>
      </c>
      <c r="C157" s="107" t="s">
        <v>206</v>
      </c>
      <c r="D157" s="107" t="s">
        <v>210</v>
      </c>
      <c r="E157" s="107">
        <v>36.950000000000003</v>
      </c>
      <c r="F157" s="107" t="s">
        <v>220</v>
      </c>
      <c r="G157" s="107" t="s">
        <v>285</v>
      </c>
      <c r="H157" s="107" t="s">
        <v>981</v>
      </c>
      <c r="I157" s="107" t="s">
        <v>206</v>
      </c>
      <c r="J157" s="107" t="s">
        <v>809</v>
      </c>
      <c r="K157" s="107">
        <v>32.700000000000003</v>
      </c>
      <c r="L157" s="247" t="s">
        <v>1229</v>
      </c>
      <c r="M157" s="107" t="s">
        <v>1263</v>
      </c>
    </row>
    <row r="158" spans="1:13" x14ac:dyDescent="0.2">
      <c r="A158" s="107" t="s">
        <v>304</v>
      </c>
      <c r="B158" s="107" t="s">
        <v>981</v>
      </c>
      <c r="C158" s="107" t="s">
        <v>206</v>
      </c>
      <c r="D158" s="107" t="s">
        <v>809</v>
      </c>
      <c r="E158" s="107">
        <v>33.28</v>
      </c>
      <c r="F158" s="107" t="s">
        <v>220</v>
      </c>
      <c r="G158" s="107" t="s">
        <v>286</v>
      </c>
      <c r="H158" s="107" t="s">
        <v>981</v>
      </c>
      <c r="I158" s="107" t="s">
        <v>206</v>
      </c>
      <c r="J158" s="107" t="s">
        <v>809</v>
      </c>
      <c r="K158" s="107">
        <v>32.35</v>
      </c>
      <c r="L158" s="247" t="s">
        <v>1247</v>
      </c>
      <c r="M158" s="107" t="s">
        <v>1252</v>
      </c>
    </row>
    <row r="159" spans="1:13" x14ac:dyDescent="0.2">
      <c r="A159" s="107" t="s">
        <v>304</v>
      </c>
      <c r="B159" s="107" t="s">
        <v>1080</v>
      </c>
      <c r="C159" s="107" t="s">
        <v>206</v>
      </c>
      <c r="D159" s="107" t="s">
        <v>210</v>
      </c>
      <c r="E159" s="107" t="s">
        <v>220</v>
      </c>
      <c r="F159" s="107" t="s">
        <v>220</v>
      </c>
      <c r="G159" s="107" t="s">
        <v>287</v>
      </c>
      <c r="H159" s="107" t="s">
        <v>981</v>
      </c>
      <c r="I159" s="107" t="s">
        <v>206</v>
      </c>
      <c r="J159" s="107" t="s">
        <v>809</v>
      </c>
      <c r="K159" s="107">
        <v>33.03</v>
      </c>
      <c r="L159" s="247" t="s">
        <v>1247</v>
      </c>
      <c r="M159" s="107" t="s">
        <v>1253</v>
      </c>
    </row>
    <row r="160" spans="1:13" x14ac:dyDescent="0.2">
      <c r="A160" s="107" t="s">
        <v>305</v>
      </c>
      <c r="B160" s="107" t="s">
        <v>981</v>
      </c>
      <c r="C160" s="107" t="s">
        <v>206</v>
      </c>
      <c r="D160" s="107" t="s">
        <v>809</v>
      </c>
      <c r="E160" s="107">
        <v>32.880000000000003</v>
      </c>
      <c r="F160" s="107" t="s">
        <v>220</v>
      </c>
      <c r="G160" s="107" t="s">
        <v>288</v>
      </c>
      <c r="H160" s="107" t="s">
        <v>981</v>
      </c>
      <c r="I160" s="107" t="s">
        <v>206</v>
      </c>
      <c r="J160" s="107" t="s">
        <v>809</v>
      </c>
      <c r="K160" s="107">
        <v>33.65</v>
      </c>
      <c r="L160" s="247" t="s">
        <v>1247</v>
      </c>
      <c r="M160" s="107" t="s">
        <v>1254</v>
      </c>
    </row>
    <row r="161" spans="1:13" x14ac:dyDescent="0.2">
      <c r="A161" s="107" t="s">
        <v>305</v>
      </c>
      <c r="B161" s="107" t="s">
        <v>1080</v>
      </c>
      <c r="C161" s="107" t="s">
        <v>206</v>
      </c>
      <c r="D161" s="107" t="s">
        <v>210</v>
      </c>
      <c r="E161" s="107" t="s">
        <v>220</v>
      </c>
      <c r="F161" s="107" t="s">
        <v>220</v>
      </c>
      <c r="G161" s="107" t="s">
        <v>289</v>
      </c>
      <c r="H161" s="107" t="s">
        <v>981</v>
      </c>
      <c r="I161" s="107" t="s">
        <v>206</v>
      </c>
      <c r="J161" s="107" t="s">
        <v>809</v>
      </c>
      <c r="K161" s="107">
        <v>32.200000000000003</v>
      </c>
      <c r="L161" s="247" t="s">
        <v>1247</v>
      </c>
      <c r="M161" s="107" t="s">
        <v>1255</v>
      </c>
    </row>
    <row r="162" spans="1:13" x14ac:dyDescent="0.2">
      <c r="A162" s="107" t="s">
        <v>306</v>
      </c>
      <c r="B162" s="107" t="s">
        <v>981</v>
      </c>
      <c r="C162" s="107" t="s">
        <v>206</v>
      </c>
      <c r="D162" s="107" t="s">
        <v>809</v>
      </c>
      <c r="E162" s="107">
        <v>32.729999999999997</v>
      </c>
      <c r="F162" s="107" t="s">
        <v>220</v>
      </c>
      <c r="G162" s="107" t="s">
        <v>290</v>
      </c>
      <c r="H162" s="107" t="s">
        <v>981</v>
      </c>
      <c r="I162" s="107" t="s">
        <v>206</v>
      </c>
      <c r="J162" s="107" t="s">
        <v>809</v>
      </c>
      <c r="K162" s="107">
        <v>32.67</v>
      </c>
      <c r="L162" s="247" t="s">
        <v>1247</v>
      </c>
      <c r="M162" s="107" t="s">
        <v>1256</v>
      </c>
    </row>
    <row r="163" spans="1:13" x14ac:dyDescent="0.2">
      <c r="A163" s="107" t="s">
        <v>306</v>
      </c>
      <c r="B163" s="107" t="s">
        <v>1080</v>
      </c>
      <c r="C163" s="107" t="s">
        <v>206</v>
      </c>
      <c r="D163" s="107" t="s">
        <v>210</v>
      </c>
      <c r="E163" s="107" t="s">
        <v>220</v>
      </c>
      <c r="F163" s="107" t="s">
        <v>220</v>
      </c>
      <c r="G163" s="107" t="s">
        <v>291</v>
      </c>
      <c r="H163" s="107" t="s">
        <v>981</v>
      </c>
      <c r="I163" s="107" t="s">
        <v>206</v>
      </c>
      <c r="J163" s="107" t="s">
        <v>809</v>
      </c>
      <c r="K163" s="107">
        <v>33.130000000000003</v>
      </c>
      <c r="L163" s="247" t="s">
        <v>1247</v>
      </c>
      <c r="M163" s="107" t="s">
        <v>1257</v>
      </c>
    </row>
    <row r="164" spans="1:13" x14ac:dyDescent="0.2">
      <c r="A164" s="107" t="s">
        <v>307</v>
      </c>
      <c r="B164" s="107" t="s">
        <v>981</v>
      </c>
      <c r="C164" s="107" t="s">
        <v>206</v>
      </c>
      <c r="D164" s="107" t="s">
        <v>809</v>
      </c>
      <c r="E164" s="107">
        <v>33.21</v>
      </c>
      <c r="F164" s="107" t="s">
        <v>220</v>
      </c>
      <c r="G164" s="107" t="s">
        <v>292</v>
      </c>
      <c r="H164" s="107" t="s">
        <v>981</v>
      </c>
      <c r="I164" s="107" t="s">
        <v>206</v>
      </c>
      <c r="J164" s="107" t="s">
        <v>809</v>
      </c>
      <c r="K164" s="107">
        <v>32.520000000000003</v>
      </c>
      <c r="L164" s="247" t="s">
        <v>1247</v>
      </c>
      <c r="M164" s="107" t="s">
        <v>1258</v>
      </c>
    </row>
    <row r="165" spans="1:13" x14ac:dyDescent="0.2">
      <c r="A165" s="107" t="s">
        <v>307</v>
      </c>
      <c r="B165" s="107" t="s">
        <v>1080</v>
      </c>
      <c r="C165" s="107" t="s">
        <v>206</v>
      </c>
      <c r="D165" s="107" t="s">
        <v>210</v>
      </c>
      <c r="E165" s="107">
        <v>37.35</v>
      </c>
      <c r="F165" s="107" t="s">
        <v>220</v>
      </c>
      <c r="G165" s="107" t="s">
        <v>293</v>
      </c>
      <c r="H165" s="107" t="s">
        <v>981</v>
      </c>
      <c r="I165" s="107" t="s">
        <v>206</v>
      </c>
      <c r="J165" s="107" t="s">
        <v>809</v>
      </c>
      <c r="K165" s="107">
        <v>32.840000000000003</v>
      </c>
      <c r="L165" s="247" t="s">
        <v>1247</v>
      </c>
      <c r="M165" s="107" t="s">
        <v>1259</v>
      </c>
    </row>
    <row r="166" spans="1:13" x14ac:dyDescent="0.2">
      <c r="A166" s="107" t="s">
        <v>308</v>
      </c>
      <c r="B166" s="107" t="s">
        <v>981</v>
      </c>
      <c r="C166" s="107" t="s">
        <v>206</v>
      </c>
      <c r="D166" s="107" t="s">
        <v>809</v>
      </c>
      <c r="E166" s="107">
        <v>32.94</v>
      </c>
      <c r="F166" s="107" t="s">
        <v>220</v>
      </c>
      <c r="G166" s="107" t="s">
        <v>294</v>
      </c>
      <c r="H166" s="107" t="s">
        <v>981</v>
      </c>
      <c r="I166" s="107" t="s">
        <v>206</v>
      </c>
      <c r="J166" s="107" t="s">
        <v>809</v>
      </c>
      <c r="K166" s="107">
        <v>32.51</v>
      </c>
      <c r="L166" s="247" t="s">
        <v>1247</v>
      </c>
      <c r="M166" s="107" t="s">
        <v>1260</v>
      </c>
    </row>
    <row r="167" spans="1:13" x14ac:dyDescent="0.2">
      <c r="A167" s="107" t="s">
        <v>308</v>
      </c>
      <c r="B167" s="107" t="s">
        <v>1080</v>
      </c>
      <c r="C167" s="107" t="s">
        <v>206</v>
      </c>
      <c r="D167" s="107" t="s">
        <v>210</v>
      </c>
      <c r="E167" s="107" t="s">
        <v>220</v>
      </c>
      <c r="F167" s="107" t="s">
        <v>220</v>
      </c>
      <c r="G167" s="107" t="s">
        <v>295</v>
      </c>
      <c r="H167" s="107" t="s">
        <v>981</v>
      </c>
      <c r="I167" s="107" t="s">
        <v>206</v>
      </c>
      <c r="J167" s="107" t="s">
        <v>809</v>
      </c>
      <c r="K167" s="107">
        <v>33.36</v>
      </c>
      <c r="L167" s="247" t="s">
        <v>1247</v>
      </c>
      <c r="M167" s="107" t="s">
        <v>1261</v>
      </c>
    </row>
    <row r="168" spans="1:13" x14ac:dyDescent="0.2">
      <c r="A168" s="107" t="s">
        <v>309</v>
      </c>
      <c r="B168" s="107" t="s">
        <v>981</v>
      </c>
      <c r="C168" s="107" t="s">
        <v>206</v>
      </c>
      <c r="D168" s="107" t="s">
        <v>809</v>
      </c>
      <c r="E168" s="107">
        <v>33.200000000000003</v>
      </c>
      <c r="F168" s="107" t="s">
        <v>220</v>
      </c>
      <c r="G168" s="107" t="s">
        <v>296</v>
      </c>
      <c r="H168" s="107" t="s">
        <v>981</v>
      </c>
      <c r="I168" s="107" t="s">
        <v>206</v>
      </c>
      <c r="J168" s="107" t="s">
        <v>809</v>
      </c>
      <c r="K168" s="107">
        <v>33.96</v>
      </c>
      <c r="L168" s="247" t="s">
        <v>1247</v>
      </c>
      <c r="M168" s="107" t="s">
        <v>1262</v>
      </c>
    </row>
    <row r="169" spans="1:13" x14ac:dyDescent="0.2">
      <c r="A169" s="107" t="s">
        <v>309</v>
      </c>
      <c r="B169" s="107" t="s">
        <v>1080</v>
      </c>
      <c r="C169" s="107" t="s">
        <v>206</v>
      </c>
      <c r="D169" s="107" t="s">
        <v>210</v>
      </c>
      <c r="E169" s="107">
        <v>38.96</v>
      </c>
      <c r="F169" s="107" t="s">
        <v>220</v>
      </c>
      <c r="G169" s="107" t="s">
        <v>297</v>
      </c>
      <c r="H169" s="107" t="s">
        <v>981</v>
      </c>
      <c r="I169" s="107" t="s">
        <v>206</v>
      </c>
      <c r="J169" s="107" t="s">
        <v>809</v>
      </c>
      <c r="K169" s="107">
        <v>32.71</v>
      </c>
      <c r="L169" s="247" t="s">
        <v>1247</v>
      </c>
      <c r="M169" s="107" t="s">
        <v>1263</v>
      </c>
    </row>
    <row r="170" spans="1:13" x14ac:dyDescent="0.2">
      <c r="A170" s="107" t="s">
        <v>310</v>
      </c>
      <c r="B170" s="107" t="s">
        <v>981</v>
      </c>
      <c r="C170" s="107" t="s">
        <v>206</v>
      </c>
      <c r="D170" s="107" t="s">
        <v>809</v>
      </c>
      <c r="E170" s="107">
        <v>33.07</v>
      </c>
      <c r="F170" s="107" t="s">
        <v>220</v>
      </c>
      <c r="G170" s="107" t="s">
        <v>298</v>
      </c>
      <c r="H170" s="107" t="s">
        <v>981</v>
      </c>
      <c r="I170" s="107" t="s">
        <v>206</v>
      </c>
      <c r="J170" s="107" t="s">
        <v>809</v>
      </c>
      <c r="K170" s="107">
        <v>32.92</v>
      </c>
      <c r="L170" s="247" t="s">
        <v>1250</v>
      </c>
      <c r="M170" s="107" t="s">
        <v>1252</v>
      </c>
    </row>
    <row r="171" spans="1:13" x14ac:dyDescent="0.2">
      <c r="A171" s="107" t="s">
        <v>310</v>
      </c>
      <c r="B171" s="107" t="s">
        <v>1080</v>
      </c>
      <c r="C171" s="107" t="s">
        <v>206</v>
      </c>
      <c r="D171" s="107" t="s">
        <v>210</v>
      </c>
      <c r="E171" s="107">
        <v>37.82</v>
      </c>
      <c r="F171" s="107" t="s">
        <v>220</v>
      </c>
      <c r="G171" s="107" t="s">
        <v>299</v>
      </c>
      <c r="H171" s="107" t="s">
        <v>981</v>
      </c>
      <c r="I171" s="107" t="s">
        <v>206</v>
      </c>
      <c r="J171" s="107" t="s">
        <v>809</v>
      </c>
      <c r="K171" s="107">
        <v>32.07</v>
      </c>
      <c r="L171" s="247" t="s">
        <v>1250</v>
      </c>
      <c r="M171" s="107" t="s">
        <v>1253</v>
      </c>
    </row>
    <row r="172" spans="1:13" x14ac:dyDescent="0.2">
      <c r="A172" s="107" t="s">
        <v>311</v>
      </c>
      <c r="B172" s="107" t="s">
        <v>981</v>
      </c>
      <c r="C172" s="107" t="s">
        <v>206</v>
      </c>
      <c r="D172" s="107" t="s">
        <v>809</v>
      </c>
      <c r="E172" s="107">
        <v>32.44</v>
      </c>
      <c r="F172" s="107" t="s">
        <v>220</v>
      </c>
      <c r="G172" s="107" t="s">
        <v>300</v>
      </c>
      <c r="H172" s="107" t="s">
        <v>981</v>
      </c>
      <c r="I172" s="107" t="s">
        <v>206</v>
      </c>
      <c r="J172" s="107" t="s">
        <v>809</v>
      </c>
      <c r="K172" s="107">
        <v>32.799999999999997</v>
      </c>
      <c r="L172" s="247" t="s">
        <v>1250</v>
      </c>
      <c r="M172" s="107" t="s">
        <v>1254</v>
      </c>
    </row>
    <row r="173" spans="1:13" x14ac:dyDescent="0.2">
      <c r="A173" s="107" t="s">
        <v>311</v>
      </c>
      <c r="B173" s="107" t="s">
        <v>1080</v>
      </c>
      <c r="C173" s="107" t="s">
        <v>206</v>
      </c>
      <c r="D173" s="107" t="s">
        <v>210</v>
      </c>
      <c r="E173" s="107" t="s">
        <v>220</v>
      </c>
      <c r="F173" s="107" t="s">
        <v>220</v>
      </c>
      <c r="G173" s="107" t="s">
        <v>301</v>
      </c>
      <c r="H173" s="107" t="s">
        <v>981</v>
      </c>
      <c r="I173" s="107" t="s">
        <v>206</v>
      </c>
      <c r="J173" s="107" t="s">
        <v>809</v>
      </c>
      <c r="K173" s="107">
        <v>34.299999999999997</v>
      </c>
      <c r="L173" s="247" t="s">
        <v>1250</v>
      </c>
      <c r="M173" s="107" t="s">
        <v>1255</v>
      </c>
    </row>
    <row r="174" spans="1:13" x14ac:dyDescent="0.2">
      <c r="A174" s="107" t="s">
        <v>312</v>
      </c>
      <c r="B174" s="107" t="s">
        <v>981</v>
      </c>
      <c r="C174" s="107" t="s">
        <v>206</v>
      </c>
      <c r="D174" s="107" t="s">
        <v>809</v>
      </c>
      <c r="E174" s="107">
        <v>32.770000000000003</v>
      </c>
      <c r="F174" s="107" t="s">
        <v>220</v>
      </c>
      <c r="G174" s="107" t="s">
        <v>302</v>
      </c>
      <c r="H174" s="107" t="s">
        <v>981</v>
      </c>
      <c r="I174" s="107" t="s">
        <v>206</v>
      </c>
      <c r="J174" s="107" t="s">
        <v>809</v>
      </c>
      <c r="K174" s="107">
        <v>33.590000000000003</v>
      </c>
      <c r="L174" s="247" t="s">
        <v>1250</v>
      </c>
      <c r="M174" s="107" t="s">
        <v>1256</v>
      </c>
    </row>
    <row r="175" spans="1:13" x14ac:dyDescent="0.2">
      <c r="A175" s="107" t="s">
        <v>312</v>
      </c>
      <c r="B175" s="107" t="s">
        <v>1080</v>
      </c>
      <c r="C175" s="107" t="s">
        <v>206</v>
      </c>
      <c r="D175" s="107" t="s">
        <v>210</v>
      </c>
      <c r="E175" s="107" t="s">
        <v>220</v>
      </c>
      <c r="F175" s="107" t="s">
        <v>220</v>
      </c>
      <c r="G175" s="107" t="s">
        <v>303</v>
      </c>
      <c r="H175" s="107" t="s">
        <v>981</v>
      </c>
      <c r="I175" s="107" t="s">
        <v>206</v>
      </c>
      <c r="J175" s="107" t="s">
        <v>809</v>
      </c>
      <c r="K175" s="107">
        <v>32.61</v>
      </c>
      <c r="L175" s="247" t="s">
        <v>1250</v>
      </c>
      <c r="M175" s="107" t="s">
        <v>1257</v>
      </c>
    </row>
    <row r="176" spans="1:13" x14ac:dyDescent="0.2">
      <c r="A176" s="107" t="s">
        <v>313</v>
      </c>
      <c r="B176" s="107" t="s">
        <v>981</v>
      </c>
      <c r="C176" s="107" t="s">
        <v>206</v>
      </c>
      <c r="D176" s="107" t="s">
        <v>809</v>
      </c>
      <c r="E176" s="107">
        <v>33.17</v>
      </c>
      <c r="F176" s="107" t="s">
        <v>220</v>
      </c>
      <c r="G176" s="107" t="s">
        <v>304</v>
      </c>
      <c r="H176" s="107" t="s">
        <v>981</v>
      </c>
      <c r="I176" s="107" t="s">
        <v>206</v>
      </c>
      <c r="J176" s="107" t="s">
        <v>809</v>
      </c>
      <c r="K176" s="107">
        <v>33.28</v>
      </c>
      <c r="L176" s="247" t="s">
        <v>1250</v>
      </c>
      <c r="M176" s="107" t="s">
        <v>1258</v>
      </c>
    </row>
    <row r="177" spans="1:13" x14ac:dyDescent="0.2">
      <c r="A177" s="107" t="s">
        <v>313</v>
      </c>
      <c r="B177" s="107" t="s">
        <v>1080</v>
      </c>
      <c r="C177" s="107" t="s">
        <v>206</v>
      </c>
      <c r="D177" s="107" t="s">
        <v>210</v>
      </c>
      <c r="E177" s="107">
        <v>37.21</v>
      </c>
      <c r="F177" s="107" t="s">
        <v>220</v>
      </c>
      <c r="G177" s="107" t="s">
        <v>305</v>
      </c>
      <c r="H177" s="107" t="s">
        <v>981</v>
      </c>
      <c r="I177" s="107" t="s">
        <v>206</v>
      </c>
      <c r="J177" s="107" t="s">
        <v>809</v>
      </c>
      <c r="K177" s="107">
        <v>32.880000000000003</v>
      </c>
      <c r="L177" s="247" t="s">
        <v>1250</v>
      </c>
      <c r="M177" s="107" t="s">
        <v>1259</v>
      </c>
    </row>
    <row r="178" spans="1:13" x14ac:dyDescent="0.2">
      <c r="A178" s="107" t="s">
        <v>314</v>
      </c>
      <c r="B178" s="107" t="s">
        <v>981</v>
      </c>
      <c r="C178" s="107" t="s">
        <v>206</v>
      </c>
      <c r="D178" s="107" t="s">
        <v>809</v>
      </c>
      <c r="E178" s="107">
        <v>33.53</v>
      </c>
      <c r="F178" s="107" t="s">
        <v>220</v>
      </c>
      <c r="G178" s="107" t="s">
        <v>306</v>
      </c>
      <c r="H178" s="107" t="s">
        <v>981</v>
      </c>
      <c r="I178" s="107" t="s">
        <v>206</v>
      </c>
      <c r="J178" s="107" t="s">
        <v>809</v>
      </c>
      <c r="K178" s="107">
        <v>32.729999999999997</v>
      </c>
      <c r="L178" s="247" t="s">
        <v>1250</v>
      </c>
      <c r="M178" s="107" t="s">
        <v>1260</v>
      </c>
    </row>
    <row r="179" spans="1:13" x14ac:dyDescent="0.2">
      <c r="A179" s="107" t="s">
        <v>314</v>
      </c>
      <c r="B179" s="107" t="s">
        <v>1080</v>
      </c>
      <c r="C179" s="107" t="s">
        <v>206</v>
      </c>
      <c r="D179" s="107" t="s">
        <v>210</v>
      </c>
      <c r="E179" s="107" t="s">
        <v>220</v>
      </c>
      <c r="F179" s="107" t="s">
        <v>220</v>
      </c>
      <c r="G179" s="107" t="s">
        <v>307</v>
      </c>
      <c r="H179" s="107" t="s">
        <v>981</v>
      </c>
      <c r="I179" s="107" t="s">
        <v>206</v>
      </c>
      <c r="J179" s="107" t="s">
        <v>809</v>
      </c>
      <c r="K179" s="107">
        <v>33.21</v>
      </c>
      <c r="L179" s="247" t="s">
        <v>1250</v>
      </c>
      <c r="M179" s="107" t="s">
        <v>1261</v>
      </c>
    </row>
    <row r="180" spans="1:13" x14ac:dyDescent="0.2">
      <c r="A180" s="107" t="s">
        <v>315</v>
      </c>
      <c r="B180" s="107" t="s">
        <v>981</v>
      </c>
      <c r="C180" s="107" t="s">
        <v>206</v>
      </c>
      <c r="D180" s="107" t="s">
        <v>809</v>
      </c>
      <c r="E180" s="107">
        <v>32.880000000000003</v>
      </c>
      <c r="F180" s="107" t="s">
        <v>220</v>
      </c>
      <c r="G180" s="107" t="s">
        <v>308</v>
      </c>
      <c r="H180" s="107" t="s">
        <v>981</v>
      </c>
      <c r="I180" s="107" t="s">
        <v>206</v>
      </c>
      <c r="J180" s="107" t="s">
        <v>809</v>
      </c>
      <c r="K180" s="107">
        <v>32.94</v>
      </c>
      <c r="L180" s="247" t="s">
        <v>1250</v>
      </c>
      <c r="M180" s="107" t="s">
        <v>1262</v>
      </c>
    </row>
    <row r="181" spans="1:13" x14ac:dyDescent="0.2">
      <c r="A181" s="107" t="s">
        <v>315</v>
      </c>
      <c r="B181" s="107" t="s">
        <v>1080</v>
      </c>
      <c r="C181" s="107" t="s">
        <v>206</v>
      </c>
      <c r="D181" s="107" t="s">
        <v>210</v>
      </c>
      <c r="E181" s="107" t="s">
        <v>220</v>
      </c>
      <c r="F181" s="107" t="s">
        <v>220</v>
      </c>
      <c r="G181" s="107" t="s">
        <v>309</v>
      </c>
      <c r="H181" s="107" t="s">
        <v>981</v>
      </c>
      <c r="I181" s="107" t="s">
        <v>206</v>
      </c>
      <c r="J181" s="107" t="s">
        <v>809</v>
      </c>
      <c r="K181" s="107">
        <v>33.200000000000003</v>
      </c>
      <c r="L181" s="247" t="s">
        <v>1250</v>
      </c>
      <c r="M181" s="107" t="s">
        <v>1263</v>
      </c>
    </row>
    <row r="182" spans="1:13" x14ac:dyDescent="0.2">
      <c r="A182" s="107" t="s">
        <v>316</v>
      </c>
      <c r="B182" s="107" t="s">
        <v>981</v>
      </c>
      <c r="C182" s="107" t="s">
        <v>206</v>
      </c>
      <c r="D182" s="107" t="s">
        <v>809</v>
      </c>
      <c r="E182" s="107">
        <v>32.29</v>
      </c>
      <c r="F182" s="107" t="s">
        <v>220</v>
      </c>
      <c r="G182" s="107" t="s">
        <v>310</v>
      </c>
      <c r="H182" s="107" t="s">
        <v>981</v>
      </c>
      <c r="I182" s="107" t="s">
        <v>206</v>
      </c>
      <c r="J182" s="107" t="s">
        <v>809</v>
      </c>
      <c r="K182" s="107">
        <v>33.07</v>
      </c>
      <c r="L182" s="107" t="s">
        <v>915</v>
      </c>
      <c r="M182" s="107" t="s">
        <v>1201</v>
      </c>
    </row>
    <row r="183" spans="1:13" x14ac:dyDescent="0.2">
      <c r="A183" s="107" t="s">
        <v>316</v>
      </c>
      <c r="B183" s="107" t="s">
        <v>1080</v>
      </c>
      <c r="C183" s="107" t="s">
        <v>206</v>
      </c>
      <c r="D183" s="107" t="s">
        <v>210</v>
      </c>
      <c r="E183" s="107" t="s">
        <v>220</v>
      </c>
      <c r="F183" s="107" t="s">
        <v>220</v>
      </c>
      <c r="G183" s="107" t="s">
        <v>311</v>
      </c>
      <c r="H183" s="107" t="s">
        <v>981</v>
      </c>
      <c r="I183" s="107" t="s">
        <v>206</v>
      </c>
      <c r="J183" s="107" t="s">
        <v>809</v>
      </c>
      <c r="K183" s="107">
        <v>32.44</v>
      </c>
      <c r="L183" s="107" t="s">
        <v>915</v>
      </c>
      <c r="M183" s="107" t="s">
        <v>1202</v>
      </c>
    </row>
    <row r="184" spans="1:13" x14ac:dyDescent="0.2">
      <c r="A184" s="107" t="s">
        <v>317</v>
      </c>
      <c r="B184" s="107" t="s">
        <v>981</v>
      </c>
      <c r="C184" s="107" t="s">
        <v>206</v>
      </c>
      <c r="D184" s="107" t="s">
        <v>809</v>
      </c>
      <c r="E184" s="107">
        <v>32.36</v>
      </c>
      <c r="F184" s="107" t="s">
        <v>220</v>
      </c>
      <c r="G184" s="107" t="s">
        <v>312</v>
      </c>
      <c r="H184" s="107" t="s">
        <v>981</v>
      </c>
      <c r="I184" s="107" t="s">
        <v>206</v>
      </c>
      <c r="J184" s="107" t="s">
        <v>809</v>
      </c>
      <c r="K184" s="107">
        <v>32.770000000000003</v>
      </c>
      <c r="L184" s="107" t="s">
        <v>915</v>
      </c>
      <c r="M184" s="107" t="s">
        <v>1203</v>
      </c>
    </row>
    <row r="185" spans="1:13" x14ac:dyDescent="0.2">
      <c r="A185" s="107" t="s">
        <v>317</v>
      </c>
      <c r="B185" s="107" t="s">
        <v>1080</v>
      </c>
      <c r="C185" s="107" t="s">
        <v>206</v>
      </c>
      <c r="D185" s="107" t="s">
        <v>210</v>
      </c>
      <c r="E185" s="107" t="s">
        <v>220</v>
      </c>
      <c r="F185" s="107" t="s">
        <v>220</v>
      </c>
      <c r="G185" s="107" t="s">
        <v>313</v>
      </c>
      <c r="H185" s="107" t="s">
        <v>981</v>
      </c>
      <c r="I185" s="107" t="s">
        <v>206</v>
      </c>
      <c r="J185" s="107" t="s">
        <v>809</v>
      </c>
      <c r="K185" s="107">
        <v>33.17</v>
      </c>
      <c r="L185" s="107" t="s">
        <v>915</v>
      </c>
      <c r="M185" s="107" t="s">
        <v>1205</v>
      </c>
    </row>
    <row r="186" spans="1:13" x14ac:dyDescent="0.2">
      <c r="A186" s="107" t="s">
        <v>318</v>
      </c>
      <c r="B186" s="107" t="s">
        <v>981</v>
      </c>
      <c r="C186" s="107" t="s">
        <v>206</v>
      </c>
      <c r="D186" s="107" t="s">
        <v>809</v>
      </c>
      <c r="E186" s="107">
        <v>32.99</v>
      </c>
      <c r="F186" s="107" t="s">
        <v>220</v>
      </c>
      <c r="G186" s="107" t="s">
        <v>314</v>
      </c>
      <c r="H186" s="107" t="s">
        <v>981</v>
      </c>
      <c r="I186" s="107" t="s">
        <v>206</v>
      </c>
      <c r="J186" s="107" t="s">
        <v>809</v>
      </c>
      <c r="K186" s="107">
        <v>33.53</v>
      </c>
      <c r="L186" s="107" t="s">
        <v>915</v>
      </c>
      <c r="M186" s="107" t="s">
        <v>1235</v>
      </c>
    </row>
    <row r="187" spans="1:13" x14ac:dyDescent="0.2">
      <c r="A187" s="107" t="s">
        <v>318</v>
      </c>
      <c r="B187" s="107" t="s">
        <v>1080</v>
      </c>
      <c r="C187" s="107" t="s">
        <v>206</v>
      </c>
      <c r="D187" s="107" t="s">
        <v>210</v>
      </c>
      <c r="E187" s="107" t="s">
        <v>220</v>
      </c>
      <c r="F187" s="107" t="s">
        <v>220</v>
      </c>
      <c r="G187" s="107" t="s">
        <v>315</v>
      </c>
      <c r="H187" s="107" t="s">
        <v>981</v>
      </c>
      <c r="I187" s="107" t="s">
        <v>206</v>
      </c>
      <c r="J187" s="107" t="s">
        <v>809</v>
      </c>
      <c r="K187" s="107">
        <v>32.880000000000003</v>
      </c>
      <c r="L187" s="107" t="s">
        <v>915</v>
      </c>
      <c r="M187" s="107" t="s">
        <v>1236</v>
      </c>
    </row>
    <row r="188" spans="1:13" x14ac:dyDescent="0.2">
      <c r="A188" s="107" t="s">
        <v>319</v>
      </c>
      <c r="B188" s="107" t="s">
        <v>981</v>
      </c>
      <c r="C188" s="107" t="s">
        <v>206</v>
      </c>
      <c r="D188" s="107" t="s">
        <v>809</v>
      </c>
      <c r="E188" s="107">
        <v>33.06</v>
      </c>
      <c r="F188" s="107" t="s">
        <v>220</v>
      </c>
      <c r="G188" s="107" t="s">
        <v>316</v>
      </c>
      <c r="H188" s="107" t="s">
        <v>981</v>
      </c>
      <c r="I188" s="107" t="s">
        <v>206</v>
      </c>
      <c r="J188" s="107" t="s">
        <v>809</v>
      </c>
      <c r="K188" s="107">
        <v>32.29</v>
      </c>
      <c r="L188" s="107" t="s">
        <v>915</v>
      </c>
      <c r="M188" s="107" t="s">
        <v>1237</v>
      </c>
    </row>
    <row r="189" spans="1:13" x14ac:dyDescent="0.2">
      <c r="A189" s="107" t="s">
        <v>319</v>
      </c>
      <c r="B189" s="107" t="s">
        <v>1080</v>
      </c>
      <c r="C189" s="107" t="s">
        <v>206</v>
      </c>
      <c r="D189" s="107" t="s">
        <v>210</v>
      </c>
      <c r="E189" s="107">
        <v>39.39</v>
      </c>
      <c r="F189" s="107" t="s">
        <v>220</v>
      </c>
      <c r="G189" s="107" t="s">
        <v>317</v>
      </c>
      <c r="H189" s="107" t="s">
        <v>981</v>
      </c>
      <c r="I189" s="107" t="s">
        <v>206</v>
      </c>
      <c r="J189" s="107" t="s">
        <v>809</v>
      </c>
      <c r="K189" s="107">
        <v>32.36</v>
      </c>
      <c r="L189" s="107" t="s">
        <v>915</v>
      </c>
      <c r="M189" s="107" t="s">
        <v>1238</v>
      </c>
    </row>
    <row r="190" spans="1:13" x14ac:dyDescent="0.2">
      <c r="A190" s="107" t="s">
        <v>321</v>
      </c>
      <c r="B190" s="107" t="s">
        <v>981</v>
      </c>
      <c r="C190" s="107" t="s">
        <v>206</v>
      </c>
      <c r="D190" s="107" t="s">
        <v>809</v>
      </c>
      <c r="E190" s="107">
        <v>33.19</v>
      </c>
      <c r="F190" s="107" t="s">
        <v>220</v>
      </c>
      <c r="G190" s="107" t="s">
        <v>318</v>
      </c>
      <c r="H190" s="107" t="s">
        <v>981</v>
      </c>
      <c r="I190" s="107" t="s">
        <v>206</v>
      </c>
      <c r="J190" s="107" t="s">
        <v>809</v>
      </c>
      <c r="K190" s="107">
        <v>32.99</v>
      </c>
      <c r="L190" s="107" t="s">
        <v>915</v>
      </c>
      <c r="M190" s="107" t="s">
        <v>1239</v>
      </c>
    </row>
    <row r="191" spans="1:13" x14ac:dyDescent="0.2">
      <c r="A191" s="107" t="s">
        <v>321</v>
      </c>
      <c r="B191" s="107" t="s">
        <v>1080</v>
      </c>
      <c r="C191" s="107" t="s">
        <v>206</v>
      </c>
      <c r="D191" s="107" t="s">
        <v>210</v>
      </c>
      <c r="E191" s="107" t="s">
        <v>220</v>
      </c>
      <c r="F191" s="107" t="s">
        <v>220</v>
      </c>
      <c r="G191" s="107" t="s">
        <v>319</v>
      </c>
      <c r="H191" s="107" t="s">
        <v>981</v>
      </c>
      <c r="I191" s="107" t="s">
        <v>206</v>
      </c>
      <c r="J191" s="107" t="s">
        <v>809</v>
      </c>
      <c r="K191" s="107">
        <v>33.06</v>
      </c>
      <c r="L191" s="107" t="s">
        <v>915</v>
      </c>
      <c r="M191" s="107" t="s">
        <v>1240</v>
      </c>
    </row>
    <row r="192" spans="1:13" x14ac:dyDescent="0.2">
      <c r="A192" s="107" t="s">
        <v>322</v>
      </c>
      <c r="B192" s="107" t="s">
        <v>981</v>
      </c>
      <c r="C192" s="107" t="s">
        <v>206</v>
      </c>
      <c r="D192" s="107" t="s">
        <v>809</v>
      </c>
      <c r="E192" s="107">
        <v>33.54</v>
      </c>
      <c r="F192" s="107" t="s">
        <v>220</v>
      </c>
      <c r="G192" s="107" t="s">
        <v>321</v>
      </c>
      <c r="H192" s="107" t="s">
        <v>981</v>
      </c>
      <c r="I192" s="107" t="s">
        <v>206</v>
      </c>
      <c r="J192" s="107" t="s">
        <v>809</v>
      </c>
      <c r="K192" s="107">
        <v>33.19</v>
      </c>
      <c r="L192" s="107" t="s">
        <v>915</v>
      </c>
      <c r="M192" s="107" t="s">
        <v>1244</v>
      </c>
    </row>
    <row r="193" spans="1:13" x14ac:dyDescent="0.2">
      <c r="A193" s="107" t="s">
        <v>322</v>
      </c>
      <c r="B193" s="107" t="s">
        <v>1080</v>
      </c>
      <c r="C193" s="107" t="s">
        <v>206</v>
      </c>
      <c r="D193" s="107" t="s">
        <v>210</v>
      </c>
      <c r="E193" s="107">
        <v>35.94</v>
      </c>
      <c r="F193" s="107" t="s">
        <v>220</v>
      </c>
      <c r="G193" s="107" t="s">
        <v>322</v>
      </c>
      <c r="H193" s="107" t="s">
        <v>981</v>
      </c>
      <c r="I193" s="107" t="s">
        <v>206</v>
      </c>
      <c r="J193" s="107" t="s">
        <v>809</v>
      </c>
      <c r="K193" s="107">
        <v>33.54</v>
      </c>
      <c r="L193" s="107" t="s">
        <v>915</v>
      </c>
      <c r="M193" s="107" t="s">
        <v>1245</v>
      </c>
    </row>
  </sheetData>
  <pageMargins left="0.75" right="0.75" top="1" bottom="1" header="0.5" footer="0.5"/>
  <pageSetup scale="77" orientation="landscape" horizontalDpi="300" verticalDpi="300"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0971B-ED28-4070-898D-E3EAC702FB5A}">
  <dimension ref="B1:F8"/>
  <sheetViews>
    <sheetView workbookViewId="0">
      <selection activeCell="U13" sqref="U13"/>
    </sheetView>
  </sheetViews>
  <sheetFormatPr defaultRowHeight="15" x14ac:dyDescent="0.25"/>
  <sheetData>
    <row r="1" spans="2:6" x14ac:dyDescent="0.25">
      <c r="C1" t="s">
        <v>1324</v>
      </c>
    </row>
    <row r="2" spans="2:6" x14ac:dyDescent="0.25">
      <c r="C2" t="s">
        <v>1318</v>
      </c>
      <c r="D2" t="s">
        <v>1319</v>
      </c>
      <c r="E2" t="s">
        <v>1320</v>
      </c>
      <c r="F2" t="s">
        <v>1329</v>
      </c>
    </row>
    <row r="3" spans="2:6" s="165" customFormat="1" x14ac:dyDescent="0.25">
      <c r="B3" s="165" t="s">
        <v>1321</v>
      </c>
      <c r="C3" s="298">
        <v>590.86837628877538</v>
      </c>
      <c r="D3" s="298">
        <v>868.70185089401889</v>
      </c>
      <c r="E3" s="298">
        <v>667.90952005199097</v>
      </c>
      <c r="F3" s="169">
        <f>AVERAGE(C3:E3)</f>
        <v>709.15991574492853</v>
      </c>
    </row>
    <row r="4" spans="2:6" x14ac:dyDescent="0.25">
      <c r="B4" s="111" t="s">
        <v>1243</v>
      </c>
      <c r="C4" s="298">
        <v>187.49977324313318</v>
      </c>
      <c r="D4" s="298">
        <v>206.619233852402</v>
      </c>
      <c r="E4" s="298">
        <v>174.65086737866201</v>
      </c>
      <c r="F4" s="169">
        <f t="shared" ref="F4:F5" si="0">AVERAGE(C4:E4)</f>
        <v>189.58995815806574</v>
      </c>
    </row>
    <row r="5" spans="2:6" x14ac:dyDescent="0.25">
      <c r="B5" t="s">
        <v>1322</v>
      </c>
      <c r="C5" s="298">
        <v>35.177967783934861</v>
      </c>
      <c r="D5" s="298">
        <v>49.954054904611709</v>
      </c>
      <c r="E5" s="298">
        <v>35.599885790665255</v>
      </c>
      <c r="F5" s="169">
        <f t="shared" si="0"/>
        <v>40.243969493070608</v>
      </c>
    </row>
    <row r="6" spans="2:6" x14ac:dyDescent="0.25">
      <c r="B6" t="s">
        <v>1323</v>
      </c>
      <c r="C6" s="107">
        <v>48</v>
      </c>
      <c r="D6" s="298">
        <v>48</v>
      </c>
      <c r="E6" s="298">
        <v>96</v>
      </c>
      <c r="F6" s="169"/>
    </row>
    <row r="7" spans="2:6" x14ac:dyDescent="0.25">
      <c r="C7" s="107"/>
    </row>
    <row r="8" spans="2:6" x14ac:dyDescent="0.25">
      <c r="C8" s="107"/>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B231B0F347DDE4095027796ED4DA961" ma:contentTypeVersion="16" ma:contentTypeDescription="Create a new document." ma:contentTypeScope="" ma:versionID="be4335ba624d1eee83ba913560934fa1">
  <xsd:schema xmlns:xsd="http://www.w3.org/2001/XMLSchema" xmlns:xs="http://www.w3.org/2001/XMLSchema" xmlns:p="http://schemas.microsoft.com/office/2006/metadata/properties" xmlns:ns2="73b35b98-cb7e-410c-85ac-42f66d393083" xmlns:ns3="2f09188f-b5fe-4891-841e-b7502fe0a8ad" targetNamespace="http://schemas.microsoft.com/office/2006/metadata/properties" ma:root="true" ma:fieldsID="14b8efbec36a7b1f0b0853e222468df7" ns2:_="" ns3:_="">
    <xsd:import namespace="73b35b98-cb7e-410c-85ac-42f66d393083"/>
    <xsd:import namespace="2f09188f-b5fe-4891-841e-b7502fe0a8a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Locatio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3b35b98-cb7e-410c-85ac-42f66d39308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482af6a-8de7-47f9-8338-178640062cb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f09188f-b5fe-4891-841e-b7502fe0a8ad"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e19cd4a7-1954-4720-aa1c-3bfdbffe9ade}" ma:internalName="TaxCatchAll" ma:showField="CatchAllData" ma:web="2f09188f-b5fe-4891-841e-b7502fe0a8a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f09188f-b5fe-4891-841e-b7502fe0a8ad" xsi:nil="true"/>
    <lcf76f155ced4ddcb4097134ff3c332f xmlns="73b35b98-cb7e-410c-85ac-42f66d39308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9048C85-F442-4B80-86D6-3A8EDE0E7BC5}"/>
</file>

<file path=customXml/itemProps2.xml><?xml version="1.0" encoding="utf-8"?>
<ds:datastoreItem xmlns:ds="http://schemas.openxmlformats.org/officeDocument/2006/customXml" ds:itemID="{950DDA8E-AD97-4BF0-8593-D5F604CB473E}"/>
</file>

<file path=customXml/itemProps3.xml><?xml version="1.0" encoding="utf-8"?>
<ds:datastoreItem xmlns:ds="http://schemas.openxmlformats.org/officeDocument/2006/customXml" ds:itemID="{E2F0BB88-E66C-4EB5-BD2C-9DA9E06FB55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65</vt:i4>
      </vt:variant>
    </vt:vector>
  </HeadingPairs>
  <TitlesOfParts>
    <vt:vector size="105" baseType="lpstr">
      <vt:lpstr>log</vt:lpstr>
      <vt:lpstr>ref</vt:lpstr>
      <vt:lpstr>plate1_setup</vt:lpstr>
      <vt:lpstr>210416_plate1</vt:lpstr>
      <vt:lpstr>plate2_setup</vt:lpstr>
      <vt:lpstr>plate2_data</vt:lpstr>
      <vt:lpstr>matrix_setup</vt:lpstr>
      <vt:lpstr>matrix_data</vt:lpstr>
      <vt:lpstr>probe_setup</vt:lpstr>
      <vt:lpstr>probe_data</vt:lpstr>
      <vt:lpstr>HI_std_vs_opt</vt:lpstr>
      <vt:lpstr>ANOVA</vt:lpstr>
      <vt:lpstr>LO_std_vs_opt</vt:lpstr>
      <vt:lpstr>Why_so_high_mmix</vt:lpstr>
      <vt:lpstr>std_vs_opt</vt:lpstr>
      <vt:lpstr>interference</vt:lpstr>
      <vt:lpstr>F vs F2</vt:lpstr>
      <vt:lpstr>50..800_F</vt:lpstr>
      <vt:lpstr>50..800_F2</vt:lpstr>
      <vt:lpstr>50..800_amp</vt:lpstr>
      <vt:lpstr>50..800_F2amp</vt:lpstr>
      <vt:lpstr>IAC_F2_matrix</vt:lpstr>
      <vt:lpstr>F2_matrix</vt:lpstr>
      <vt:lpstr>F2_probe_data</vt:lpstr>
      <vt:lpstr>sample_test_IAC_opt</vt:lpstr>
      <vt:lpstr>lyophilized</vt:lpstr>
      <vt:lpstr>pivot</vt:lpstr>
      <vt:lpstr>New.Leg.pne_std_curve</vt:lpstr>
      <vt:lpstr>new_Legpne_std_liquid_LOD</vt:lpstr>
      <vt:lpstr>lyoph_LOD</vt:lpstr>
      <vt:lpstr>run5_LOD_vs_LOD</vt:lpstr>
      <vt:lpstr>Pne_vs_Spp LOD</vt:lpstr>
      <vt:lpstr>Pne_vs_Spp LOD IAC (2)</vt:lpstr>
      <vt:lpstr>Pne_vs_Spp LOD IAC</vt:lpstr>
      <vt:lpstr>LOQ</vt:lpstr>
      <vt:lpstr>variability_Q16</vt:lpstr>
      <vt:lpstr>1st LOD</vt:lpstr>
      <vt:lpstr>2nd LOD</vt:lpstr>
      <vt:lpstr>3rd LOD</vt:lpstr>
      <vt:lpstr>LOD_sort</vt:lpstr>
      <vt:lpstr>IAC_F2_matrix!dna_per_rxn</vt:lpstr>
      <vt:lpstr>matrix_setup!dna_per_rxn</vt:lpstr>
      <vt:lpstr>IAC_F2_matrix!F_100</vt:lpstr>
      <vt:lpstr>matrix_setup!F_100</vt:lpstr>
      <vt:lpstr>IAC_F2_matrix!F_200</vt:lpstr>
      <vt:lpstr>matrix_setup!F_200</vt:lpstr>
      <vt:lpstr>IAC_F2_matrix!F_400</vt:lpstr>
      <vt:lpstr>matrix_setup!F_400</vt:lpstr>
      <vt:lpstr>IAC_F2_matrix!F_50</vt:lpstr>
      <vt:lpstr>matrix_setup!F_50</vt:lpstr>
      <vt:lpstr>IAC_F2_matrix!F_600</vt:lpstr>
      <vt:lpstr>matrix_setup!F_600</vt:lpstr>
      <vt:lpstr>IAC_F2_matrix!F_800</vt:lpstr>
      <vt:lpstr>matrix_setup!F_800</vt:lpstr>
      <vt:lpstr>IAC_F2_matrix!F_concs</vt:lpstr>
      <vt:lpstr>matrix_setup!F_concs</vt:lpstr>
      <vt:lpstr>IAC_F2_matrix!F_int_vol</vt:lpstr>
      <vt:lpstr>matrix_setup!F_int_vol</vt:lpstr>
      <vt:lpstr>probe_setup!F_int_vol</vt:lpstr>
      <vt:lpstr>IAC_F2_matrix!F_reps</vt:lpstr>
      <vt:lpstr>matrix_setup!F_reps</vt:lpstr>
      <vt:lpstr>FvsF2</vt:lpstr>
      <vt:lpstr>IAC_F2_matrix!orig_F_conc</vt:lpstr>
      <vt:lpstr>matrix_setup!orig_F_conc</vt:lpstr>
      <vt:lpstr>IAC_F2_matrix!orig_P_conc</vt:lpstr>
      <vt:lpstr>matrix_setup!orig_P_conc</vt:lpstr>
      <vt:lpstr>IAC_F2_matrix!orig_R_conc</vt:lpstr>
      <vt:lpstr>matrix_setup!orig_R_conc</vt:lpstr>
      <vt:lpstr>probe_setup!orig_R_conc</vt:lpstr>
      <vt:lpstr>IAC_F2_matrix!P_conc</vt:lpstr>
      <vt:lpstr>matrix_setup!P_conc</vt:lpstr>
      <vt:lpstr>P_int_vol</vt:lpstr>
      <vt:lpstr>IAC_F2_matrix!R_100</vt:lpstr>
      <vt:lpstr>matrix_setup!R_100</vt:lpstr>
      <vt:lpstr>IAC_F2_matrix!R_200</vt:lpstr>
      <vt:lpstr>matrix_setup!R_200</vt:lpstr>
      <vt:lpstr>IAC_F2_matrix!R_400</vt:lpstr>
      <vt:lpstr>matrix_setup!R_400</vt:lpstr>
      <vt:lpstr>IAC_F2_matrix!R_50</vt:lpstr>
      <vt:lpstr>matrix_setup!R_50</vt:lpstr>
      <vt:lpstr>IAC_F2_matrix!R_600</vt:lpstr>
      <vt:lpstr>matrix_setup!R_600</vt:lpstr>
      <vt:lpstr>IAC_F2_matrix!R_800</vt:lpstr>
      <vt:lpstr>matrix_setup!R_800</vt:lpstr>
      <vt:lpstr>IAC_F2_matrix!R_concs</vt:lpstr>
      <vt:lpstr>matrix_setup!R_concs</vt:lpstr>
      <vt:lpstr>IAC_F2_matrix!R_reps</vt:lpstr>
      <vt:lpstr>matrix_setup!R_reps</vt:lpstr>
      <vt:lpstr>probe_setup!R_reps</vt:lpstr>
      <vt:lpstr>IAC_F2_matrix!rxn_base</vt:lpstr>
      <vt:lpstr>matrix_setup!rxn_base</vt:lpstr>
      <vt:lpstr>IAC_F2_matrix!std_F_conc</vt:lpstr>
      <vt:lpstr>matrix_setup!std_F_conc</vt:lpstr>
      <vt:lpstr>IAC_F2_matrix!std_NTC_reps</vt:lpstr>
      <vt:lpstr>matrix_setup!std_NTC_reps</vt:lpstr>
      <vt:lpstr>IAC_F2_matrix!std_R_cond</vt:lpstr>
      <vt:lpstr>matrix_setup!std_R_cond</vt:lpstr>
      <vt:lpstr>IAC_F2_matrix!tot_NTCs</vt:lpstr>
      <vt:lpstr>matrix_setup!tot_NTCs</vt:lpstr>
      <vt:lpstr>IAC_F2_matrix!tot_rxn_vol</vt:lpstr>
      <vt:lpstr>matrix_setup!tot_rxn_vol</vt:lpstr>
      <vt:lpstr>IAC_F2_matrix!tot_samp</vt:lpstr>
      <vt:lpstr>matrix_setup!tot_samp</vt:lpstr>
      <vt:lpstr>IAC_F2_matrix!tot_stds</vt:lpstr>
      <vt:lpstr>matrix_setup!tot_stds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Harley King</dc:creator>
  <cp:keywords>Legionella pneumophila;IAC</cp:keywords>
  <dc:description/>
  <cp:lastModifiedBy>Harley King</cp:lastModifiedBy>
  <cp:revision/>
  <cp:lastPrinted>2021-07-19T16:17:49Z</cp:lastPrinted>
  <dcterms:created xsi:type="dcterms:W3CDTF">2021-04-15T14:14:18Z</dcterms:created>
  <dcterms:modified xsi:type="dcterms:W3CDTF">2021-08-24T13:46:38Z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0x0101006B231B0F347DDE4095027796ED4DA961</vt:lpwstr>
  </property>
</Properties>
</file>