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luminultratechnologiesltd-my.sharepoint.com/personal/harley_king_luminultra_com/Documents/Documents/GitHub/q96_fluorescence_visualization/qPCR_data/"/>
    </mc:Choice>
  </mc:AlternateContent>
  <xr:revisionPtr revIDLastSave="3056" documentId="8_{1E385A89-1E12-4E10-AA37-02CBD259822F}" xr6:coauthVersionLast="47" xr6:coauthVersionMax="47" xr10:uidLastSave="{F022D4EA-36CE-43FB-B7F3-45785C5D7356}"/>
  <bookViews>
    <workbookView xWindow="1068" yWindow="-108" windowWidth="22080" windowHeight="13176" tabRatio="809" activeTab="4" xr2:uid="{0B3C6564-636D-4061-9EA4-83B1224CFF95}"/>
  </bookViews>
  <sheets>
    <sheet name="Outline_REFS" sheetId="1" r:id="rId1"/>
    <sheet name="setup_from_values" sheetId="2" r:id="rId2"/>
    <sheet name="setup" sheetId="3" r:id="rId3"/>
    <sheet name="210309_Quan.Result" sheetId="4" r:id="rId4"/>
    <sheet name="210311_Quan. Result" sheetId="6" r:id="rId5"/>
    <sheet name="210315_Quan. Result" sheetId="7" r:id="rId6"/>
    <sheet name="ANALYSIS" sheetId="5" r:id="rId7"/>
  </sheets>
  <definedNames>
    <definedName name="Avg_Ct">'210315_Quan. Result'!$Y$64</definedName>
    <definedName name="dna_per_rxn">setup_from_values!$C$28</definedName>
    <definedName name="F_100">setup_from_values!$C$17</definedName>
    <definedName name="F_200">setup_from_values!$C$18</definedName>
    <definedName name="F_400">setup_from_values!$C$19</definedName>
    <definedName name="F_50">setup_from_values!$C$16</definedName>
    <definedName name="F_600">setup_from_values!$C$20</definedName>
    <definedName name="F_800">setup_from_values!$C$21</definedName>
    <definedName name="F_concs">setup_from_values!$C$14</definedName>
    <definedName name="F_int_vol">setup_from_values!$C$32</definedName>
    <definedName name="F_reps">setup_from_values!$C$31</definedName>
    <definedName name="orig_F_conc">setup_from_values!$C$3</definedName>
    <definedName name="orig_P_conc">setup_from_values!$C$5</definedName>
    <definedName name="orig_R_conc">setup_from_values!$C$4</definedName>
    <definedName name="P_conc">setup_from_values!$C$8</definedName>
    <definedName name="R_100">setup_from_values!$C$23</definedName>
    <definedName name="R_200">setup_from_values!$C$24</definedName>
    <definedName name="R_400">setup_from_values!$C$25</definedName>
    <definedName name="R_50">setup_from_values!$C$22</definedName>
    <definedName name="R_600">setup_from_values!$C$26</definedName>
    <definedName name="R_800">setup_from_values!$C$27</definedName>
    <definedName name="R_conc">'210315_Quan. Result'!$AB$148</definedName>
    <definedName name="R_concs">setup_from_values!$C$15</definedName>
    <definedName name="R_cost">'210315_Quan. Result'!$AB$150</definedName>
    <definedName name="R_price">'210315_Quan. Result'!$AB$146</definedName>
    <definedName name="R_reps">setup_from_values!$C$30</definedName>
    <definedName name="rxn_base">setup_from_values!$C$12</definedName>
    <definedName name="solver_adj" localSheetId="5" hidden="1">'210315_Quan. Result'!$AK$165:$AK$166</definedName>
    <definedName name="solver_cvg" localSheetId="5" hidden="1">0.0001</definedName>
    <definedName name="solver_drv" localSheetId="5" hidden="1">1</definedName>
    <definedName name="solver_eng" localSheetId="5" hidden="1">1</definedName>
    <definedName name="solver_est" localSheetId="5" hidden="1">1</definedName>
    <definedName name="solver_itr" localSheetId="5" hidden="1">2147483647</definedName>
    <definedName name="solver_lhs1" localSheetId="5" hidden="1">'210315_Quan. Result'!$AK$169</definedName>
    <definedName name="solver_lhs2" localSheetId="5" hidden="1">'210315_Quan. Result'!$AK$170</definedName>
    <definedName name="solver_lhs3" localSheetId="5" hidden="1">'210315_Quan. Result'!$AK$171</definedName>
    <definedName name="solver_lhs4" localSheetId="5" hidden="1">'210315_Quan. Result'!$AK$172</definedName>
    <definedName name="solver_mip" localSheetId="5" hidden="1">2147483647</definedName>
    <definedName name="solver_mni" localSheetId="5" hidden="1">30</definedName>
    <definedName name="solver_mrt" localSheetId="5" hidden="1">0.075</definedName>
    <definedName name="solver_msl" localSheetId="5" hidden="1">2</definedName>
    <definedName name="solver_neg" localSheetId="5" hidden="1">1</definedName>
    <definedName name="solver_nod" localSheetId="5" hidden="1">2147483647</definedName>
    <definedName name="solver_num" localSheetId="5" hidden="1">4</definedName>
    <definedName name="solver_nwt" localSheetId="5" hidden="1">1</definedName>
    <definedName name="solver_opt" localSheetId="5" hidden="1">'210315_Quan. Result'!$AK$167</definedName>
    <definedName name="solver_pre" localSheetId="5" hidden="1">0.000001</definedName>
    <definedName name="solver_rbv" localSheetId="5" hidden="1">1</definedName>
    <definedName name="solver_rel1" localSheetId="5" hidden="1">3</definedName>
    <definedName name="solver_rel2" localSheetId="5" hidden="1">1</definedName>
    <definedName name="solver_rel3" localSheetId="5" hidden="1">1</definedName>
    <definedName name="solver_rel4" localSheetId="5" hidden="1">3</definedName>
    <definedName name="solver_rhs1" localSheetId="5" hidden="1">'210315_Quan. Result'!$AM$169</definedName>
    <definedName name="solver_rhs2" localSheetId="5" hidden="1">'210315_Quan. Result'!$AM$170</definedName>
    <definedName name="solver_rhs3" localSheetId="5" hidden="1">'210315_Quan. Result'!$AM$171</definedName>
    <definedName name="solver_rhs4" localSheetId="5" hidden="1">'210315_Quan. Result'!$AM$172</definedName>
    <definedName name="solver_rlx" localSheetId="5" hidden="1">2</definedName>
    <definedName name="solver_rsd" localSheetId="5" hidden="1">0</definedName>
    <definedName name="solver_scl" localSheetId="5" hidden="1">1</definedName>
    <definedName name="solver_sho" localSheetId="5" hidden="1">2</definedName>
    <definedName name="solver_ssz" localSheetId="5" hidden="1">100</definedName>
    <definedName name="solver_tim" localSheetId="5" hidden="1">2147483647</definedName>
    <definedName name="solver_tol" localSheetId="5" hidden="1">0.01</definedName>
    <definedName name="solver_typ" localSheetId="5" hidden="1">2</definedName>
    <definedName name="solver_val" localSheetId="5" hidden="1">0</definedName>
    <definedName name="solver_ver" localSheetId="5" hidden="1">3</definedName>
    <definedName name="std_F_conc">setup_from_values!$C$6</definedName>
    <definedName name="std_NTC_reps">setup_from_values!$C$29</definedName>
    <definedName name="std_R_cond">setup_from_values!$C$7</definedName>
    <definedName name="tot_NTCs">setup_from_values!$C$10</definedName>
    <definedName name="tot_rxn_vol">setup_from_values!$C$13</definedName>
    <definedName name="tot_samp">setup_from_values!$C$11</definedName>
    <definedName name="tot_stds">setup_from_values!$C$9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7" l="1"/>
  <c r="R6" i="7"/>
  <c r="F4" i="7"/>
  <c r="Q2" i="7"/>
  <c r="AB93" i="4"/>
  <c r="F136" i="2" l="1"/>
  <c r="F120" i="2"/>
  <c r="AC84" i="7"/>
  <c r="AC83" i="7"/>
  <c r="AC82" i="7"/>
  <c r="AC81" i="7"/>
  <c r="AC80" i="7"/>
  <c r="AC79" i="7"/>
  <c r="AJ32" i="7"/>
  <c r="AJ26" i="7"/>
  <c r="AJ20" i="7"/>
  <c r="AJ14" i="7"/>
  <c r="AJ8" i="7"/>
  <c r="AJ2" i="7"/>
  <c r="Y80" i="7"/>
  <c r="Y81" i="7"/>
  <c r="Y82" i="7"/>
  <c r="Y83" i="7"/>
  <c r="Y84" i="7"/>
  <c r="Y79" i="7"/>
  <c r="AD32" i="7"/>
  <c r="AD26" i="7"/>
  <c r="AD20" i="7"/>
  <c r="AD14" i="7"/>
  <c r="AD8" i="7"/>
  <c r="AD2" i="7"/>
  <c r="AI2" i="7"/>
  <c r="C92" i="2" l="1"/>
  <c r="C86" i="2"/>
  <c r="C56" i="2"/>
  <c r="AK172" i="7"/>
  <c r="AK171" i="7"/>
  <c r="AK170" i="7"/>
  <c r="AK169" i="7"/>
  <c r="AK167" i="7"/>
  <c r="AB150" i="7"/>
  <c r="AB154" i="7"/>
  <c r="AB153" i="7"/>
  <c r="AB152" i="7"/>
  <c r="AB155" i="7"/>
  <c r="AI26" i="7"/>
  <c r="AI32" i="7"/>
  <c r="AI20" i="7"/>
  <c r="AI14" i="7"/>
  <c r="AI8" i="7"/>
  <c r="AC32" i="7"/>
  <c r="AC26" i="7"/>
  <c r="AC20" i="7"/>
  <c r="AC14" i="7"/>
  <c r="AC8" i="7"/>
  <c r="AC2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1" i="7"/>
  <c r="V70" i="7"/>
  <c r="V69" i="7"/>
  <c r="V68" i="7"/>
  <c r="V67" i="7"/>
  <c r="V66" i="7"/>
  <c r="V65" i="7"/>
  <c r="Q72" i="7"/>
  <c r="Q70" i="7"/>
  <c r="Q68" i="7"/>
  <c r="Q66" i="7"/>
  <c r="Q64" i="7"/>
  <c r="Q62" i="7"/>
  <c r="Q60" i="7"/>
  <c r="Q58" i="7"/>
  <c r="Q56" i="7"/>
  <c r="Q54" i="7"/>
  <c r="Q52" i="7"/>
  <c r="Q50" i="7"/>
  <c r="Q48" i="7"/>
  <c r="Q46" i="7"/>
  <c r="Q44" i="7"/>
  <c r="Q42" i="7"/>
  <c r="Q40" i="7"/>
  <c r="Q38" i="7"/>
  <c r="Q36" i="7"/>
  <c r="Q34" i="7"/>
  <c r="Q32" i="7"/>
  <c r="Q30" i="7"/>
  <c r="Q28" i="7"/>
  <c r="Q26" i="7"/>
  <c r="Q24" i="7"/>
  <c r="Q22" i="7"/>
  <c r="Q20" i="7"/>
  <c r="Q18" i="7"/>
  <c r="Q16" i="7"/>
  <c r="Q14" i="7"/>
  <c r="Q12" i="7"/>
  <c r="Q10" i="7"/>
  <c r="Q8" i="7"/>
  <c r="Q6" i="7"/>
  <c r="Q4" i="7"/>
  <c r="R72" i="7"/>
  <c r="R70" i="7"/>
  <c r="R68" i="7"/>
  <c r="R66" i="7"/>
  <c r="R64" i="7"/>
  <c r="R62" i="7"/>
  <c r="R60" i="7"/>
  <c r="R58" i="7"/>
  <c r="R56" i="7"/>
  <c r="R54" i="7"/>
  <c r="R52" i="7"/>
  <c r="R50" i="7"/>
  <c r="R48" i="7"/>
  <c r="R46" i="7"/>
  <c r="R44" i="7"/>
  <c r="R42" i="7"/>
  <c r="R40" i="7"/>
  <c r="R38" i="7"/>
  <c r="R36" i="7"/>
  <c r="R34" i="7"/>
  <c r="R32" i="7"/>
  <c r="R30" i="7"/>
  <c r="R28" i="7"/>
  <c r="R26" i="7"/>
  <c r="R24" i="7"/>
  <c r="R22" i="7"/>
  <c r="R20" i="7"/>
  <c r="R18" i="7"/>
  <c r="R16" i="7"/>
  <c r="R12" i="7"/>
  <c r="R10" i="7"/>
  <c r="R8" i="7"/>
  <c r="R2" i="7"/>
  <c r="F12" i="7"/>
  <c r="F10" i="7"/>
  <c r="F8" i="7"/>
  <c r="F2" i="7"/>
  <c r="V84" i="4"/>
  <c r="AB84" i="4"/>
  <c r="X33" i="4" l="1"/>
  <c r="AA91" i="4" a="1"/>
  <c r="AA91" i="4" s="1"/>
  <c r="AB85" i="4"/>
  <c r="AB86" i="4"/>
  <c r="AB87" i="4"/>
  <c r="AB88" i="4"/>
  <c r="AB89" i="4"/>
  <c r="Y84" i="4"/>
  <c r="Y85" i="4"/>
  <c r="Y89" i="4"/>
  <c r="Y88" i="4"/>
  <c r="Y87" i="4"/>
  <c r="Y86" i="4"/>
  <c r="W89" i="4"/>
  <c r="W88" i="4"/>
  <c r="W87" i="4"/>
  <c r="W86" i="4"/>
  <c r="W85" i="4"/>
  <c r="W84" i="4"/>
  <c r="W83" i="4"/>
  <c r="V89" i="4"/>
  <c r="V88" i="4"/>
  <c r="V87" i="4"/>
  <c r="V86" i="4"/>
  <c r="V85" i="4"/>
  <c r="V83" i="4"/>
  <c r="U81" i="4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S81" i="4"/>
  <c r="S82" i="4" s="1"/>
  <c r="U80" i="4"/>
  <c r="S80" i="4"/>
  <c r="T80" i="4" s="1"/>
  <c r="T79" i="4"/>
  <c r="X32" i="4"/>
  <c r="X30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4" i="4"/>
  <c r="N75" i="4"/>
  <c r="N76" i="4"/>
  <c r="N95" i="4"/>
  <c r="N96" i="4"/>
  <c r="N97" i="4"/>
  <c r="R71" i="4"/>
  <c r="R70" i="4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B4" i="3"/>
  <c r="B5" i="3" s="1"/>
  <c r="E3" i="3"/>
  <c r="F194" i="2"/>
  <c r="F186" i="2"/>
  <c r="F178" i="2"/>
  <c r="F170" i="2"/>
  <c r="F164" i="2"/>
  <c r="F162" i="2"/>
  <c r="F154" i="2"/>
  <c r="F188" i="2" s="1"/>
  <c r="J151" i="2"/>
  <c r="I151" i="2" s="1"/>
  <c r="N151" i="2" s="1"/>
  <c r="O151" i="2" s="1"/>
  <c r="J147" i="2"/>
  <c r="I147" i="2" s="1"/>
  <c r="N147" i="2" s="1"/>
  <c r="O147" i="2" s="1"/>
  <c r="O146" i="2"/>
  <c r="N146" i="2"/>
  <c r="J146" i="2"/>
  <c r="I146" i="2"/>
  <c r="F145" i="2"/>
  <c r="F149" i="2" s="1"/>
  <c r="H141" i="2"/>
  <c r="H140" i="2"/>
  <c r="J150" i="2" s="1"/>
  <c r="I150" i="2" s="1"/>
  <c r="N150" i="2" s="1"/>
  <c r="O150" i="2" s="1"/>
  <c r="H139" i="2"/>
  <c r="J149" i="2" s="1"/>
  <c r="I149" i="2" s="1"/>
  <c r="N149" i="2" s="1"/>
  <c r="O149" i="2" s="1"/>
  <c r="H138" i="2"/>
  <c r="J148" i="2" s="1"/>
  <c r="I148" i="2" s="1"/>
  <c r="N148" i="2" s="1"/>
  <c r="O148" i="2" s="1"/>
  <c r="H137" i="2"/>
  <c r="H136" i="2"/>
  <c r="E133" i="2"/>
  <c r="E131" i="2"/>
  <c r="F131" i="2" s="1"/>
  <c r="I129" i="2"/>
  <c r="I128" i="2"/>
  <c r="E128" i="2"/>
  <c r="F127" i="2"/>
  <c r="F126" i="2"/>
  <c r="F125" i="2"/>
  <c r="F124" i="2"/>
  <c r="I123" i="2"/>
  <c r="F123" i="2"/>
  <c r="M122" i="2"/>
  <c r="F122" i="2"/>
  <c r="M121" i="2"/>
  <c r="F121" i="2"/>
  <c r="K117" i="2"/>
  <c r="K116" i="2"/>
  <c r="K115" i="2"/>
  <c r="K114" i="2"/>
  <c r="K113" i="2"/>
  <c r="K112" i="2"/>
  <c r="K111" i="2"/>
  <c r="K110" i="2"/>
  <c r="K109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C82" i="2"/>
  <c r="C83" i="2" s="1"/>
  <c r="K81" i="2"/>
  <c r="K80" i="2"/>
  <c r="K79" i="2"/>
  <c r="K78" i="2"/>
  <c r="C78" i="2"/>
  <c r="C79" i="2" s="1"/>
  <c r="K77" i="2"/>
  <c r="K76" i="2"/>
  <c r="K75" i="2"/>
  <c r="K74" i="2"/>
  <c r="C74" i="2"/>
  <c r="E181" i="2" s="1"/>
  <c r="F181" i="2" s="1"/>
  <c r="K73" i="2"/>
  <c r="K72" i="2"/>
  <c r="K71" i="2"/>
  <c r="K70" i="2"/>
  <c r="C70" i="2"/>
  <c r="C71" i="2" s="1"/>
  <c r="K69" i="2"/>
  <c r="K68" i="2"/>
  <c r="C68" i="2"/>
  <c r="E166" i="2" s="1"/>
  <c r="F166" i="2" s="1"/>
  <c r="K67" i="2"/>
  <c r="K66" i="2"/>
  <c r="C66" i="2"/>
  <c r="C67" i="2" s="1"/>
  <c r="K65" i="2"/>
  <c r="K64" i="2"/>
  <c r="K63" i="2"/>
  <c r="K62" i="2"/>
  <c r="C62" i="2"/>
  <c r="C63" i="2" s="1"/>
  <c r="K61" i="2"/>
  <c r="K60" i="2"/>
  <c r="K59" i="2"/>
  <c r="C59" i="2"/>
  <c r="K58" i="2"/>
  <c r="K57" i="2"/>
  <c r="C57" i="2"/>
  <c r="K56" i="2"/>
  <c r="K55" i="2"/>
  <c r="K54" i="2"/>
  <c r="K53" i="2"/>
  <c r="K52" i="2"/>
  <c r="K51" i="2"/>
  <c r="K49" i="2"/>
  <c r="K48" i="2"/>
  <c r="C48" i="2"/>
  <c r="E139" i="2" s="1"/>
  <c r="K47" i="2"/>
  <c r="C47" i="2"/>
  <c r="E138" i="2" s="1"/>
  <c r="K46" i="2"/>
  <c r="K45" i="2"/>
  <c r="C45" i="2"/>
  <c r="C72" i="2" s="1"/>
  <c r="E174" i="2" s="1"/>
  <c r="F174" i="2" s="1"/>
  <c r="K44" i="2"/>
  <c r="C44" i="2"/>
  <c r="C91" i="2" s="1"/>
  <c r="C102" i="2" s="1"/>
  <c r="C103" i="2" s="1"/>
  <c r="K43" i="2"/>
  <c r="C43" i="2"/>
  <c r="K42" i="2"/>
  <c r="C42" i="2"/>
  <c r="K41" i="2"/>
  <c r="C41" i="2"/>
  <c r="K40" i="2"/>
  <c r="C40" i="2"/>
  <c r="F132" i="2" s="1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E157" i="2" l="1"/>
  <c r="F157" i="2" s="1"/>
  <c r="C55" i="2"/>
  <c r="C76" i="2"/>
  <c r="C77" i="2" s="1"/>
  <c r="C46" i="2"/>
  <c r="C84" i="2"/>
  <c r="E198" i="2" s="1"/>
  <c r="F198" i="2" s="1"/>
  <c r="E189" i="2"/>
  <c r="F189" i="2" s="1"/>
  <c r="C64" i="2"/>
  <c r="E158" i="2" s="1"/>
  <c r="F158" i="2" s="1"/>
  <c r="C80" i="2"/>
  <c r="E190" i="2" s="1"/>
  <c r="F190" i="2" s="1"/>
  <c r="F148" i="2"/>
  <c r="F150" i="2"/>
  <c r="F147" i="2"/>
  <c r="AB91" i="4"/>
  <c r="S83" i="4"/>
  <c r="T82" i="4"/>
  <c r="T81" i="4"/>
  <c r="B6" i="3"/>
  <c r="E5" i="3"/>
  <c r="E4" i="3"/>
  <c r="C49" i="2"/>
  <c r="F128" i="2"/>
  <c r="F133" i="2" s="1"/>
  <c r="C88" i="2"/>
  <c r="C96" i="2" s="1"/>
  <c r="C97" i="2" s="1"/>
  <c r="E182" i="2"/>
  <c r="F182" i="2" s="1"/>
  <c r="F196" i="2"/>
  <c r="C65" i="2"/>
  <c r="C69" i="2"/>
  <c r="C73" i="2"/>
  <c r="C89" i="2"/>
  <c r="C98" i="2" s="1"/>
  <c r="C99" i="2" s="1"/>
  <c r="F138" i="2"/>
  <c r="E165" i="2"/>
  <c r="F165" i="2" s="1"/>
  <c r="E197" i="2"/>
  <c r="F197" i="2" s="1"/>
  <c r="F172" i="2"/>
  <c r="C54" i="2"/>
  <c r="C90" i="2"/>
  <c r="C100" i="2" s="1"/>
  <c r="C101" i="2" s="1"/>
  <c r="E173" i="2"/>
  <c r="F173" i="2" s="1"/>
  <c r="F180" i="2"/>
  <c r="C50" i="2"/>
  <c r="C75" i="2"/>
  <c r="C87" i="2"/>
  <c r="C94" i="2" s="1"/>
  <c r="C95" i="2" s="1"/>
  <c r="F156" i="2"/>
  <c r="C85" i="2" l="1"/>
  <c r="C81" i="2"/>
  <c r="C93" i="2"/>
  <c r="Q121" i="2"/>
  <c r="T83" i="4"/>
  <c r="S84" i="4"/>
  <c r="E6" i="3"/>
  <c r="B7" i="3"/>
  <c r="E140" i="2"/>
  <c r="F140" i="2" s="1"/>
  <c r="C53" i="2"/>
  <c r="F139" i="2"/>
  <c r="J121" i="2"/>
  <c r="C51" i="2"/>
  <c r="E146" i="2"/>
  <c r="E137" i="2"/>
  <c r="C58" i="2"/>
  <c r="C109" i="2"/>
  <c r="C60" i="2"/>
  <c r="C52" i="2"/>
  <c r="J129" i="2" l="1"/>
  <c r="J130" i="2" s="1"/>
  <c r="C110" i="2"/>
  <c r="J128" i="2" s="1"/>
  <c r="S85" i="4"/>
  <c r="T84" i="4"/>
  <c r="E7" i="3"/>
  <c r="B8" i="3"/>
  <c r="F137" i="2"/>
  <c r="E141" i="2"/>
  <c r="F141" i="2" s="1"/>
  <c r="E151" i="2"/>
  <c r="F151" i="2" s="1"/>
  <c r="F146" i="2"/>
  <c r="J123" i="2"/>
  <c r="E195" i="2"/>
  <c r="E163" i="2"/>
  <c r="E187" i="2"/>
  <c r="E155" i="2"/>
  <c r="E171" i="2"/>
  <c r="E179" i="2"/>
  <c r="C61" i="2"/>
  <c r="C104" i="2"/>
  <c r="C111" i="2"/>
  <c r="N121" i="2" s="1"/>
  <c r="J124" i="2"/>
  <c r="T85" i="4" l="1"/>
  <c r="S86" i="4"/>
  <c r="E8" i="3"/>
  <c r="B9" i="3"/>
  <c r="E167" i="2"/>
  <c r="F167" i="2" s="1"/>
  <c r="F163" i="2"/>
  <c r="E199" i="2"/>
  <c r="F199" i="2" s="1"/>
  <c r="F195" i="2"/>
  <c r="C115" i="2"/>
  <c r="C114" i="2"/>
  <c r="N122" i="2"/>
  <c r="N124" i="2" s="1"/>
  <c r="C117" i="2"/>
  <c r="C113" i="2"/>
  <c r="C116" i="2"/>
  <c r="C112" i="2"/>
  <c r="J125" i="2"/>
  <c r="F179" i="2"/>
  <c r="E183" i="2"/>
  <c r="F183" i="2" s="1"/>
  <c r="F171" i="2"/>
  <c r="E175" i="2"/>
  <c r="F175" i="2" s="1"/>
  <c r="F155" i="2"/>
  <c r="E159" i="2"/>
  <c r="F159" i="2" s="1"/>
  <c r="F187" i="2"/>
  <c r="E191" i="2"/>
  <c r="F191" i="2" s="1"/>
  <c r="T86" i="4" l="1"/>
  <c r="S87" i="4"/>
  <c r="B10" i="3"/>
  <c r="E9" i="3"/>
  <c r="T87" i="4" l="1"/>
  <c r="S88" i="4"/>
  <c r="B11" i="3"/>
  <c r="E10" i="3"/>
  <c r="T88" i="4" l="1"/>
  <c r="S89" i="4"/>
  <c r="B12" i="3"/>
  <c r="E11" i="3"/>
  <c r="S90" i="4" l="1"/>
  <c r="T89" i="4"/>
  <c r="B13" i="3"/>
  <c r="E12" i="3"/>
  <c r="S91" i="4" l="1"/>
  <c r="T90" i="4"/>
  <c r="B14" i="3"/>
  <c r="E13" i="3"/>
  <c r="T91" i="4" l="1"/>
  <c r="S92" i="4"/>
  <c r="E14" i="3"/>
  <c r="B15" i="3"/>
  <c r="S93" i="4" l="1"/>
  <c r="T92" i="4"/>
  <c r="E15" i="3"/>
  <c r="B16" i="3"/>
  <c r="T93" i="4" l="1"/>
  <c r="S94" i="4"/>
  <c r="T94" i="4" s="1"/>
  <c r="E16" i="3"/>
  <c r="B17" i="3"/>
  <c r="B18" i="3" l="1"/>
  <c r="E17" i="3"/>
  <c r="B19" i="3" l="1"/>
  <c r="B20" i="3" s="1"/>
  <c r="E18" i="3"/>
</calcChain>
</file>

<file path=xl/sharedStrings.xml><?xml version="1.0" encoding="utf-8"?>
<sst xmlns="http://schemas.openxmlformats.org/spreadsheetml/2006/main" count="3816" uniqueCount="774">
  <si>
    <t>Exp800.05 Use program "create primer matrix.py" on OT-2 to determine optimal F, R primer concentrations for micH</t>
  </si>
  <si>
    <t>What are the optimal F, R primer concentrations for the micH assay with the ultramer positive control?</t>
  </si>
  <si>
    <t>run plate using micH primers, probes and "create.primer.matrix.py" program on OT-2.</t>
  </si>
  <si>
    <t>20210305-20210310</t>
  </si>
  <si>
    <t>create.primer.matrix.py program re-written to include user inputs</t>
  </si>
  <si>
    <t>I grew tired of programming specific amounts and volumes. I wanted program to be able to calculate these given user inputted parameters</t>
  </si>
  <si>
    <t xml:space="preserve">Code is unreadable, so I recommend beginning with the spreadsheet. </t>
  </si>
  <si>
    <t>made these run-time notes:</t>
  </si>
  <si>
    <t>std aliquots of 20ul need more waste. Running close to empty during aspiration step.</t>
  </si>
  <si>
    <t>bpwd_mix short when transferring. Pipette tip needs to go further down into 2mL tube. Do I need a 2mL tube? Can I keep a 1.5mL tube and keep it from overflowing by calculating tip heights?</t>
  </si>
  <si>
    <t>Did R_primer go 3x to intermediate tube. (this would explain why last columns didn't amplify, see data)</t>
  </si>
  <si>
    <t>Well "D6", or split in half due to p20.transfer(). Check OT-2 log.</t>
  </si>
  <si>
    <t>std_1 is not std_2. Need to add 1 extra standard to get std_2--&gt;std_7 positive curve.</t>
  </si>
  <si>
    <t>don't like how 417ul bpw_mix transferred to sN_mix in the tube. Pipette 8ul 2x! Less than lower range on the p300 gen2 pipettor. How can I program better?</t>
  </si>
  <si>
    <t>The pipette tip needs to come up a few mm for blow out steps after mixing steps so gratuitious air bubbles not introduced into mmix preventing last volumes empty or a few ul short.</t>
  </si>
  <si>
    <t>Double dispense from R_primer into R intermediate tube (last tube, D6) correct. Dividing by 2, 21.12ul = 10.56ul.</t>
  </si>
  <si>
    <t>confirmed with log that both mastermix with F, and R primers at respective concentrations being correctly dispensed.</t>
  </si>
  <si>
    <t>Two hypotheses for failed reactions remain:</t>
  </si>
  <si>
    <t xml:space="preserve">2) air bubble in either the F or R primers. </t>
  </si>
  <si>
    <t>Creating a primer matrix from concentrations</t>
  </si>
  <si>
    <t>USER_INPUTS</t>
  </si>
  <si>
    <t>Value</t>
  </si>
  <si>
    <t>Note</t>
  </si>
  <si>
    <t>orig_F_conc</t>
  </si>
  <si>
    <t>What is the starting F primer concentration? (in uM)</t>
  </si>
  <si>
    <t>orig_R_conc</t>
  </si>
  <si>
    <t>What is the starting R primer concentration? (in uM)</t>
  </si>
  <si>
    <t>orig_P_conc</t>
  </si>
  <si>
    <t>What is probe starting concentration? (in uM)</t>
  </si>
  <si>
    <t>std_F_conc</t>
  </si>
  <si>
    <t>What is the constant F primer concentration for standards? This should be guess or from literature. (in nM)</t>
  </si>
  <si>
    <t>std_R_cond</t>
  </si>
  <si>
    <t>What is the constant R primer concentration for standards? This should be guess or from literature. (in nM)</t>
  </si>
  <si>
    <t>P_conc</t>
  </si>
  <si>
    <t>What is the probe concentration? This should be constant throughout experiment.</t>
  </si>
  <si>
    <t>tot_stds</t>
  </si>
  <si>
    <t>How many wells of standards will be run? (in # wells)</t>
  </si>
  <si>
    <t>tot_NTCs</t>
  </si>
  <si>
    <t>How many wells of NTCs will be run? (in # wells)</t>
  </si>
  <si>
    <t>tot_samp</t>
  </si>
  <si>
    <t>How many samples with varying conditions will be run? (in # wells)</t>
  </si>
  <si>
    <t>rxn_base</t>
  </si>
  <si>
    <t>Everything in PCR buffer (Mg2+, dNTPs, polymerase, enhancers, stabilizers, sugars, etc.). (in uL)</t>
  </si>
  <si>
    <t>tot_rxn_vol</t>
  </si>
  <si>
    <t>What is total volume of PCR reaction in plate/tube? (in ul)</t>
  </si>
  <si>
    <t>F_concs</t>
  </si>
  <si>
    <t>[50, 100, 200, 400, 600, 800]</t>
  </si>
  <si>
    <t>What are the F primer concentrations? (a list in nM)</t>
  </si>
  <si>
    <t>R_concs</t>
  </si>
  <si>
    <t>What are the R primer concentrations? (a list in nM)</t>
  </si>
  <si>
    <t>F_50</t>
  </si>
  <si>
    <t>F primer at lowest concentration. (in nM)</t>
  </si>
  <si>
    <t>F_100</t>
  </si>
  <si>
    <t>F primer at concentration. (in nM)</t>
  </si>
  <si>
    <t>F_200</t>
  </si>
  <si>
    <t>F_400</t>
  </si>
  <si>
    <t>F_600</t>
  </si>
  <si>
    <t>F_800</t>
  </si>
  <si>
    <t>F primer at highest concentration. (in nM)</t>
  </si>
  <si>
    <t>R_50</t>
  </si>
  <si>
    <t>R primer at lowest concentration. (in nM)</t>
  </si>
  <si>
    <t>R_100</t>
  </si>
  <si>
    <t>R primer at concentration. (in nM)</t>
  </si>
  <si>
    <t>R_200</t>
  </si>
  <si>
    <t>R_400</t>
  </si>
  <si>
    <t>R_600</t>
  </si>
  <si>
    <t>R_800</t>
  </si>
  <si>
    <t>R primer at highest concentration. (in nM)</t>
  </si>
  <si>
    <t>dna_per_rxn</t>
  </si>
  <si>
    <t xml:space="preserve">How much standard, positive control or NTC to add per well. </t>
  </si>
  <si>
    <t>std_NTC_reps</t>
  </si>
  <si>
    <t>How many standard and NTC replicates? (int)</t>
  </si>
  <si>
    <t>R_reps</t>
  </si>
  <si>
    <t>How many wells will use R primer at particular concentration? (int)</t>
  </si>
  <si>
    <t>F_reps</t>
  </si>
  <si>
    <t>How many wells will use F primer at particular concentration? (int)</t>
  </si>
  <si>
    <t>F_int_vol</t>
  </si>
  <si>
    <t>What is the volume of F intermediate primer in new tube? (in ul)</t>
  </si>
  <si>
    <t>percent_waste</t>
  </si>
  <si>
    <t>What percentage waste? (decimal)</t>
  </si>
  <si>
    <t>sN_mix_waste_offset</t>
  </si>
  <si>
    <t>How much percent_waste offset should sN_mix use? This calculated as percent_waste-sN_mix_overage = percent_waste for sN_mix_overage e.g. (20-7=13%) Should not be 0 otherwise offset = percent_waste. (decimal)</t>
  </si>
  <si>
    <t>R_mix_waste_offset</t>
  </si>
  <si>
    <t>How much percent_waste offset should R_mix use? This calculated as percent_waste-R_mix_overage = percent_waste for R_mix_overage e.g. (20-=13%) If 0, then offset = percent_waste. (decimal)</t>
  </si>
  <si>
    <t>std_NTC_waste_offset</t>
  </si>
  <si>
    <t>How much percent_waste offset should std_NTC use? (decimal)</t>
  </si>
  <si>
    <t>bpw_waste_offset</t>
  </si>
  <si>
    <t>How much percent_waste offset should bpw_waste use? (decimal)</t>
  </si>
  <si>
    <t>CALCS</t>
  </si>
  <si>
    <t>tot_rxns</t>
  </si>
  <si>
    <t>Calc what is total # rxns. (int)</t>
  </si>
  <si>
    <t>tot_sds_NTC</t>
  </si>
  <si>
    <t>Calc number of standards and nontemplate controls. (int)</t>
  </si>
  <si>
    <t>rxn_vol_no_dna</t>
  </si>
  <si>
    <t>Calc what is volume of PCR rxn with no DNA added. (in ul)</t>
  </si>
  <si>
    <t>P_per_rxn</t>
  </si>
  <si>
    <t>Calc this constant probe is needed per pcr reaction. (in ul)</t>
  </si>
  <si>
    <t>max_vol_F_per_rxn</t>
  </si>
  <si>
    <t>Calc greatest vol added from starting F primer conc to rxn to satisfy max test F conc? (in ul)</t>
  </si>
  <si>
    <t>max_vol_R_per_rxn</t>
  </si>
  <si>
    <t>Calc greatest vol added from starting R primer conc to rxn to satisfy max test R conc? (in ul)</t>
  </si>
  <si>
    <t>water_per_rxn</t>
  </si>
  <si>
    <t>Calc this is water added per rxn such that greatest F, R primer conc can be accommodated in total rxn vol. (in ul)</t>
  </si>
  <si>
    <t>std_vol_F_per_rxn</t>
  </si>
  <si>
    <t>Calc adding this much F primer to each std rxn</t>
  </si>
  <si>
    <t>std_vol_R_per_rxn</t>
  </si>
  <si>
    <t>BPW_rxn</t>
  </si>
  <si>
    <t>Mix base + probe + water (no DNA, F, R primer). (in ul)</t>
  </si>
  <si>
    <t>std_woff_per_sN_rxn</t>
  </si>
  <si>
    <t>Calc how much water to add to offset diff in max vol F,R primer per reaction. (Max-Std)*2 (in ul)</t>
  </si>
  <si>
    <t>BPW_sN_rxn</t>
  </si>
  <si>
    <t>Mix base + probe + water+F,R primer at std conc+water_offset(no DNA). (in ul)</t>
  </si>
  <si>
    <t>BWP_mix_xfer_sN_mix</t>
  </si>
  <si>
    <t>Calc how much tot_BPW_mix to move to make new tube for stds and NTC. (in ul)</t>
  </si>
  <si>
    <t>std_woff_add_to_sN_mix</t>
  </si>
  <si>
    <t>Cal how much water to add to sdd_NTC mmix with waste</t>
  </si>
  <si>
    <t>F_add_to_sN_mix</t>
  </si>
  <si>
    <t>Calc how much F primer to add to std_NTC mmix with waste</t>
  </si>
  <si>
    <t>R_add_to_sN_mix</t>
  </si>
  <si>
    <t>Calc how much R primer to add to std_NTC mmix with waste</t>
  </si>
  <si>
    <t>sN_mix_xfer_to_stds_mix</t>
  </si>
  <si>
    <t>Calc how much sn_mix to aliquot to tube in preparation for std DNA mixing. (in ul)</t>
  </si>
  <si>
    <t>std_DNA_xfer_to_stds_mix</t>
  </si>
  <si>
    <t>Calc how much DNA from each standard adding to stds_mix with waste. (in ul)</t>
  </si>
  <si>
    <t>bpw_mix_xfer_bpwd_mix</t>
  </si>
  <si>
    <t>Calc how much bpw_mix needed in new tube for # total samples</t>
  </si>
  <si>
    <t>std_DNA_xfer_to_bpwd_mix</t>
  </si>
  <si>
    <t>Calc how much DNA to add to bpw_mix for template in PCR rxns.</t>
  </si>
  <si>
    <t>bpwd_rxn</t>
  </si>
  <si>
    <t>Calc vol of bpw reaction + DNA vol</t>
  </si>
  <si>
    <t>bpwd_mix_xfer_R_mix</t>
  </si>
  <si>
    <t>Calc how muc bpwd_mix to transfer to each tube for specific R conc. Less than 12% to avoid missing vol.</t>
  </si>
  <si>
    <t>R_50_rxn</t>
  </si>
  <si>
    <t>Calc how much R primer at lowest concentration to add per reaction? (e.g. 50nM) (in ul)</t>
  </si>
  <si>
    <t>R_50_mix</t>
  </si>
  <si>
    <t>Calc how much R primer to add to R_50 mix. (in ul)</t>
  </si>
  <si>
    <t>R_50_woff_rxn</t>
  </si>
  <si>
    <t>Calc how much water offset to add to each rxn. (in ul)</t>
  </si>
  <si>
    <t>R_50_woff_mix</t>
  </si>
  <si>
    <t>Calc how much water offset to add to R_50 mix. (in ul)</t>
  </si>
  <si>
    <t>R_100_rxn</t>
  </si>
  <si>
    <t>Calc how much R primer at concentration to add. (in ul)</t>
  </si>
  <si>
    <t>R_100_mix</t>
  </si>
  <si>
    <t>Calc how much R primer to add to add. (in ul)</t>
  </si>
  <si>
    <t>R_100_woff_rxn</t>
  </si>
  <si>
    <t>R_100_woff_mix</t>
  </si>
  <si>
    <t>Calc how much water offset to add to mix. (in ul)</t>
  </si>
  <si>
    <t>R_200_rxn</t>
  </si>
  <si>
    <t>R_200_mix</t>
  </si>
  <si>
    <t>R_200_woff_rxn</t>
  </si>
  <si>
    <t>R_200_woff_mix</t>
  </si>
  <si>
    <t>R_400_rxn</t>
  </si>
  <si>
    <t>R_400_mix</t>
  </si>
  <si>
    <t>R_400_woff_rxn</t>
  </si>
  <si>
    <t>R_400_woff_mix</t>
  </si>
  <si>
    <t>R_600_rxn</t>
  </si>
  <si>
    <t>R_600_mix</t>
  </si>
  <si>
    <t>R_600_woff_rxn</t>
  </si>
  <si>
    <t>R_600_woff_mix</t>
  </si>
  <si>
    <t>R_800_rxn</t>
  </si>
  <si>
    <t>R_800_mix</t>
  </si>
  <si>
    <t>R_800_woff_rxn</t>
  </si>
  <si>
    <t>R_800_woff_mix</t>
  </si>
  <si>
    <t>F_50_int_conc</t>
  </si>
  <si>
    <t>What intermediate (int) concentration of F primer is needed such that by adding 1.6ul I obtain a final F primer concentration of 50, 100, 200…etc in rxn well? (in uM)</t>
  </si>
  <si>
    <t>F_100_int_conc</t>
  </si>
  <si>
    <t>F_200_int_conc</t>
  </si>
  <si>
    <t>F_400_int_conc</t>
  </si>
  <si>
    <t>F_600_int_conc</t>
  </si>
  <si>
    <t>F_800_int_conc</t>
  </si>
  <si>
    <t>F_50_int_primer</t>
  </si>
  <si>
    <t>What amount of primer should be added to generate int F primer conc? (in ul)</t>
  </si>
  <si>
    <t>F_50_int_water</t>
  </si>
  <si>
    <t>What amount of water should be added to generate int F primer conc? (in ul)</t>
  </si>
  <si>
    <t>F_100_int_primer</t>
  </si>
  <si>
    <t>F_100_int_water</t>
  </si>
  <si>
    <t>F_200_int_primer</t>
  </si>
  <si>
    <t>F_200_int_water</t>
  </si>
  <si>
    <t>F_400_int_primer</t>
  </si>
  <si>
    <t>F_400_int_water</t>
  </si>
  <si>
    <t>F_600_int_primer</t>
  </si>
  <si>
    <t>F_600_int_water</t>
  </si>
  <si>
    <t>F_800_int_primer</t>
  </si>
  <si>
    <t>F_800_int_water</t>
  </si>
  <si>
    <t>R_mix_rxn</t>
  </si>
  <si>
    <t>What is the rxn vol that should be aliquoted to plate wells after R primer addition? (in ul)</t>
  </si>
  <si>
    <t>MIXES</t>
  </si>
  <si>
    <t>BPW_mix_tot</t>
  </si>
  <si>
    <t>Mix = base + probe + water (no DNA, F, R primer)*96*waste. (in ul)</t>
  </si>
  <si>
    <t>sN_mix_tot</t>
  </si>
  <si>
    <t>Mix = base + probe + water + F,R primers at std conc + water offset (no DNA) * number stds_NTC * waste</t>
  </si>
  <si>
    <t>bpwd_mix_tot</t>
  </si>
  <si>
    <t xml:space="preserve">Mix = base + probe + DNA (no F, R primer) </t>
  </si>
  <si>
    <t>50_mix</t>
  </si>
  <si>
    <t>Mix = base + probe + DNA+ R primer (No F primer)</t>
  </si>
  <si>
    <t>100_mix</t>
  </si>
  <si>
    <t>200_mix</t>
  </si>
  <si>
    <t>400_mix</t>
  </si>
  <si>
    <t>600_mix</t>
  </si>
  <si>
    <t>800_mix</t>
  </si>
  <si>
    <t>tube:"bpw_mix"</t>
  </si>
  <si>
    <t>Component</t>
  </si>
  <si>
    <t>Desired</t>
  </si>
  <si>
    <t>Units</t>
  </si>
  <si>
    <t>PROBE RXN</t>
  </si>
  <si>
    <t>Confirming Volumes and offsets</t>
  </si>
  <si>
    <t>dNTP Mix</t>
  </si>
  <si>
    <t>mM</t>
  </si>
  <si>
    <t>BPW_mix</t>
  </si>
  <si>
    <t>AptaTaq</t>
  </si>
  <si>
    <t>aliquoted (transferred (xfer)) to two mixes</t>
  </si>
  <si>
    <t>Mg2+</t>
  </si>
  <si>
    <t># transfers</t>
  </si>
  <si>
    <t>Trehalose</t>
  </si>
  <si>
    <t>Percent</t>
  </si>
  <si>
    <t>bpwd_mix</t>
  </si>
  <si>
    <t>BSA</t>
  </si>
  <si>
    <t>mg/mL</t>
  </si>
  <si>
    <t>PCR Buffer 10X</t>
  </si>
  <si>
    <t>x</t>
  </si>
  <si>
    <t>2-Hydroxypropyl-β-Cyclodextrin</t>
  </si>
  <si>
    <t>sN_mix has other volumes added and then gets aliquoted to 8 tubes containing standards</t>
  </si>
  <si>
    <t>TOTAL</t>
  </si>
  <si>
    <t>F_primer@10uM</t>
  </si>
  <si>
    <t>R_primer@10uM</t>
  </si>
  <si>
    <t>* 8 tubes</t>
  </si>
  <si>
    <t>probe@10uM</t>
  </si>
  <si>
    <t>water</t>
  </si>
  <si>
    <t>What intermediate (int) concentration of F primer is needed such that by adding 1.6ul I obtain a final F primer concentration of 50, 100, 200…etc</t>
  </si>
  <si>
    <t>uM</t>
  </si>
  <si>
    <t>ul</t>
  </si>
  <si>
    <t>nM</t>
  </si>
  <si>
    <t>tube:"sN_mix"</t>
  </si>
  <si>
    <t>24 wells for std curve and NTCs</t>
  </si>
  <si>
    <t>C1</t>
  </si>
  <si>
    <t>V1</t>
  </si>
  <si>
    <t>C2</t>
  </si>
  <si>
    <t>V2</t>
  </si>
  <si>
    <t>mmix</t>
  </si>
  <si>
    <t>Creating F primer intermediate concentrations from 10uM in 1.5mL tube</t>
  </si>
  <si>
    <t>tube:"bpwd_mix"</t>
  </si>
  <si>
    <t>72 wells for samples</t>
  </si>
  <si>
    <t>10uM N2_Fwd</t>
  </si>
  <si>
    <t>Water</t>
  </si>
  <si>
    <t>DNA (from std_5)</t>
  </si>
  <si>
    <t>tube:"50_mix"</t>
  </si>
  <si>
    <t>various</t>
  </si>
  <si>
    <t>nm</t>
  </si>
  <si>
    <t>tube:"100_mix"</t>
  </si>
  <si>
    <t>tube:"200_mix"</t>
  </si>
  <si>
    <t>tube:"400_mix"</t>
  </si>
  <si>
    <t>tube:"600_mix"</t>
  </si>
  <si>
    <t>tube:"800_mix"</t>
  </si>
  <si>
    <t>1) F concentration at 800nM inhibitory</t>
  </si>
  <si>
    <t>Conc (uM)</t>
  </si>
  <si>
    <t>Copy Number</t>
  </si>
  <si>
    <t>pM</t>
  </si>
  <si>
    <t>std_0</t>
  </si>
  <si>
    <t>std_1</t>
  </si>
  <si>
    <t>std_2</t>
  </si>
  <si>
    <t>HI</t>
  </si>
  <si>
    <t>std_3</t>
  </si>
  <si>
    <t>std_4</t>
  </si>
  <si>
    <t>std_5</t>
  </si>
  <si>
    <t>std_6</t>
  </si>
  <si>
    <t>std_7</t>
  </si>
  <si>
    <t>std_8</t>
  </si>
  <si>
    <t>MID</t>
  </si>
  <si>
    <t>std_9</t>
  </si>
  <si>
    <t>std_10</t>
  </si>
  <si>
    <t>std_11</t>
  </si>
  <si>
    <t>LO</t>
  </si>
  <si>
    <t>std_12</t>
  </si>
  <si>
    <t>Well</t>
  </si>
  <si>
    <t>Target</t>
  </si>
  <si>
    <t>Property</t>
  </si>
  <si>
    <t>Dye</t>
  </si>
  <si>
    <t>Ct</t>
  </si>
  <si>
    <t>Ct Mean</t>
  </si>
  <si>
    <t>Ct SD</t>
  </si>
  <si>
    <t>Concentration</t>
  </si>
  <si>
    <t>Aver. Con.</t>
  </si>
  <si>
    <t>Con. SD</t>
  </si>
  <si>
    <t>Sample ID</t>
  </si>
  <si>
    <t>A01</t>
  </si>
  <si>
    <t>micH</t>
  </si>
  <si>
    <t>Unknown</t>
  </si>
  <si>
    <t>FAM</t>
  </si>
  <si>
    <t/>
  </si>
  <si>
    <t>A02</t>
  </si>
  <si>
    <t>A03</t>
  </si>
  <si>
    <t>A04</t>
  </si>
  <si>
    <t>A05</t>
  </si>
  <si>
    <t>A06</t>
  </si>
  <si>
    <t>A07</t>
  </si>
  <si>
    <t>5.76e-03</t>
  </si>
  <si>
    <t>A08</t>
  </si>
  <si>
    <t>2.89e-03</t>
  </si>
  <si>
    <t>A09</t>
  </si>
  <si>
    <t>1.07e-02</t>
  </si>
  <si>
    <t>A10</t>
  </si>
  <si>
    <t>9.40e-03</t>
  </si>
  <si>
    <t>A11</t>
  </si>
  <si>
    <t>A12</t>
  </si>
  <si>
    <t>B01</t>
  </si>
  <si>
    <t>B02</t>
  </si>
  <si>
    <t>B03</t>
  </si>
  <si>
    <t>B04</t>
  </si>
  <si>
    <t>B05</t>
  </si>
  <si>
    <t>5.79e-03</t>
  </si>
  <si>
    <t>B06</t>
  </si>
  <si>
    <t>7.11e-03</t>
  </si>
  <si>
    <t>B07</t>
  </si>
  <si>
    <t>5.37e-02</t>
  </si>
  <si>
    <t>B08</t>
  </si>
  <si>
    <t>4.93e-02</t>
  </si>
  <si>
    <t>B09</t>
  </si>
  <si>
    <t>2.25e-01</t>
  </si>
  <si>
    <t>B10</t>
  </si>
  <si>
    <t>1.87e-01</t>
  </si>
  <si>
    <t>B11</t>
  </si>
  <si>
    <t>B12</t>
  </si>
  <si>
    <t>C01</t>
  </si>
  <si>
    <t>C02</t>
  </si>
  <si>
    <t>C03</t>
  </si>
  <si>
    <t>4.23e-03</t>
  </si>
  <si>
    <t>C04</t>
  </si>
  <si>
    <t>C05</t>
  </si>
  <si>
    <t>1.35e-01</t>
  </si>
  <si>
    <t>C06</t>
  </si>
  <si>
    <t>2.46e-01</t>
  </si>
  <si>
    <t>C07</t>
  </si>
  <si>
    <t>1.37e+00</t>
  </si>
  <si>
    <t>C08</t>
  </si>
  <si>
    <t>9.29e-01</t>
  </si>
  <si>
    <t>C09</t>
  </si>
  <si>
    <t>2.92e+00</t>
  </si>
  <si>
    <t>C10</t>
  </si>
  <si>
    <t>2.84e+00</t>
  </si>
  <si>
    <t>C11</t>
  </si>
  <si>
    <t>C12</t>
  </si>
  <si>
    <t>D01</t>
  </si>
  <si>
    <t>D02</t>
  </si>
  <si>
    <t>D03</t>
  </si>
  <si>
    <t>4.04e-02</t>
  </si>
  <si>
    <t>D04</t>
  </si>
  <si>
    <t>4.71e-03</t>
  </si>
  <si>
    <t>D05</t>
  </si>
  <si>
    <t>1.42e-01</t>
  </si>
  <si>
    <t>D06</t>
  </si>
  <si>
    <t>1.89e+00</t>
  </si>
  <si>
    <t>D07</t>
  </si>
  <si>
    <t>7.40e+00</t>
  </si>
  <si>
    <t>D08</t>
  </si>
  <si>
    <t>3.05e+00</t>
  </si>
  <si>
    <t>D09</t>
  </si>
  <si>
    <t>1.57e+01</t>
  </si>
  <si>
    <t>D10</t>
  </si>
  <si>
    <t>1.09e+01</t>
  </si>
  <si>
    <t>D11</t>
  </si>
  <si>
    <t>D12</t>
  </si>
  <si>
    <t>E01</t>
  </si>
  <si>
    <t>E02</t>
  </si>
  <si>
    <t>E03</t>
  </si>
  <si>
    <t>6.40e-02</t>
  </si>
  <si>
    <t>E04</t>
  </si>
  <si>
    <t>1.44e-02</t>
  </si>
  <si>
    <t>E05</t>
  </si>
  <si>
    <t>1.13e+00</t>
  </si>
  <si>
    <t>E06</t>
  </si>
  <si>
    <t>7.53e-01</t>
  </si>
  <si>
    <t>E07</t>
  </si>
  <si>
    <t>8.38e+00</t>
  </si>
  <si>
    <t>E08</t>
  </si>
  <si>
    <t>5.36e+00</t>
  </si>
  <si>
    <t>E09</t>
  </si>
  <si>
    <t>1.82e+01</t>
  </si>
  <si>
    <t>E10</t>
  </si>
  <si>
    <t>1.63e+01</t>
  </si>
  <si>
    <t>E11</t>
  </si>
  <si>
    <t>E12</t>
  </si>
  <si>
    <t>F01</t>
  </si>
  <si>
    <t>F02</t>
  </si>
  <si>
    <t>F03</t>
  </si>
  <si>
    <t>1.06e-01</t>
  </si>
  <si>
    <t>F04</t>
  </si>
  <si>
    <t>2.88e-02</t>
  </si>
  <si>
    <t>F05</t>
  </si>
  <si>
    <t>1.76e+00</t>
  </si>
  <si>
    <t>F06</t>
  </si>
  <si>
    <t>1.60e+00</t>
  </si>
  <si>
    <t>F07</t>
  </si>
  <si>
    <t>1.03e+01</t>
  </si>
  <si>
    <t>F08</t>
  </si>
  <si>
    <t>7.97e+00</t>
  </si>
  <si>
    <t>F09</t>
  </si>
  <si>
    <t>2.36e+01</t>
  </si>
  <si>
    <t>F10</t>
  </si>
  <si>
    <t>1.74e+01</t>
  </si>
  <si>
    <t>F11</t>
  </si>
  <si>
    <t>F12</t>
  </si>
  <si>
    <t>G01</t>
  </si>
  <si>
    <t>Standard</t>
  </si>
  <si>
    <t>G02</t>
  </si>
  <si>
    <t>G03</t>
  </si>
  <si>
    <t>G04</t>
  </si>
  <si>
    <t>9.47e+02</t>
  </si>
  <si>
    <t>G05</t>
  </si>
  <si>
    <t>8.37e+02</t>
  </si>
  <si>
    <t>G06</t>
  </si>
  <si>
    <t>1.07e+03</t>
  </si>
  <si>
    <t>G07</t>
  </si>
  <si>
    <t>1.05e+02</t>
  </si>
  <si>
    <t>G08</t>
  </si>
  <si>
    <t>1.07e+02</t>
  </si>
  <si>
    <t>G09</t>
  </si>
  <si>
    <t>1.09e+02</t>
  </si>
  <si>
    <t>G10</t>
  </si>
  <si>
    <t>1.14e+01</t>
  </si>
  <si>
    <t>G11</t>
  </si>
  <si>
    <t>9.19e+00</t>
  </si>
  <si>
    <t>G12</t>
  </si>
  <si>
    <t>1.39e+01</t>
  </si>
  <si>
    <t>H01</t>
  </si>
  <si>
    <t>9.61e-01</t>
  </si>
  <si>
    <t>H02</t>
  </si>
  <si>
    <t>9.55e-01</t>
  </si>
  <si>
    <t>H03</t>
  </si>
  <si>
    <t>9.00e-01</t>
  </si>
  <si>
    <t>H04</t>
  </si>
  <si>
    <t>7.65e-02</t>
  </si>
  <si>
    <t>H05</t>
  </si>
  <si>
    <t>H06</t>
  </si>
  <si>
    <t>8.24e-02</t>
  </si>
  <si>
    <t>H07</t>
  </si>
  <si>
    <t>1.35e-02</t>
  </si>
  <si>
    <t>H08</t>
  </si>
  <si>
    <t>1.22e-02</t>
  </si>
  <si>
    <t>H09</t>
  </si>
  <si>
    <t>1.01e-02</t>
  </si>
  <si>
    <t>H10</t>
  </si>
  <si>
    <t>Negative</t>
  </si>
  <si>
    <t>H11</t>
  </si>
  <si>
    <t>H12</t>
  </si>
  <si>
    <t>removed first std_1</t>
  </si>
  <si>
    <t>Min Cq</t>
  </si>
  <si>
    <t>F9</t>
  </si>
  <si>
    <t>Optimized Primer concentration</t>
  </si>
  <si>
    <t>600&lt;[R]&lt;800</t>
  </si>
  <si>
    <t>600&lt;[F]&lt;800</t>
  </si>
  <si>
    <t>R_PRIMER</t>
  </si>
  <si>
    <t>F_PRIMER</t>
  </si>
  <si>
    <t>Cq</t>
  </si>
  <si>
    <t>F, R primers and probe at 300nM in literature</t>
  </si>
  <si>
    <t>Tube</t>
  </si>
  <si>
    <t>Conc (pM)</t>
  </si>
  <si>
    <t>AVG Cq</t>
  </si>
  <si>
    <t>STDEV</t>
  </si>
  <si>
    <t>conc(uM)</t>
  </si>
  <si>
    <t>conc(pM)</t>
  </si>
  <si>
    <t>copyNum</t>
  </si>
  <si>
    <t>AVG</t>
  </si>
  <si>
    <t>(log)copyNum</t>
  </si>
  <si>
    <t>PCR Efficiency</t>
  </si>
  <si>
    <t xml:space="preserve">PCR efficiency is low. I believe it may have something to do with the melt curve. </t>
  </si>
  <si>
    <t>from Exp800.04</t>
  </si>
  <si>
    <t>"210301_Melt.Curve"</t>
  </si>
  <si>
    <t>avg melt temp = 75C</t>
  </si>
  <si>
    <t>umelt quartz prediction</t>
  </si>
  <si>
    <t>Cq (AVG)</t>
  </si>
  <si>
    <t>fail</t>
  </si>
  <si>
    <t>F_10uM use</t>
  </si>
  <si>
    <t xml:space="preserve">ran another plate using the program above. </t>
  </si>
  <si>
    <t>No mix on the duplicated mmix at final step because pipette tip was too high. After 3.2ul F primer dispense the 2x reaction mix was not mixed. A lot of failed wells.</t>
  </si>
  <si>
    <t>Correct this and noted other inefficiencies. Listed these in Monday.com.</t>
  </si>
  <si>
    <t>1. add more fluid to std_int tubes from sN_mix. About 20ul remaining in sN_mix tube. Need about 2 ul more in the int tubes.</t>
  </si>
  <si>
    <t>2. speed up mixing steps from std_tubes into std_int tubes.</t>
  </si>
  <si>
    <t>3. std curve requires 30 min to complete [29:32].</t>
  </si>
  <si>
    <t>4. still running low on BPW_mix. Need another 30ul. Draw less into BPWD_mix tube. Have about 50-75ul remaining. </t>
  </si>
  <si>
    <t>5. 2nd to last pipetting step in BPW_mix to pbwd_mix drew air. Adjust offset from 6--&gt;8mm.</t>
  </si>
  <si>
    <t>6. bpwd_mix step to slow pipettes at full speed? 92.86ul/sec?</t>
  </si>
  <si>
    <t>7. tip comes up for blowout in R int tubes. Too many bubbles. Also, tip goes too far in liquid. </t>
  </si>
  <si>
    <t>8. after R primer addition, mixing step too high, bring down lower.</t>
  </si>
  <si>
    <t>9. keep 200ul tip for F_primer dilution making. Don't shuck. </t>
  </si>
  <si>
    <t>10. mixing F_primer int tubes too slow with p300.</t>
  </si>
  <si>
    <t>11. p300 no longer mixing reaction mix in plate. Change from last time?</t>
  </si>
  <si>
    <t>12. air bubbles in F_int #4. Mix smaller volume. No, blow_out needs to come up. </t>
  </si>
  <si>
    <t>13. tot program time = [1:21:00]</t>
  </si>
  <si>
    <t>Ran another plate (plate #3). Again noted inconsistencie in the mix step after the addition of 3.2ul F-primer.</t>
  </si>
  <si>
    <t xml:space="preserve">The result is that 20ul asp/disp step to neighboring well has inconsistent volume. </t>
  </si>
  <si>
    <t xml:space="preserve">observed in qPCR data because 2nd well typically has greater fluorescence that 1st well. </t>
  </si>
  <si>
    <t>Corrected for this with two changes:</t>
  </si>
  <si>
    <t xml:space="preserve">I hypothesized that air bubble created at this step because pipette tip not reaching the bottom of the well even well.bottom(0). Also speed may be too fast creating a bubble. </t>
  </si>
  <si>
    <t>1) Updated Amplifyt labware definition to ensure tip reaches bottom.</t>
  </si>
  <si>
    <t xml:space="preserve">2) after slowed mixes, one aspiration/dispense close to bottom at 30% speed. </t>
  </si>
  <si>
    <t>Also confirmed that move_to(plate.bottom(1)) and blow_out(plate.bottom(1)) are the same. Prefer blow_out.bottom(1) because easier to read.</t>
  </si>
  <si>
    <t>Observing changes with a plate is difficult because tip not easily visualized in plates as it is for tubes. Sometimes, I can only observe differences after plate is completed or run.</t>
  </si>
  <si>
    <t xml:space="preserve">Std curve is robust, though. Good line. </t>
  </si>
  <si>
    <t>1.64e-04</t>
  </si>
  <si>
    <t>9.59e-04</t>
  </si>
  <si>
    <t>1.53e-03</t>
  </si>
  <si>
    <t>8.18e-03</t>
  </si>
  <si>
    <t>2.06e-03</t>
  </si>
  <si>
    <t>3.00e-02</t>
  </si>
  <si>
    <t>4.97e-02</t>
  </si>
  <si>
    <t>3.44e-04</t>
  </si>
  <si>
    <t>5.69e-02</t>
  </si>
  <si>
    <t>5.56e-04</t>
  </si>
  <si>
    <t>7.51e-02</t>
  </si>
  <si>
    <t>1.11e-03</t>
  </si>
  <si>
    <t>3.56e-02</t>
  </si>
  <si>
    <t>2.05e-01</t>
  </si>
  <si>
    <t>4.90e-01</t>
  </si>
  <si>
    <t>1.07e+00</t>
  </si>
  <si>
    <t>1.46e-01</t>
  </si>
  <si>
    <t>1.16e+00</t>
  </si>
  <si>
    <t>7.97e-04</t>
  </si>
  <si>
    <t>8.54e-03</t>
  </si>
  <si>
    <t>2.37e-01</t>
  </si>
  <si>
    <t>1.01e+00</t>
  </si>
  <si>
    <t>3.54e+00</t>
  </si>
  <si>
    <t>3.17e-03</t>
  </si>
  <si>
    <t>4.29e+00</t>
  </si>
  <si>
    <t>2.09e-02</t>
  </si>
  <si>
    <t>4.28e-01</t>
  </si>
  <si>
    <t>2.29e+00</t>
  </si>
  <si>
    <t>2.27e+00</t>
  </si>
  <si>
    <t>7.24e-04</t>
  </si>
  <si>
    <t>5.30e+00</t>
  </si>
  <si>
    <t>6.21e-03</t>
  </si>
  <si>
    <t>8.21e+00</t>
  </si>
  <si>
    <t>3.57e-02</t>
  </si>
  <si>
    <t>7.11e-01</t>
  </si>
  <si>
    <t>4.80e-01</t>
  </si>
  <si>
    <t>1.82e+00</t>
  </si>
  <si>
    <t>3.79e+00</t>
  </si>
  <si>
    <t>2.20e-03</t>
  </si>
  <si>
    <t>1.02e+01</t>
  </si>
  <si>
    <t>1.44e+00</t>
  </si>
  <si>
    <t>1.24e+01</t>
  </si>
  <si>
    <t>3.47e-04</t>
  </si>
  <si>
    <t>9.25e+02</t>
  </si>
  <si>
    <t>8.17e+02</t>
  </si>
  <si>
    <t>1.06e+03</t>
  </si>
  <si>
    <t>1.10e+02</t>
  </si>
  <si>
    <t>9.71e+01</t>
  </si>
  <si>
    <t>7.89e+00</t>
  </si>
  <si>
    <t>1.05e+01</t>
  </si>
  <si>
    <t>1.36e+00</t>
  </si>
  <si>
    <t>1.47e+00</t>
  </si>
  <si>
    <t>1.30e+00</t>
  </si>
  <si>
    <t>8.33e-02</t>
  </si>
  <si>
    <t>7.80e-02</t>
  </si>
  <si>
    <t>8.19e-02</t>
  </si>
  <si>
    <t>1.14e-02</t>
  </si>
  <si>
    <t>1.03e-02</t>
  </si>
  <si>
    <t>8.25e-03</t>
  </si>
  <si>
    <t>1.87e-02</t>
  </si>
  <si>
    <t>1.79e-02</t>
  </si>
  <si>
    <t>1.69e-02</t>
  </si>
  <si>
    <t>not useful for analysis, but std curve looks ok.</t>
  </si>
  <si>
    <t>3.96e-05</t>
  </si>
  <si>
    <t>1.83e-03</t>
  </si>
  <si>
    <t>1.23e-03</t>
  </si>
  <si>
    <t>1.49e-02</t>
  </si>
  <si>
    <t>4.19e-03</t>
  </si>
  <si>
    <t>1.50e-02</t>
  </si>
  <si>
    <t>4.49e-03</t>
  </si>
  <si>
    <t>9.15e-03</t>
  </si>
  <si>
    <t>7.42e-03</t>
  </si>
  <si>
    <t>3.86e-04</t>
  </si>
  <si>
    <t>2.63e-05</t>
  </si>
  <si>
    <t>1.91e-02</t>
  </si>
  <si>
    <t>9.28e-03</t>
  </si>
  <si>
    <t>9.50e-02</t>
  </si>
  <si>
    <t>2.05e-02</t>
  </si>
  <si>
    <t>5.38e-02</t>
  </si>
  <si>
    <t>7.91e-02</t>
  </si>
  <si>
    <t>1.72e-01</t>
  </si>
  <si>
    <t>2.19e-01</t>
  </si>
  <si>
    <t>5.67e-04</t>
  </si>
  <si>
    <t>5.89e-05</t>
  </si>
  <si>
    <t>9.38e-04</t>
  </si>
  <si>
    <t>1.79e-01</t>
  </si>
  <si>
    <t>8.49e-02</t>
  </si>
  <si>
    <t>5.95e-01</t>
  </si>
  <si>
    <t>7.85e-02</t>
  </si>
  <si>
    <t>5.34e-01</t>
  </si>
  <si>
    <t>5.94e-01</t>
  </si>
  <si>
    <t>7.30e-01</t>
  </si>
  <si>
    <t>2.78e-03</t>
  </si>
  <si>
    <t>1.65e-01</t>
  </si>
  <si>
    <t>5.36e-03</t>
  </si>
  <si>
    <t>6.02e-01</t>
  </si>
  <si>
    <t>3.18e-01</t>
  </si>
  <si>
    <t>1.26e+00</t>
  </si>
  <si>
    <t>1.24e+00</t>
  </si>
  <si>
    <t>1.22e+00</t>
  </si>
  <si>
    <t>1.40e+00</t>
  </si>
  <si>
    <t>1.57e+00</t>
  </si>
  <si>
    <t>1.52e+00</t>
  </si>
  <si>
    <t>7.73e-03</t>
  </si>
  <si>
    <t>2.68e-04</t>
  </si>
  <si>
    <t>1.83e-01</t>
  </si>
  <si>
    <t>2.59e-02</t>
  </si>
  <si>
    <t>5.90e-01</t>
  </si>
  <si>
    <t>3.88e-01</t>
  </si>
  <si>
    <t>1.67e+00</t>
  </si>
  <si>
    <t>2.20e+00</t>
  </si>
  <si>
    <t>2.40e+00</t>
  </si>
  <si>
    <t>2.19e+00</t>
  </si>
  <si>
    <t>1.61e+00</t>
  </si>
  <si>
    <t>2.05e-03</t>
  </si>
  <si>
    <t>4.95e-04</t>
  </si>
  <si>
    <t>6.62e-02</t>
  </si>
  <si>
    <t>6.27e-01</t>
  </si>
  <si>
    <t>4.46e-01</t>
  </si>
  <si>
    <t>5.51e+00</t>
  </si>
  <si>
    <t>3.70e+00</t>
  </si>
  <si>
    <t>3.83e+00</t>
  </si>
  <si>
    <t>5.77e+00</t>
  </si>
  <si>
    <t>4.74e+00</t>
  </si>
  <si>
    <t>5.91e+00</t>
  </si>
  <si>
    <t>1.13e+03</t>
  </si>
  <si>
    <t>1.00e+03</t>
  </si>
  <si>
    <t>1.10e+03</t>
  </si>
  <si>
    <t>7.58e+01</t>
  </si>
  <si>
    <t>7.85e+01</t>
  </si>
  <si>
    <t>1.04e+02</t>
  </si>
  <si>
    <t>1.10e+01</t>
  </si>
  <si>
    <t>9.57e+00</t>
  </si>
  <si>
    <t>1.17e+00</t>
  </si>
  <si>
    <t>1.14e+00</t>
  </si>
  <si>
    <t>1.12e+00</t>
  </si>
  <si>
    <t>9.38e-02</t>
  </si>
  <si>
    <t>7.17e-02</t>
  </si>
  <si>
    <t>9.69e-02</t>
  </si>
  <si>
    <t>1.15e-02</t>
  </si>
  <si>
    <t>9.73e-03</t>
  </si>
  <si>
    <t>6.25e-05</t>
  </si>
  <si>
    <t xml:space="preserve">I have enough data to form and educated guess about F, R primer concentrations. </t>
  </si>
  <si>
    <t>Also need to make the following adjustments:</t>
  </si>
  <si>
    <t xml:space="preserve">When dispensing sN_mix (2nd, 1st), tip needs to come up more for blow_out step, so that there aren't bubbles. </t>
  </si>
  <si>
    <t>Water-&gt;sN_mix, generates bad blow_out bubbles.</t>
  </si>
  <si>
    <t>More mixing for sN_mix. 4--&gt;6</t>
  </si>
  <si>
    <t>1 more ul in to std_mixes? About 16 remain in sN_mix.</t>
  </si>
  <si>
    <t>Pause on aspiration creating bpwd_mix. Add 2 sec pause</t>
  </si>
  <si>
    <t>Short 20ul on last aspiration bpwd_mix.</t>
  </si>
  <si>
    <t>Mixing std_5 tip needs to go father in. Draws air when mixing.</t>
  </si>
  <si>
    <t>about 40ul remain in bpwd_mix</t>
  </si>
  <si>
    <t>mixing R_mixes with R_primer tip cleanse, the tip should come up a little bit to asp/dispense. Bottom()</t>
  </si>
  <si>
    <t>R_mix distribute to plate (~64ul), last well tip goes down for blowout. 5--&gt;7mm. L485. Add "move to" step? Or at least same as dispense.</t>
  </si>
  <si>
    <t>Touch tips on F primer working and blow outs. Several droplets fell.</t>
  </si>
  <si>
    <t xml:space="preserve">Touch tip on F-primer aspirate--&gt;to 3.2 to each well. And also pause. </t>
  </si>
  <si>
    <t>Ct_mean</t>
  </si>
  <si>
    <t>Wells</t>
  </si>
  <si>
    <t>A01+A02</t>
  </si>
  <si>
    <t>A03+A04</t>
  </si>
  <si>
    <t>A05+A06</t>
  </si>
  <si>
    <t>A07+A08</t>
  </si>
  <si>
    <t>A09+A10</t>
  </si>
  <si>
    <t>A11+A12</t>
  </si>
  <si>
    <t>B01+B02</t>
  </si>
  <si>
    <t>B03+B04</t>
  </si>
  <si>
    <t>B05+B06</t>
  </si>
  <si>
    <t>B07+B08</t>
  </si>
  <si>
    <t>B09+B10</t>
  </si>
  <si>
    <t>B11+B12</t>
  </si>
  <si>
    <t>C01+C02</t>
  </si>
  <si>
    <t>C03+C04</t>
  </si>
  <si>
    <t>C05+C06</t>
  </si>
  <si>
    <t>C07+C08</t>
  </si>
  <si>
    <t>C09+C10</t>
  </si>
  <si>
    <t>C11+C12</t>
  </si>
  <si>
    <t>D01+D02</t>
  </si>
  <si>
    <t>D03+D04</t>
  </si>
  <si>
    <t>D05+D06</t>
  </si>
  <si>
    <t>D07+D08</t>
  </si>
  <si>
    <t>D09+D10</t>
  </si>
  <si>
    <t>D11+D12</t>
  </si>
  <si>
    <t>E01+E02</t>
  </si>
  <si>
    <t>E03+E04</t>
  </si>
  <si>
    <t>E05+E06</t>
  </si>
  <si>
    <t>E07+E08</t>
  </si>
  <si>
    <t>E09+E10</t>
  </si>
  <si>
    <t>E11+E12</t>
  </si>
  <si>
    <t>F01+F02</t>
  </si>
  <si>
    <t>F03+F04</t>
  </si>
  <si>
    <t>F05+F06</t>
  </si>
  <si>
    <t>F07+F08</t>
  </si>
  <si>
    <t>F09+F10</t>
  </si>
  <si>
    <t>F11+F12</t>
  </si>
  <si>
    <t>[F]_[R]</t>
  </si>
  <si>
    <t>50_50</t>
  </si>
  <si>
    <t>100_50</t>
  </si>
  <si>
    <t>200_50</t>
  </si>
  <si>
    <t>400_50</t>
  </si>
  <si>
    <t>600_50</t>
  </si>
  <si>
    <t>800_50</t>
  </si>
  <si>
    <t>50_100</t>
  </si>
  <si>
    <t>100_100</t>
  </si>
  <si>
    <t>200_100</t>
  </si>
  <si>
    <t>400_100</t>
  </si>
  <si>
    <t>600_100</t>
  </si>
  <si>
    <t>800_100</t>
  </si>
  <si>
    <t>50_200</t>
  </si>
  <si>
    <t>100_200</t>
  </si>
  <si>
    <t>200_200</t>
  </si>
  <si>
    <t>400_200</t>
  </si>
  <si>
    <t>600_200</t>
  </si>
  <si>
    <t>800_200</t>
  </si>
  <si>
    <t>50_400</t>
  </si>
  <si>
    <t>100_400</t>
  </si>
  <si>
    <t>200_400</t>
  </si>
  <si>
    <t>400_400</t>
  </si>
  <si>
    <t>600_600</t>
  </si>
  <si>
    <t>800_600</t>
  </si>
  <si>
    <t>50_600</t>
  </si>
  <si>
    <t>100_600</t>
  </si>
  <si>
    <t>200_600</t>
  </si>
  <si>
    <t>400_600</t>
  </si>
  <si>
    <t>50_800</t>
  </si>
  <si>
    <t>100_800</t>
  </si>
  <si>
    <t>200_800</t>
  </si>
  <si>
    <t>400_800</t>
  </si>
  <si>
    <t>600_800</t>
  </si>
  <si>
    <t>800_800</t>
  </si>
  <si>
    <t>optimize conc</t>
  </si>
  <si>
    <t>price</t>
  </si>
  <si>
    <t>price @50</t>
  </si>
  <si>
    <t>price@100</t>
  </si>
  <si>
    <t>price@200</t>
  </si>
  <si>
    <t>price@400</t>
  </si>
  <si>
    <t>price@600</t>
  </si>
  <si>
    <t>price@800</t>
  </si>
  <si>
    <t>R_primer_Conc</t>
  </si>
  <si>
    <t>Cost</t>
  </si>
  <si>
    <t>F_primer_Conc</t>
  </si>
  <si>
    <t>cost/reaction</t>
  </si>
  <si>
    <t>[F]</t>
  </si>
  <si>
    <t>[R]</t>
  </si>
  <si>
    <t>TrendAvg</t>
  </si>
  <si>
    <t>R_constant</t>
  </si>
  <si>
    <t>F_constant</t>
  </si>
  <si>
    <t>y = 20.68965 + (32.55865 - 20.68965)/(1 + (x/212.689)^1.088953)</t>
  </si>
  <si>
    <t>objective min</t>
  </si>
  <si>
    <t>R_conc =</t>
  </si>
  <si>
    <t>F_conc=</t>
  </si>
  <si>
    <t>R_price</t>
  </si>
  <si>
    <t>F_price</t>
  </si>
  <si>
    <t>constraint_1</t>
  </si>
  <si>
    <t>constraint_2</t>
  </si>
  <si>
    <t>constraint_3</t>
  </si>
  <si>
    <t>less than</t>
  </si>
  <si>
    <t>greater than</t>
  </si>
  <si>
    <t xml:space="preserve">greater than </t>
  </si>
  <si>
    <t>Cq_price</t>
  </si>
  <si>
    <t>Ct_des=</t>
  </si>
  <si>
    <t>y = 22.35922 + (39.68124 - 22.35922)/(1 + (x/75.83227)^1.443099)</t>
  </si>
  <si>
    <t>fix issues above</t>
  </si>
  <si>
    <t>TubeName</t>
  </si>
  <si>
    <t xml:space="preserve">Going through this sheet and others but can't find mastermix recipe. </t>
  </si>
  <si>
    <t xml:space="preserve">Found it! In Teams personal communication with Raquelle. </t>
  </si>
  <si>
    <t>This was used for micH experiments.</t>
  </si>
  <si>
    <t>This will be used for Legionella pneumophila experiments.</t>
  </si>
  <si>
    <t>TrendStDev</t>
  </si>
  <si>
    <t>2*stdev</t>
  </si>
  <si>
    <t>[Primer]</t>
  </si>
  <si>
    <t>Constant [R]</t>
  </si>
  <si>
    <t>Constant [F]</t>
  </si>
  <si>
    <t>Technique</t>
  </si>
  <si>
    <t>Lagrangian</t>
  </si>
  <si>
    <t>Solver</t>
  </si>
  <si>
    <t>Optimal Concentration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</si>
</sst>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164" formatCode="0.0000"/>
    <numFmt numFmtId="165" formatCode="0.0E+00"/>
    <numFmt numFmtId="166" formatCode="0.000E+00"/>
    <numFmt numFmtId="167" formatCode="0.0"/>
    <numFmt numFmtId="168" formatCode="0.000"/>
    <numFmt numFmtId="169" formatCode="&quot;$&quot;#,##0.0_);[Red]\(&quot;$&quot;#,##0.0\)"/>
    <numFmt numFmtId="170" formatCode="&quot;$&quot;#,##0.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dashed">
        <color theme="0" tint="-0.499984740745262"/>
      </bottom>
      <diagonal/>
    </border>
    <border>
      <left/>
      <right/>
      <top style="medium">
        <color auto="1"/>
      </top>
      <bottom style="dashed">
        <color theme="0" tint="-0.499984740745262"/>
      </bottom>
      <diagonal/>
    </border>
    <border>
      <left style="medium">
        <color auto="1"/>
      </left>
      <right/>
      <top style="dashed">
        <color theme="0" tint="-0.499984740745262"/>
      </top>
      <bottom style="dashed">
        <color theme="0" tint="-0.499984740745262"/>
      </bottom>
      <diagonal/>
    </border>
    <border>
      <left/>
      <right/>
      <top style="dashed">
        <color theme="0" tint="-0.499984740745262"/>
      </top>
      <bottom style="dashed">
        <color theme="0" tint="-0.499984740745262"/>
      </bottom>
      <diagonal/>
    </border>
    <border>
      <left style="medium">
        <color auto="1"/>
      </left>
      <right/>
      <top style="dashed">
        <color theme="0" tint="-0.499984740745262"/>
      </top>
      <bottom style="medium">
        <color auto="1"/>
      </bottom>
      <diagonal/>
    </border>
    <border>
      <left/>
      <right/>
      <top style="dashed">
        <color theme="0" tint="-0.499984740745262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rgb="FFA6A6A6"/>
      </left>
      <right/>
      <top style="medium">
        <color rgb="FFA6A6A6"/>
      </top>
      <bottom/>
      <diagonal/>
    </border>
    <border>
      <left/>
      <right/>
      <top style="medium">
        <color rgb="FFA6A6A6"/>
      </top>
      <bottom/>
      <diagonal/>
    </border>
    <border>
      <left/>
      <right style="medium">
        <color rgb="FFA6A6A6"/>
      </right>
      <top style="medium">
        <color rgb="FFA6A6A6"/>
      </top>
      <bottom/>
      <diagonal/>
    </border>
    <border>
      <left style="medium">
        <color rgb="FFA6A6A6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rgb="FFA6A6A6"/>
      </right>
      <top style="medium">
        <color indexed="64"/>
      </top>
      <bottom/>
      <diagonal/>
    </border>
    <border>
      <left style="medium">
        <color rgb="FFA6A6A6"/>
      </left>
      <right/>
      <top/>
      <bottom/>
      <diagonal/>
    </border>
    <border>
      <left/>
      <right style="medium">
        <color rgb="FFA6A6A6"/>
      </right>
      <top/>
      <bottom/>
      <diagonal/>
    </border>
    <border>
      <left style="medium">
        <color rgb="FFA6A6A6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rgb="FFA6A6A6"/>
      </right>
      <top/>
      <bottom style="medium">
        <color indexed="64"/>
      </bottom>
      <diagonal/>
    </border>
    <border>
      <left style="medium">
        <color rgb="FFA6A6A6"/>
      </left>
      <right/>
      <top/>
      <bottom style="medium">
        <color rgb="FFA6A6A6"/>
      </bottom>
      <diagonal/>
    </border>
    <border>
      <left/>
      <right/>
      <top/>
      <bottom style="medium">
        <color rgb="FFA6A6A6"/>
      </bottom>
      <diagonal/>
    </border>
    <border>
      <left/>
      <right style="medium">
        <color rgb="FFA6A6A6"/>
      </right>
      <top/>
      <bottom style="medium">
        <color rgb="FFA6A6A6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ck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8" fillId="0" borderId="0"/>
  </cellStyleXfs>
  <cellXfs count="63">
    <xf numFmtId="0" fontId="0" fillId="0" borderId="0" xfId="0"/>
    <xf numFmtId="15" fontId="0" fillId="0" borderId="0" xfId="0" applyNumberFormat="1"/>
    <xf numFmtId="0" fontId="5" fillId="0" borderId="0" xfId="0" applyFont="1" applyAlignment="1">
      <alignment vertical="center"/>
    </xf>
    <xf numFmtId="2" fontId="0" fillId="0" borderId="0" xfId="0" applyNumberFormat="1"/>
    <xf numFmtId="164" fontId="0" fillId="0" borderId="0" xfId="0" applyNumberFormat="1"/>
    <xf numFmtId="0" fontId="3" fillId="0" borderId="1" xfId="0" applyFont="1" applyBorder="1"/>
    <xf numFmtId="0" fontId="3" fillId="0" borderId="2" xfId="0" applyFont="1" applyBorder="1"/>
    <xf numFmtId="0" fontId="0" fillId="0" borderId="2" xfId="0" applyBorder="1"/>
    <xf numFmtId="0" fontId="6" fillId="0" borderId="3" xfId="0" applyFont="1" applyBorder="1"/>
    <xf numFmtId="0" fontId="0" fillId="0" borderId="4" xfId="0" applyBorder="1"/>
    <xf numFmtId="2" fontId="0" fillId="0" borderId="4" xfId="0" applyNumberFormat="1" applyBorder="1"/>
    <xf numFmtId="0" fontId="6" fillId="0" borderId="3" xfId="0" applyFont="1" applyBorder="1" applyAlignment="1">
      <alignment wrapText="1"/>
    </xf>
    <xf numFmtId="0" fontId="7" fillId="0" borderId="3" xfId="0" applyFont="1" applyBorder="1"/>
    <xf numFmtId="0" fontId="2" fillId="0" borderId="4" xfId="0" applyFont="1" applyBorder="1"/>
    <xf numFmtId="2" fontId="2" fillId="0" borderId="4" xfId="0" applyNumberFormat="1" applyFont="1" applyBorder="1"/>
    <xf numFmtId="0" fontId="0" fillId="0" borderId="3" xfId="0" applyBorder="1"/>
    <xf numFmtId="0" fontId="4" fillId="0" borderId="3" xfId="2" applyBorder="1"/>
    <xf numFmtId="0" fontId="2" fillId="0" borderId="5" xfId="0" applyFont="1" applyBorder="1"/>
    <xf numFmtId="0" fontId="2" fillId="0" borderId="6" xfId="0" applyFont="1" applyBorder="1"/>
    <xf numFmtId="2" fontId="2" fillId="0" borderId="6" xfId="0" applyNumberFormat="1" applyFont="1" applyBorder="1"/>
    <xf numFmtId="0" fontId="0" fillId="0" borderId="0" xfId="0" applyAlignment="1">
      <alignment horizontal="center"/>
    </xf>
    <xf numFmtId="0" fontId="0" fillId="0" borderId="7" xfId="0" applyBorder="1"/>
    <xf numFmtId="2" fontId="0" fillId="0" borderId="0" xfId="0" applyNumberFormat="1" applyAlignment="1">
      <alignment horizontal="center"/>
    </xf>
    <xf numFmtId="11" fontId="0" fillId="0" borderId="0" xfId="0" applyNumberFormat="1"/>
    <xf numFmtId="0" fontId="0" fillId="0" borderId="8" xfId="0" applyBorder="1"/>
    <xf numFmtId="11" fontId="0" fillId="0" borderId="9" xfId="0" applyNumberFormat="1" applyBorder="1"/>
    <xf numFmtId="0" fontId="0" fillId="0" borderId="10" xfId="0" applyBorder="1"/>
    <xf numFmtId="0" fontId="0" fillId="0" borderId="11" xfId="0" applyBorder="1"/>
    <xf numFmtId="11" fontId="0" fillId="0" borderId="12" xfId="0" applyNumberForma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1" fontId="0" fillId="0" borderId="17" xfId="0" applyNumberFormat="1" applyBorder="1"/>
    <xf numFmtId="0" fontId="0" fillId="0" borderId="18" xfId="0" applyBorder="1"/>
    <xf numFmtId="0" fontId="0" fillId="0" borderId="19" xfId="0" applyBorder="1"/>
    <xf numFmtId="11" fontId="0" fillId="0" borderId="20" xfId="0" applyNumberFormat="1" applyBorder="1"/>
    <xf numFmtId="0" fontId="0" fillId="0" borderId="21" xfId="0" applyBorder="1"/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0" fontId="8" fillId="0" borderId="0" xfId="3" applyAlignment="1">
      <alignment horizontal="left"/>
    </xf>
    <xf numFmtId="167" fontId="0" fillId="0" borderId="0" xfId="0" applyNumberFormat="1" applyAlignment="1">
      <alignment horizontal="left"/>
    </xf>
    <xf numFmtId="168" fontId="8" fillId="0" borderId="0" xfId="3" applyNumberFormat="1" applyAlignment="1">
      <alignment horizontal="left"/>
    </xf>
    <xf numFmtId="165" fontId="0" fillId="2" borderId="22" xfId="0" applyNumberFormat="1" applyFont="1" applyFill="1" applyBorder="1" applyAlignment="1">
      <alignment horizontal="left"/>
    </xf>
    <xf numFmtId="166" fontId="0" fillId="2" borderId="22" xfId="0" applyNumberFormat="1" applyFont="1" applyFill="1" applyBorder="1" applyAlignment="1">
      <alignment horizontal="left"/>
    </xf>
    <xf numFmtId="165" fontId="0" fillId="0" borderId="22" xfId="0" applyNumberFormat="1" applyFont="1" applyBorder="1" applyAlignment="1">
      <alignment horizontal="left"/>
    </xf>
    <xf numFmtId="166" fontId="0" fillId="0" borderId="22" xfId="0" applyNumberFormat="1" applyFont="1" applyBorder="1" applyAlignment="1">
      <alignment horizontal="left"/>
    </xf>
    <xf numFmtId="9" fontId="0" fillId="3" borderId="0" xfId="1" applyFont="1" applyFill="1"/>
    <xf numFmtId="0" fontId="8" fillId="0" borderId="0" xfId="3"/>
    <xf numFmtId="2" fontId="8" fillId="0" borderId="0" xfId="3" applyNumberFormat="1"/>
    <xf numFmtId="6" fontId="8" fillId="0" borderId="0" xfId="3" applyNumberFormat="1"/>
    <xf numFmtId="0" fontId="4" fillId="0" borderId="0" xfId="2"/>
    <xf numFmtId="8" fontId="8" fillId="0" borderId="0" xfId="3" applyNumberFormat="1"/>
    <xf numFmtId="169" fontId="8" fillId="0" borderId="0" xfId="3" applyNumberFormat="1"/>
    <xf numFmtId="170" fontId="8" fillId="0" borderId="0" xfId="3" applyNumberFormat="1"/>
    <xf numFmtId="168" fontId="0" fillId="0" borderId="0" xfId="0" applyNumberFormat="1"/>
    <xf numFmtId="0" fontId="8" fillId="4" borderId="0" xfId="3" applyFill="1"/>
    <xf numFmtId="0" fontId="9" fillId="4" borderId="0" xfId="3" applyFont="1" applyFill="1"/>
    <xf numFmtId="0" fontId="8" fillId="4" borderId="0" xfId="3" applyFill="1" applyAlignment="1">
      <alignment horizontal="center"/>
    </xf>
    <xf numFmtId="0" fontId="8" fillId="4" borderId="24" xfId="3" applyFill="1" applyBorder="1" applyAlignment="1">
      <alignment horizontal="center"/>
    </xf>
    <xf numFmtId="0" fontId="8" fillId="4" borderId="23" xfId="3" applyFill="1" applyBorder="1" applyAlignment="1">
      <alignment horizontal="center"/>
    </xf>
  </cellXfs>
  <cellStyles count="4">
    <cellStyle name="Hyperlink" xfId="2" builtinId="8"/>
    <cellStyle name="Normal" xfId="0" builtinId="0"/>
    <cellStyle name="Normal 2" xfId="3" xr:uid="{7697E15C-46E5-46F0-8C93-47FD0D812E72}"/>
    <cellStyle name="Percent" xfId="1" builtinId="5"/>
  </cellStyles>
  <dxfs count="13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8" formatCode="0.000"/>
      <alignment horizontal="left" vertical="bottom" textRotation="0" wrapText="0" indent="0" justifyLastLine="0" shrinkToFit="0" readingOrder="0"/>
    </dxf>
    <dxf>
      <numFmt numFmtId="167" formatCode="0.0"/>
      <alignment horizontal="left" vertical="bottom" textRotation="0" wrapText="0" indent="0" justifyLastLine="0" shrinkToFit="0" readingOrder="0"/>
    </dxf>
    <dxf>
      <numFmt numFmtId="166" formatCode="0.000E+00"/>
      <alignment horizontal="left" vertical="bottom" textRotation="0" wrapText="0" indent="0" justifyLastLine="0" shrinkToFit="0" readingOrder="0"/>
    </dxf>
    <dxf>
      <numFmt numFmtId="165" formatCode="0.0E+00"/>
      <alignment horizontal="left" vertical="bottom" textRotation="0" wrapText="0" indent="0" justifyLastLine="0" shrinkToFit="0" readingOrder="0"/>
    </dxf>
    <dxf>
      <numFmt numFmtId="165" formatCode="0.0E+00"/>
      <alignment horizontal="left" vertical="bottom" textRotation="0" wrapText="0" indent="0" justifyLastLine="0" shrinkToFit="0" readingOrder="0"/>
    </dxf>
    <dxf>
      <numFmt numFmtId="15" formatCode="0.00E+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Log(CopyNumber)</a:t>
            </a:r>
            <a:r>
              <a:rPr lang="en-US" baseline="0"/>
              <a:t> vs Cq for </a:t>
            </a:r>
            <a:r>
              <a:rPr lang="en-US" i="1" baseline="0"/>
              <a:t>micH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'210309_Quan.Result'!$AC$83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6557502187226596"/>
                  <c:y val="-0.105160032079323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'210309_Quan.Result'!$AB$84:$AB$89</c:f>
              <c:numCache>
                <c:formatCode>General</c:formatCode>
                <c:ptCount val="6"/>
                <c:pt idx="0">
                  <c:v>9.795880017344075</c:v>
                </c:pt>
                <c:pt idx="1">
                  <c:v>8.795880017344075</c:v>
                </c:pt>
                <c:pt idx="2">
                  <c:v>7.795880017344075</c:v>
                </c:pt>
                <c:pt idx="3">
                  <c:v>6.795880017344075</c:v>
                </c:pt>
                <c:pt idx="4">
                  <c:v>5.795880017344075</c:v>
                </c:pt>
                <c:pt idx="5">
                  <c:v>4.795880017344075</c:v>
                </c:pt>
              </c:numCache>
            </c:numRef>
          </c:xVal>
          <c:yVal>
            <c:numRef>
              <c:f>'210309_Quan.Result'!$AC$84:$AC$89</c:f>
              <c:numCache>
                <c:formatCode>General</c:formatCode>
                <c:ptCount val="6"/>
                <c:pt idx="0">
                  <c:v>12.85</c:v>
                </c:pt>
                <c:pt idx="1">
                  <c:v>17.23</c:v>
                </c:pt>
                <c:pt idx="2">
                  <c:v>21.73</c:v>
                </c:pt>
                <c:pt idx="3">
                  <c:v>26.72666666666667</c:v>
                </c:pt>
                <c:pt idx="4">
                  <c:v>31.709999999999997</c:v>
                </c:pt>
                <c:pt idx="5">
                  <c:v>35.499999999999993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DF-4604-A4AA-1B3B6E268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301504"/>
        <c:axId val="612305664"/>
      </c:scatterChart>
      <c:valAx>
        <c:axId val="61230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 (CopyNumber)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05664"/>
        <c:crosses val="autoZero"/>
        <c:crossBetween val="midCat"/>
      </c:valAx>
      <c:valAx>
        <c:axId val="61230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01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'210315_Quan. Result'!$U$1</c:f>
              <c:strCache>
                <c:ptCount val="1"/>
                <c:pt idx="0">
                  <c:v>Ct_mean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'210315_Quan. Result'!$T$2:$T$37</c:f>
              <c:strCache>
                <c:ptCount val="36"/>
                <c:pt idx="0">
                  <c:v>A01+A02</c:v>
                </c:pt>
                <c:pt idx="1">
                  <c:v>A03+A04</c:v>
                </c:pt>
                <c:pt idx="2">
                  <c:v>A05+A06</c:v>
                </c:pt>
                <c:pt idx="3">
                  <c:v>A07+A08</c:v>
                </c:pt>
                <c:pt idx="4">
                  <c:v>A09+A10</c:v>
                </c:pt>
                <c:pt idx="5">
                  <c:v>A11+A12</c:v>
                </c:pt>
                <c:pt idx="6">
                  <c:v>B01+B02</c:v>
                </c:pt>
                <c:pt idx="7">
                  <c:v>B03+B04</c:v>
                </c:pt>
                <c:pt idx="8">
                  <c:v>B05+B06</c:v>
                </c:pt>
                <c:pt idx="9">
                  <c:v>B07+B08</c:v>
                </c:pt>
                <c:pt idx="10">
                  <c:v>B09+B10</c:v>
                </c:pt>
                <c:pt idx="11">
                  <c:v>B11+B12</c:v>
                </c:pt>
                <c:pt idx="12">
                  <c:v>C01+C02</c:v>
                </c:pt>
                <c:pt idx="13">
                  <c:v>C03+C04</c:v>
                </c:pt>
                <c:pt idx="14">
                  <c:v>C05+C06</c:v>
                </c:pt>
                <c:pt idx="15">
                  <c:v>C07+C08</c:v>
                </c:pt>
                <c:pt idx="16">
                  <c:v>C09+C10</c:v>
                </c:pt>
                <c:pt idx="17">
                  <c:v>C11+C12</c:v>
                </c:pt>
                <c:pt idx="18">
                  <c:v>D01+D02</c:v>
                </c:pt>
                <c:pt idx="19">
                  <c:v>D03+D04</c:v>
                </c:pt>
                <c:pt idx="20">
                  <c:v>D05+D06</c:v>
                </c:pt>
                <c:pt idx="21">
                  <c:v>D07+D08</c:v>
                </c:pt>
                <c:pt idx="22">
                  <c:v>D09+D10</c:v>
                </c:pt>
                <c:pt idx="23">
                  <c:v>D11+D12</c:v>
                </c:pt>
                <c:pt idx="24">
                  <c:v>E01+E02</c:v>
                </c:pt>
                <c:pt idx="25">
                  <c:v>E03+E04</c:v>
                </c:pt>
                <c:pt idx="26">
                  <c:v>E05+E06</c:v>
                </c:pt>
                <c:pt idx="27">
                  <c:v>E07+E08</c:v>
                </c:pt>
                <c:pt idx="28">
                  <c:v>E09+E10</c:v>
                </c:pt>
                <c:pt idx="29">
                  <c:v>E11+E12</c:v>
                </c:pt>
                <c:pt idx="30">
                  <c:v>F01+F02</c:v>
                </c:pt>
                <c:pt idx="31">
                  <c:v>F03+F04</c:v>
                </c:pt>
                <c:pt idx="32">
                  <c:v>F05+F06</c:v>
                </c:pt>
                <c:pt idx="33">
                  <c:v>F07+F08</c:v>
                </c:pt>
                <c:pt idx="34">
                  <c:v>F09+F10</c:v>
                </c:pt>
                <c:pt idx="35">
                  <c:v>F11+F12</c:v>
                </c:pt>
              </c:strCache>
            </c:strRef>
          </c:cat>
          <c:val>
            <c:numRef>
              <c:f>'210315_Quan. Result'!$U$2:$U$37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32.72</c:v>
                </c:pt>
                <c:pt idx="3">
                  <c:v>29.89</c:v>
                </c:pt>
                <c:pt idx="4">
                  <c:v>29.825000000000003</c:v>
                </c:pt>
                <c:pt idx="5">
                  <c:v>29.82</c:v>
                </c:pt>
                <c:pt idx="6">
                  <c:v>0</c:v>
                </c:pt>
                <c:pt idx="7">
                  <c:v>37.32</c:v>
                </c:pt>
                <c:pt idx="8">
                  <c:v>29.005000000000003</c:v>
                </c:pt>
                <c:pt idx="9">
                  <c:v>26.965</c:v>
                </c:pt>
                <c:pt idx="10">
                  <c:v>26.299999999999997</c:v>
                </c:pt>
                <c:pt idx="11">
                  <c:v>24.439999999999998</c:v>
                </c:pt>
                <c:pt idx="12">
                  <c:v>36.31</c:v>
                </c:pt>
                <c:pt idx="13">
                  <c:v>31.25</c:v>
                </c:pt>
                <c:pt idx="14">
                  <c:v>25.21</c:v>
                </c:pt>
                <c:pt idx="15">
                  <c:v>24.255000000000003</c:v>
                </c:pt>
                <c:pt idx="16">
                  <c:v>22.62</c:v>
                </c:pt>
                <c:pt idx="17">
                  <c:v>22.634999999999998</c:v>
                </c:pt>
                <c:pt idx="18">
                  <c:v>31.67</c:v>
                </c:pt>
                <c:pt idx="19">
                  <c:v>27.634999999999998</c:v>
                </c:pt>
                <c:pt idx="20">
                  <c:v>23.055</c:v>
                </c:pt>
                <c:pt idx="21">
                  <c:v>21.270000000000003</c:v>
                </c:pt>
                <c:pt idx="22">
                  <c:v>21.189999999999998</c:v>
                </c:pt>
                <c:pt idx="23">
                  <c:v>20.9</c:v>
                </c:pt>
                <c:pt idx="24">
                  <c:v>32.795000000000002</c:v>
                </c:pt>
                <c:pt idx="25">
                  <c:v>26.204999999999998</c:v>
                </c:pt>
                <c:pt idx="26">
                  <c:v>21.93</c:v>
                </c:pt>
                <c:pt idx="27">
                  <c:v>22.020000000000003</c:v>
                </c:pt>
                <c:pt idx="28">
                  <c:v>20.225000000000001</c:v>
                </c:pt>
                <c:pt idx="29">
                  <c:v>20.58</c:v>
                </c:pt>
                <c:pt idx="30">
                  <c:v>33.4</c:v>
                </c:pt>
                <c:pt idx="31">
                  <c:v>24.355</c:v>
                </c:pt>
                <c:pt idx="32">
                  <c:v>22.274999999999999</c:v>
                </c:pt>
                <c:pt idx="33">
                  <c:v>19.079999999999998</c:v>
                </c:pt>
                <c:pt idx="34">
                  <c:v>19.009999999999998</c:v>
                </c:pt>
                <c:pt idx="35">
                  <c:v>18.810000000000002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91-420E-9B2C-5521F3649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3829599"/>
        <c:axId val="613839583"/>
      </c:barChart>
      <c:catAx>
        <c:axId val="61382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39583"/>
        <c:crosses val="autoZero"/>
        <c:auto val="1"/>
        <c:lblAlgn val="ctr"/>
        <c:lblOffset val="100"/>
        <c:noMultiLvlLbl val="0"/>
      </c:catAx>
      <c:valAx>
        <c:axId val="61383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29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Periodicity</a:t>
            </a:r>
            <a:r>
              <a:rPr lang="en-US" baseline="0"/>
              <a:t> in Increasing [Fwd] ([Rev] Held Constant)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'210315_Quan. Result'!$X$1</c:f>
              <c:strCache>
                <c:ptCount val="1"/>
                <c:pt idx="0">
                  <c:v>Ct_mean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'210315_Quan. Result'!$W$2:$W$37</c:f>
              <c:strCache>
                <c:ptCount val="36"/>
                <c:pt idx="0">
                  <c:v>50_50</c:v>
                </c:pt>
                <c:pt idx="1">
                  <c:v>100_50</c:v>
                </c:pt>
                <c:pt idx="2">
                  <c:v>200_50</c:v>
                </c:pt>
                <c:pt idx="3">
                  <c:v>400_50</c:v>
                </c:pt>
                <c:pt idx="4">
                  <c:v>600_50</c:v>
                </c:pt>
                <c:pt idx="5">
                  <c:v>800_50</c:v>
                </c:pt>
                <c:pt idx="6">
                  <c:v>50_100</c:v>
                </c:pt>
                <c:pt idx="7">
                  <c:v>100_100</c:v>
                </c:pt>
                <c:pt idx="8">
                  <c:v>200_100</c:v>
                </c:pt>
                <c:pt idx="9">
                  <c:v>400_100</c:v>
                </c:pt>
                <c:pt idx="10">
                  <c:v>600_100</c:v>
                </c:pt>
                <c:pt idx="11">
                  <c:v>800_100</c:v>
                </c:pt>
                <c:pt idx="12">
                  <c:v>50_200</c:v>
                </c:pt>
                <c:pt idx="13">
                  <c:v>100_200</c:v>
                </c:pt>
                <c:pt idx="14">
                  <c:v>200_200</c:v>
                </c:pt>
                <c:pt idx="15">
                  <c:v>400_200</c:v>
                </c:pt>
                <c:pt idx="16">
                  <c:v>600_200</c:v>
                </c:pt>
                <c:pt idx="17">
                  <c:v>800_200</c:v>
                </c:pt>
                <c:pt idx="18">
                  <c:v>50_400</c:v>
                </c:pt>
                <c:pt idx="19">
                  <c:v>100_400</c:v>
                </c:pt>
                <c:pt idx="20">
                  <c:v>200_400</c:v>
                </c:pt>
                <c:pt idx="21">
                  <c:v>400_400</c:v>
                </c:pt>
                <c:pt idx="22">
                  <c:v>600_600</c:v>
                </c:pt>
                <c:pt idx="23">
                  <c:v>800_600</c:v>
                </c:pt>
                <c:pt idx="24">
                  <c:v>50_600</c:v>
                </c:pt>
                <c:pt idx="25">
                  <c:v>100_600</c:v>
                </c:pt>
                <c:pt idx="26">
                  <c:v>200_600</c:v>
                </c:pt>
                <c:pt idx="27">
                  <c:v>400_600</c:v>
                </c:pt>
                <c:pt idx="28">
                  <c:v>600_600</c:v>
                </c:pt>
                <c:pt idx="29">
                  <c:v>800_600</c:v>
                </c:pt>
                <c:pt idx="30">
                  <c:v>50_800</c:v>
                </c:pt>
                <c:pt idx="31">
                  <c:v>100_800</c:v>
                </c:pt>
                <c:pt idx="32">
                  <c:v>200_800</c:v>
                </c:pt>
                <c:pt idx="33">
                  <c:v>400_800</c:v>
                </c:pt>
                <c:pt idx="34">
                  <c:v>600_800</c:v>
                </c:pt>
                <c:pt idx="35">
                  <c:v>800_800</c:v>
                </c:pt>
              </c:strCache>
            </c:strRef>
          </c:cat>
          <c:val>
            <c:numRef>
              <c:f>'210315_Quan. Result'!$X$2:$X$37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32.72</c:v>
                </c:pt>
                <c:pt idx="3">
                  <c:v>29.89</c:v>
                </c:pt>
                <c:pt idx="4">
                  <c:v>29.825000000000003</c:v>
                </c:pt>
                <c:pt idx="5">
                  <c:v>29.82</c:v>
                </c:pt>
                <c:pt idx="6">
                  <c:v>0</c:v>
                </c:pt>
                <c:pt idx="7">
                  <c:v>37.32</c:v>
                </c:pt>
                <c:pt idx="8">
                  <c:v>29.005000000000003</c:v>
                </c:pt>
                <c:pt idx="9">
                  <c:v>26.965</c:v>
                </c:pt>
                <c:pt idx="10">
                  <c:v>26.299999999999997</c:v>
                </c:pt>
                <c:pt idx="11">
                  <c:v>24.439999999999998</c:v>
                </c:pt>
                <c:pt idx="12">
                  <c:v>36.31</c:v>
                </c:pt>
                <c:pt idx="13">
                  <c:v>31.25</c:v>
                </c:pt>
                <c:pt idx="14">
                  <c:v>25.21</c:v>
                </c:pt>
                <c:pt idx="15">
                  <c:v>24.255000000000003</c:v>
                </c:pt>
                <c:pt idx="16">
                  <c:v>22.62</c:v>
                </c:pt>
                <c:pt idx="17">
                  <c:v>22.634999999999998</c:v>
                </c:pt>
                <c:pt idx="18">
                  <c:v>31.67</c:v>
                </c:pt>
                <c:pt idx="19">
                  <c:v>27.634999999999998</c:v>
                </c:pt>
                <c:pt idx="20">
                  <c:v>23.055</c:v>
                </c:pt>
                <c:pt idx="21">
                  <c:v>21.270000000000003</c:v>
                </c:pt>
                <c:pt idx="22">
                  <c:v>21.189999999999998</c:v>
                </c:pt>
                <c:pt idx="23">
                  <c:v>20.9</c:v>
                </c:pt>
                <c:pt idx="24">
                  <c:v>32.795000000000002</c:v>
                </c:pt>
                <c:pt idx="25">
                  <c:v>26.204999999999998</c:v>
                </c:pt>
                <c:pt idx="26">
                  <c:v>21.93</c:v>
                </c:pt>
                <c:pt idx="27">
                  <c:v>22.020000000000003</c:v>
                </c:pt>
                <c:pt idx="28">
                  <c:v>20.225000000000001</c:v>
                </c:pt>
                <c:pt idx="29">
                  <c:v>20.58</c:v>
                </c:pt>
                <c:pt idx="30">
                  <c:v>33.4</c:v>
                </c:pt>
                <c:pt idx="31">
                  <c:v>24.355</c:v>
                </c:pt>
                <c:pt idx="32">
                  <c:v>22.274999999999999</c:v>
                </c:pt>
                <c:pt idx="33">
                  <c:v>19.079999999999998</c:v>
                </c:pt>
                <c:pt idx="34">
                  <c:v>19.009999999999998</c:v>
                </c:pt>
                <c:pt idx="35">
                  <c:v>18.810000000000002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4C-44C8-A140-E8103BE80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6986543"/>
        <c:axId val="296998191"/>
      </c:barChart>
      <c:catAx>
        <c:axId val="29698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98191"/>
        <c:crosses val="autoZero"/>
        <c:auto val="1"/>
        <c:lblAlgn val="ctr"/>
        <c:lblOffset val="100"/>
        <c:noMultiLvlLbl val="0"/>
      </c:catAx>
      <c:valAx>
        <c:axId val="29699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86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Periodicity in Increasing [Rev] ([Fwd] Held Constant)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'210315_Quan. Result'!$AH$1</c:f>
              <c:strCache>
                <c:ptCount val="1"/>
                <c:pt idx="0">
                  <c:v>Ct_mean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'210315_Quan. Result'!$AG$2:$AG$37</c:f>
              <c:strCache>
                <c:ptCount val="36"/>
                <c:pt idx="0">
                  <c:v>50_50</c:v>
                </c:pt>
                <c:pt idx="1">
                  <c:v>50_100</c:v>
                </c:pt>
                <c:pt idx="2">
                  <c:v>50_200</c:v>
                </c:pt>
                <c:pt idx="3">
                  <c:v>50_400</c:v>
                </c:pt>
                <c:pt idx="4">
                  <c:v>50_600</c:v>
                </c:pt>
                <c:pt idx="5">
                  <c:v>50_800</c:v>
                </c:pt>
                <c:pt idx="6">
                  <c:v>100_50</c:v>
                </c:pt>
                <c:pt idx="7">
                  <c:v>100_100</c:v>
                </c:pt>
                <c:pt idx="8">
                  <c:v>100_200</c:v>
                </c:pt>
                <c:pt idx="9">
                  <c:v>100_400</c:v>
                </c:pt>
                <c:pt idx="10">
                  <c:v>100_600</c:v>
                </c:pt>
                <c:pt idx="11">
                  <c:v>100_800</c:v>
                </c:pt>
                <c:pt idx="12">
                  <c:v>200_50</c:v>
                </c:pt>
                <c:pt idx="13">
                  <c:v>200_100</c:v>
                </c:pt>
                <c:pt idx="14">
                  <c:v>200_200</c:v>
                </c:pt>
                <c:pt idx="15">
                  <c:v>200_400</c:v>
                </c:pt>
                <c:pt idx="16">
                  <c:v>200_600</c:v>
                </c:pt>
                <c:pt idx="17">
                  <c:v>200_800</c:v>
                </c:pt>
                <c:pt idx="18">
                  <c:v>400_50</c:v>
                </c:pt>
                <c:pt idx="19">
                  <c:v>400_100</c:v>
                </c:pt>
                <c:pt idx="20">
                  <c:v>400_200</c:v>
                </c:pt>
                <c:pt idx="21">
                  <c:v>400_400</c:v>
                </c:pt>
                <c:pt idx="22">
                  <c:v>400_600</c:v>
                </c:pt>
                <c:pt idx="23">
                  <c:v>400_800</c:v>
                </c:pt>
                <c:pt idx="24">
                  <c:v>600_50</c:v>
                </c:pt>
                <c:pt idx="25">
                  <c:v>600_100</c:v>
                </c:pt>
                <c:pt idx="26">
                  <c:v>600_200</c:v>
                </c:pt>
                <c:pt idx="27">
                  <c:v>600_400</c:v>
                </c:pt>
                <c:pt idx="28">
                  <c:v>600_600</c:v>
                </c:pt>
                <c:pt idx="29">
                  <c:v>600_800</c:v>
                </c:pt>
                <c:pt idx="30">
                  <c:v>800_50</c:v>
                </c:pt>
                <c:pt idx="31">
                  <c:v>800_100</c:v>
                </c:pt>
                <c:pt idx="32">
                  <c:v>800_200</c:v>
                </c:pt>
                <c:pt idx="33">
                  <c:v>800_400</c:v>
                </c:pt>
                <c:pt idx="34">
                  <c:v>800_600</c:v>
                </c:pt>
                <c:pt idx="35">
                  <c:v>800_800</c:v>
                </c:pt>
              </c:strCache>
            </c:strRef>
          </c:cat>
          <c:val>
            <c:numRef>
              <c:f>'210315_Quan. Result'!$AH$2:$AH$37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36.31</c:v>
                </c:pt>
                <c:pt idx="3">
                  <c:v>31.67</c:v>
                </c:pt>
                <c:pt idx="4">
                  <c:v>32.795000000000002</c:v>
                </c:pt>
                <c:pt idx="5">
                  <c:v>33.4</c:v>
                </c:pt>
                <c:pt idx="6">
                  <c:v>0</c:v>
                </c:pt>
                <c:pt idx="7">
                  <c:v>37.32</c:v>
                </c:pt>
                <c:pt idx="8">
                  <c:v>31.25</c:v>
                </c:pt>
                <c:pt idx="9">
                  <c:v>27.634999999999998</c:v>
                </c:pt>
                <c:pt idx="10">
                  <c:v>26.204999999999998</c:v>
                </c:pt>
                <c:pt idx="11">
                  <c:v>24.355</c:v>
                </c:pt>
                <c:pt idx="12">
                  <c:v>32.72</c:v>
                </c:pt>
                <c:pt idx="13">
                  <c:v>29.005000000000003</c:v>
                </c:pt>
                <c:pt idx="14">
                  <c:v>25.21</c:v>
                </c:pt>
                <c:pt idx="15">
                  <c:v>23.055</c:v>
                </c:pt>
                <c:pt idx="16">
                  <c:v>21.93</c:v>
                </c:pt>
                <c:pt idx="17">
                  <c:v>22.274999999999999</c:v>
                </c:pt>
                <c:pt idx="18">
                  <c:v>29.89</c:v>
                </c:pt>
                <c:pt idx="19">
                  <c:v>26.965</c:v>
                </c:pt>
                <c:pt idx="20">
                  <c:v>24.255000000000003</c:v>
                </c:pt>
                <c:pt idx="21">
                  <c:v>21.270000000000003</c:v>
                </c:pt>
                <c:pt idx="22">
                  <c:v>22.020000000000003</c:v>
                </c:pt>
                <c:pt idx="23">
                  <c:v>19.079999999999998</c:v>
                </c:pt>
                <c:pt idx="24">
                  <c:v>29.825000000000003</c:v>
                </c:pt>
                <c:pt idx="25">
                  <c:v>26.299999999999997</c:v>
                </c:pt>
                <c:pt idx="26">
                  <c:v>22.62</c:v>
                </c:pt>
                <c:pt idx="27">
                  <c:v>21.189999999999998</c:v>
                </c:pt>
                <c:pt idx="28">
                  <c:v>20.225000000000001</c:v>
                </c:pt>
                <c:pt idx="29">
                  <c:v>19.009999999999998</c:v>
                </c:pt>
                <c:pt idx="30">
                  <c:v>29.82</c:v>
                </c:pt>
                <c:pt idx="31">
                  <c:v>24.439999999999998</c:v>
                </c:pt>
                <c:pt idx="32">
                  <c:v>22.634999999999998</c:v>
                </c:pt>
                <c:pt idx="33">
                  <c:v>20.9</c:v>
                </c:pt>
                <c:pt idx="34">
                  <c:v>20.58</c:v>
                </c:pt>
                <c:pt idx="35">
                  <c:v>18.810000000000002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2-4B59-A79E-B644B02E3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7006927"/>
        <c:axId val="296992367"/>
      </c:barChart>
      <c:catAx>
        <c:axId val="29700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92367"/>
        <c:crosses val="autoZero"/>
        <c:auto val="1"/>
        <c:lblAlgn val="ctr"/>
        <c:lblOffset val="100"/>
        <c:noMultiLvlLbl val="0"/>
      </c:catAx>
      <c:valAx>
        <c:axId val="29699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006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Cqs from Six Runs when F, R Held Constant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'210315_Quan. Result'!$V$79:$V$84</c:f>
              <c:numCache>
                <c:formatCode>General</c:formatCode>
                <c:ptCount val="6"/>
                <c:pt idx="0">
                  <c:v>50</c:v>
                </c:pt>
                <c:pt idx="1">
                  <c:v>100</c:v>
                </c:pt>
                <c:pt idx="2">
                  <c:v>200</c:v>
                </c:pt>
                <c:pt idx="3">
                  <c:v>400</c:v>
                </c:pt>
                <c:pt idx="4">
                  <c:v>600</c:v>
                </c:pt>
                <c:pt idx="5">
                  <c:v>800</c:v>
                </c:pt>
              </c:numCache>
            </c:numRef>
          </c:xVal>
          <c:yVal>
            <c:numRef>
              <c:f>'210315_Quan. Result'!$W$79:$W$84</c:f>
              <c:numCache>
                <c:formatCode>0.00</c:formatCode>
                <c:ptCount val="6"/>
                <c:pt idx="0">
                  <c:v>30.563749999999999</c:v>
                </c:pt>
                <c:pt idx="1">
                  <c:v>28.806000000000001</c:v>
                </c:pt>
                <c:pt idx="2">
                  <c:v>27.046666666666667</c:v>
                </c:pt>
                <c:pt idx="3">
                  <c:v>24.286666666666665</c:v>
                </c:pt>
                <c:pt idx="4">
                  <c:v>23.959166666666665</c:v>
                </c:pt>
                <c:pt idx="5">
                  <c:v>22.821666666666669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24DE-4C99-A3DA-1E11CC5A401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'210315_Quan. Result'!$V$79:$V$84</c:f>
              <c:numCache>
                <c:formatCode>General</c:formatCode>
                <c:ptCount val="6"/>
                <c:pt idx="0">
                  <c:v>50</c:v>
                </c:pt>
                <c:pt idx="1">
                  <c:v>100</c:v>
                </c:pt>
                <c:pt idx="2">
                  <c:v>200</c:v>
                </c:pt>
                <c:pt idx="3">
                  <c:v>400</c:v>
                </c:pt>
                <c:pt idx="4">
                  <c:v>600</c:v>
                </c:pt>
                <c:pt idx="5">
                  <c:v>800</c:v>
                </c:pt>
              </c:numCache>
            </c:numRef>
          </c:xVal>
          <c:yVal>
            <c:numRef>
              <c:f>'210315_Quan. Result'!$AA$79:$AA$84</c:f>
              <c:numCache>
                <c:formatCode>0.00</c:formatCode>
                <c:ptCount val="6"/>
                <c:pt idx="0">
                  <c:v>33.543750000000003</c:v>
                </c:pt>
                <c:pt idx="1">
                  <c:v>29.352999999999998</c:v>
                </c:pt>
                <c:pt idx="2">
                  <c:v>25.69916666666667</c:v>
                </c:pt>
                <c:pt idx="3">
                  <c:v>23.913333333333338</c:v>
                </c:pt>
                <c:pt idx="4">
                  <c:v>23.194999999999997</c:v>
                </c:pt>
                <c:pt idx="5">
                  <c:v>22.864166666666666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4DE-4C99-A3DA-1E11CC5A4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018015"/>
        <c:axId val="609015935"/>
      </c:scatterChart>
      <c:valAx>
        <c:axId val="609018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15935"/>
        <c:crosses val="autoZero"/>
        <c:crossBetween val="midCat"/>
      </c:valAx>
      <c:valAx>
        <c:axId val="609015935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18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7" Type="http://schemas.openxmlformats.org/officeDocument/2006/relationships/image" Target="../media/image16.pn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6" Type="http://schemas.openxmlformats.org/officeDocument/2006/relationships/image" Target="../media/image15.jpg"/><Relationship Id="rId5" Type="http://schemas.openxmlformats.org/officeDocument/2006/relationships/chart" Target="../charts/chart1.xml"/><Relationship Id="rId4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2" Type="http://schemas.openxmlformats.org/officeDocument/2006/relationships/image" Target="../media/image19.jpg"/><Relationship Id="rId1" Type="http://schemas.openxmlformats.org/officeDocument/2006/relationships/image" Target="../media/image18.jp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10" Type="http://schemas.openxmlformats.org/officeDocument/2006/relationships/image" Target="../media/image22.png"/><Relationship Id="rId4" Type="http://schemas.openxmlformats.org/officeDocument/2006/relationships/image" Target="../media/image3.jpeg"/><Relationship Id="rId9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</xdr:row>
      <xdr:rowOff>0</xdr:rowOff>
    </xdr:from>
    <xdr:to>
      <xdr:col>12</xdr:col>
      <xdr:colOff>502657</xdr:colOff>
      <xdr:row>33</xdr:row>
      <xdr:rowOff>38424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6DC4FA-BB7B-4ECB-8FE1-429D90EE7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4000500"/>
          <a:ext cx="7211431" cy="23244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9</xdr:col>
      <xdr:colOff>311875</xdr:colOff>
      <xdr:row>45</xdr:row>
      <xdr:rowOff>38318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994A78-E666-4E40-9492-A897611E5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7048500"/>
          <a:ext cx="5191850" cy="1562318"/>
        </a:xfrm>
        <a:prstGeom prst="rect">
          <a:avLst/>
        </a:prstGeom>
      </xdr:spPr>
    </xdr:pic>
    <xdr:clientData/>
  </xdr:twoCellAnchor>
  <xdr:twoCellAnchor editAs="oneCell">
    <xdr:from>
      <xdr:col>15</xdr:col>
      <xdr:colOff>390525</xdr:colOff>
      <xdr:row>21</xdr:row>
      <xdr:rowOff>123825</xdr:rowOff>
    </xdr:from>
    <xdr:to>
      <xdr:col>23</xdr:col>
      <xdr:colOff>143248</xdr:colOff>
      <xdr:row>32</xdr:row>
      <xdr:rowOff>139700</xdr:rowOff>
    </xdr:to>
    <xdr:pic>
      <xdr:nvPicPr>
        <xdr:cNvPr id="4" name="Picture 3" descr="Schematic Representation of the Primer Optimization Plate Layout.">
          <a:extLst>
            <a:ext uri="{FF2B5EF4-FFF2-40B4-BE49-F238E27FC236}">
              <a16:creationId xmlns:a16="http://schemas.microsoft.com/office/drawing/2014/main" id="{F76B1150-6820-49C3-A06B-72E13E9CF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4124325"/>
          <a:ext cx="4626348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47625</xdr:colOff>
      <xdr:row>74</xdr:row>
      <xdr:rowOff>6350</xdr:rowOff>
    </xdr:from>
    <xdr:to>
      <xdr:col>13</xdr:col>
      <xdr:colOff>101948</xdr:colOff>
      <xdr:row>87</xdr:row>
      <xdr:rowOff>143003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F664BD-3560-44DE-89ED-EF97D3B46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3025" y="13217525"/>
          <a:ext cx="6763098" cy="248615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118</xdr:row>
      <xdr:rowOff>81643</xdr:rowOff>
    </xdr:from>
    <xdr:to>
      <xdr:col>24</xdr:col>
      <xdr:colOff>451757</xdr:colOff>
      <xdr:row>142</xdr:row>
      <xdr:rowOff>148318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577E42-262D-43E4-80C6-0A4A90585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7107" y="22560643"/>
          <a:ext cx="6574971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81643</xdr:colOff>
      <xdr:row>119</xdr:row>
      <xdr:rowOff>122463</xdr:rowOff>
    </xdr:from>
    <xdr:to>
      <xdr:col>12</xdr:col>
      <xdr:colOff>81643</xdr:colOff>
      <xdr:row>141</xdr:row>
      <xdr:rowOff>17688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8C206C-63E9-4837-9709-C1A2530CA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2" y="22791963"/>
          <a:ext cx="6735535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13608</xdr:colOff>
      <xdr:row>118</xdr:row>
      <xdr:rowOff>0</xdr:rowOff>
    </xdr:from>
    <xdr:to>
      <xdr:col>50</xdr:col>
      <xdr:colOff>598125</xdr:colOff>
      <xdr:row>143</xdr:row>
      <xdr:rowOff>114981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139B16-8402-4835-B07A-3518715BB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328572" y="22479000"/>
          <a:ext cx="15280232" cy="487748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147</xdr:row>
      <xdr:rowOff>0</xdr:rowOff>
    </xdr:from>
    <xdr:to>
      <xdr:col>51</xdr:col>
      <xdr:colOff>277039</xdr:colOff>
      <xdr:row>174</xdr:row>
      <xdr:rowOff>86455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FF8220-92C8-47CE-BF4D-7844531F9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314964" y="28003500"/>
          <a:ext cx="15585075" cy="5229955"/>
        </a:xfrm>
        <a:prstGeom prst="rect">
          <a:avLst/>
        </a:prstGeom>
      </xdr:spPr>
    </xdr:pic>
    <xdr:clientData/>
  </xdr:twoCellAnchor>
  <xdr:twoCellAnchor editAs="oneCell">
    <xdr:from>
      <xdr:col>52</xdr:col>
      <xdr:colOff>27216</xdr:colOff>
      <xdr:row>123</xdr:row>
      <xdr:rowOff>27213</xdr:rowOff>
    </xdr:from>
    <xdr:to>
      <xdr:col>77</xdr:col>
      <xdr:colOff>37518</xdr:colOff>
      <xdr:row>141</xdr:row>
      <xdr:rowOff>161060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308CFD-63F9-43E1-8645-FB50E3540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262537" y="23458713"/>
          <a:ext cx="15318338" cy="3562847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147</xdr:row>
      <xdr:rowOff>0</xdr:rowOff>
    </xdr:from>
    <xdr:to>
      <xdr:col>72</xdr:col>
      <xdr:colOff>214010</xdr:colOff>
      <xdr:row>156</xdr:row>
      <xdr:rowOff>9766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AEDBE-B82F-42A6-AE1D-CA42BAB1F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235321" y="28003500"/>
          <a:ext cx="12460439" cy="17242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262538</xdr:colOff>
      <xdr:row>8</xdr:row>
      <xdr:rowOff>42155</xdr:rowOff>
    </xdr:from>
    <xdr:to>
      <xdr:col>27</xdr:col>
      <xdr:colOff>605811</xdr:colOff>
      <xdr:row>19</xdr:row>
      <xdr:rowOff>70730</xdr:rowOff>
    </xdr:to>
    <xdr:pic>
      <xdr:nvPicPr>
        <xdr:cNvPr id="2" name="Picture 1" descr="Schematic Representation of the Primer Optimization Plate Layout.">
          <a:extLst>
            <a:ext uri="{FF2B5EF4-FFF2-40B4-BE49-F238E27FC236}">
              <a16:creationId xmlns:a16="http://schemas.microsoft.com/office/drawing/2014/main" id="{E6AB91BE-3C5D-48EC-B0C0-514020B22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4613" y="1566155"/>
          <a:ext cx="4607298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467591</xdr:colOff>
      <xdr:row>2</xdr:row>
      <xdr:rowOff>17318</xdr:rowOff>
    </xdr:from>
    <xdr:to>
      <xdr:col>25</xdr:col>
      <xdr:colOff>507058</xdr:colOff>
      <xdr:row>36</xdr:row>
      <xdr:rowOff>16494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A3DB73-137B-45DB-A122-97EE34CEA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22818" y="363682"/>
          <a:ext cx="9737649" cy="59566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567104</xdr:colOff>
      <xdr:row>37</xdr:row>
      <xdr:rowOff>22713</xdr:rowOff>
    </xdr:from>
    <xdr:to>
      <xdr:col>45</xdr:col>
      <xdr:colOff>408354</xdr:colOff>
      <xdr:row>57</xdr:row>
      <xdr:rowOff>101956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146EE7-A46E-4196-AEEE-86974BCD6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74304" y="7071213"/>
          <a:ext cx="7772400" cy="3889243"/>
        </a:xfrm>
        <a:prstGeom prst="rect">
          <a:avLst/>
        </a:prstGeom>
      </xdr:spPr>
    </xdr:pic>
    <xdr:clientData/>
  </xdr:twoCellAnchor>
  <xdr:twoCellAnchor editAs="oneCell">
    <xdr:from>
      <xdr:col>18</xdr:col>
      <xdr:colOff>761002</xdr:colOff>
      <xdr:row>2</xdr:row>
      <xdr:rowOff>43951</xdr:rowOff>
    </xdr:from>
    <xdr:to>
      <xdr:col>29</xdr:col>
      <xdr:colOff>315207</xdr:colOff>
      <xdr:row>22</xdr:row>
      <xdr:rowOff>114059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11CF98-7393-41ED-9CE5-46537BFEC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93437" y="424951"/>
          <a:ext cx="7787118" cy="3880108"/>
        </a:xfrm>
        <a:prstGeom prst="rect">
          <a:avLst/>
        </a:prstGeom>
      </xdr:spPr>
    </xdr:pic>
    <xdr:clientData/>
  </xdr:twoCellAnchor>
  <xdr:twoCellAnchor editAs="oneCell">
    <xdr:from>
      <xdr:col>33</xdr:col>
      <xdr:colOff>18646</xdr:colOff>
      <xdr:row>58</xdr:row>
      <xdr:rowOff>148333</xdr:rowOff>
    </xdr:from>
    <xdr:to>
      <xdr:col>45</xdr:col>
      <xdr:colOff>474380</xdr:colOff>
      <xdr:row>79</xdr:row>
      <xdr:rowOff>27941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D2152E2-5136-4BCA-BBD3-64EDE1672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096" y="11197333"/>
          <a:ext cx="7770934" cy="3880108"/>
        </a:xfrm>
        <a:prstGeom prst="rect">
          <a:avLst/>
        </a:prstGeom>
      </xdr:spPr>
    </xdr:pic>
    <xdr:clientData/>
  </xdr:twoCellAnchor>
  <xdr:twoCellAnchor editAs="oneCell">
    <xdr:from>
      <xdr:col>30</xdr:col>
      <xdr:colOff>112834</xdr:colOff>
      <xdr:row>8</xdr:row>
      <xdr:rowOff>132618</xdr:rowOff>
    </xdr:from>
    <xdr:to>
      <xdr:col>37</xdr:col>
      <xdr:colOff>488590</xdr:colOff>
      <xdr:row>19</xdr:row>
      <xdr:rowOff>151668</xdr:rowOff>
    </xdr:to>
    <xdr:pic>
      <xdr:nvPicPr>
        <xdr:cNvPr id="8" name="Picture 7" descr="Schematic Representation of the Primer Optimization Plate Layout.">
          <a:extLst>
            <a:ext uri="{FF2B5EF4-FFF2-40B4-BE49-F238E27FC236}">
              <a16:creationId xmlns:a16="http://schemas.microsoft.com/office/drawing/2014/main" id="{C59BA1F3-15EF-49A4-B4ED-51A398D6C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00834" y="1656618"/>
          <a:ext cx="4636606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528637</xdr:colOff>
      <xdr:row>65</xdr:row>
      <xdr:rowOff>152400</xdr:rowOff>
    </xdr:from>
    <xdr:to>
      <xdr:col>30</xdr:col>
      <xdr:colOff>557212</xdr:colOff>
      <xdr:row>80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C90A8AA-9C6A-4D42-AFFB-04092F280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9525</xdr:colOff>
      <xdr:row>102</xdr:row>
      <xdr:rowOff>9525</xdr:rowOff>
    </xdr:from>
    <xdr:to>
      <xdr:col>36</xdr:col>
      <xdr:colOff>95784</xdr:colOff>
      <xdr:row>123</xdr:row>
      <xdr:rowOff>85725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C1C8215-5845-40BB-8FD9-C1163485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3350" y="19440525"/>
          <a:ext cx="7677684" cy="4076700"/>
        </a:xfrm>
        <a:prstGeom prst="rect">
          <a:avLst/>
        </a:prstGeom>
      </xdr:spPr>
    </xdr:pic>
    <xdr:clientData/>
  </xdr:twoCellAnchor>
  <xdr:twoCellAnchor editAs="oneCell">
    <xdr:from>
      <xdr:col>23</xdr:col>
      <xdr:colOff>493800</xdr:colOff>
      <xdr:row>127</xdr:row>
      <xdr:rowOff>76200</xdr:rowOff>
    </xdr:from>
    <xdr:to>
      <xdr:col>36</xdr:col>
      <xdr:colOff>592267</xdr:colOff>
      <xdr:row>159</xdr:row>
      <xdr:rowOff>115550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D10B1E9-3B90-4279-B5B6-4598684C9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8025" y="24269700"/>
          <a:ext cx="8432842" cy="61353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9</xdr:row>
      <xdr:rowOff>0</xdr:rowOff>
    </xdr:from>
    <xdr:to>
      <xdr:col>21</xdr:col>
      <xdr:colOff>457200</xdr:colOff>
      <xdr:row>34</xdr:row>
      <xdr:rowOff>72037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1E795F-46BB-43C9-8760-D77015508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457325"/>
          <a:ext cx="7772400" cy="41201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120650</xdr:colOff>
      <xdr:row>58</xdr:row>
      <xdr:rowOff>38100</xdr:rowOff>
    </xdr:from>
    <xdr:to>
      <xdr:col>43</xdr:col>
      <xdr:colOff>245836</xdr:colOff>
      <xdr:row>82</xdr:row>
      <xdr:rowOff>134262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015C87-78FC-4570-AF49-E6FC1AC1C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08650" y="9429750"/>
          <a:ext cx="7772400" cy="4077612"/>
        </a:xfrm>
        <a:prstGeom prst="rect">
          <a:avLst/>
        </a:prstGeom>
      </xdr:spPr>
    </xdr:pic>
    <xdr:clientData/>
  </xdr:twoCellAnchor>
  <xdr:twoCellAnchor editAs="oneCell">
    <xdr:from>
      <xdr:col>36</xdr:col>
      <xdr:colOff>74359</xdr:colOff>
      <xdr:row>84</xdr:row>
      <xdr:rowOff>132632</xdr:rowOff>
    </xdr:from>
    <xdr:to>
      <xdr:col>48</xdr:col>
      <xdr:colOff>530252</xdr:colOff>
      <xdr:row>111</xdr:row>
      <xdr:rowOff>55415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69F407-D5DB-4F6B-A3F4-C61FEDBB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3477" y="13422808"/>
          <a:ext cx="7717305" cy="4155432"/>
        </a:xfrm>
        <a:prstGeom prst="rect">
          <a:avLst/>
        </a:prstGeom>
      </xdr:spPr>
    </xdr:pic>
    <xdr:clientData/>
  </xdr:twoCellAnchor>
  <xdr:twoCellAnchor>
    <xdr:from>
      <xdr:col>18</xdr:col>
      <xdr:colOff>312736</xdr:colOff>
      <xdr:row>38</xdr:row>
      <xdr:rowOff>146049</xdr:rowOff>
    </xdr:from>
    <xdr:to>
      <xdr:col>30</xdr:col>
      <xdr:colOff>393699</xdr:colOff>
      <xdr:row>60</xdr:row>
      <xdr:rowOff>19049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5561B5E-F9DC-418C-98BD-DE7291008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425952</xdr:colOff>
      <xdr:row>98</xdr:row>
      <xdr:rowOff>120248</xdr:rowOff>
    </xdr:from>
    <xdr:to>
      <xdr:col>19</xdr:col>
      <xdr:colOff>164520</xdr:colOff>
      <xdr:row>111</xdr:row>
      <xdr:rowOff>24155</xdr:rowOff>
    </xdr:to>
    <xdr:pic>
      <xdr:nvPicPr>
        <xdr:cNvPr id="9" name="Picture 8" descr="Schematic Representation of the Primer Optimization Plate Layout.">
          <a:extLst>
            <a:ext uri="{FF2B5EF4-FFF2-40B4-BE49-F238E27FC236}">
              <a16:creationId xmlns:a16="http://schemas.microsoft.com/office/drawing/2014/main" id="{38BA13FB-A63A-4CE0-8FDB-1F755E15E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8665" y="16453552"/>
          <a:ext cx="4562359" cy="20573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554036</xdr:colOff>
      <xdr:row>38</xdr:row>
      <xdr:rowOff>95250</xdr:rowOff>
    </xdr:from>
    <xdr:to>
      <xdr:col>31</xdr:col>
      <xdr:colOff>266699</xdr:colOff>
      <xdr:row>61</xdr:row>
      <xdr:rowOff>82550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908EE9A-C465-4B61-A011-04451E016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381001</xdr:colOff>
      <xdr:row>38</xdr:row>
      <xdr:rowOff>107578</xdr:rowOff>
    </xdr:from>
    <xdr:to>
      <xdr:col>43</xdr:col>
      <xdr:colOff>156883</xdr:colOff>
      <xdr:row>61</xdr:row>
      <xdr:rowOff>89647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0113860-7A43-431D-9533-14BA05B17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437774</xdr:colOff>
      <xdr:row>85</xdr:row>
      <xdr:rowOff>9419</xdr:rowOff>
    </xdr:from>
    <xdr:to>
      <xdr:col>31</xdr:col>
      <xdr:colOff>67741</xdr:colOff>
      <xdr:row>103</xdr:row>
      <xdr:rowOff>23425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B01B7C6-2C53-4E37-8C26-8C7F54EBD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590736</xdr:colOff>
      <xdr:row>151</xdr:row>
      <xdr:rowOff>3175</xdr:rowOff>
    </xdr:from>
    <xdr:to>
      <xdr:col>22</xdr:col>
      <xdr:colOff>436355</xdr:colOff>
      <xdr:row>198</xdr:row>
      <xdr:rowOff>38013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A75C5D6-122E-4B8E-9B51-C765903B1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52148" y="23804469"/>
          <a:ext cx="5884095" cy="7408309"/>
        </a:xfrm>
        <a:prstGeom prst="rect">
          <a:avLst/>
        </a:prstGeom>
      </xdr:spPr>
    </xdr:pic>
    <xdr:clientData/>
  </xdr:twoCellAnchor>
  <xdr:twoCellAnchor>
    <xdr:from>
      <xdr:col>14</xdr:col>
      <xdr:colOff>448235</xdr:colOff>
      <xdr:row>165</xdr:row>
      <xdr:rowOff>33618</xdr:rowOff>
    </xdr:from>
    <xdr:to>
      <xdr:col>22</xdr:col>
      <xdr:colOff>291353</xdr:colOff>
      <xdr:row>171</xdr:row>
      <xdr:rowOff>33617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8C1A7B81-E5F9-432C-9DAB-4E8FE3345B33}"/>
            </a:ext>
          </a:extLst>
        </xdr:cNvPr>
        <xdr:cNvCxnSpPr/>
      </xdr:nvCxnSpPr>
      <xdr:spPr>
        <a:xfrm>
          <a:off x="8606117" y="26087294"/>
          <a:ext cx="4504765" cy="94129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432973</xdr:colOff>
      <xdr:row>168</xdr:row>
      <xdr:rowOff>1013</xdr:rowOff>
    </xdr:from>
    <xdr:to>
      <xdr:col>37</xdr:col>
      <xdr:colOff>475676</xdr:colOff>
      <xdr:row>209</xdr:row>
      <xdr:rowOff>116546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402FD5-796B-4537-BDD5-6C284D6F9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11914" y="27776660"/>
          <a:ext cx="5645644" cy="6854004"/>
        </a:xfrm>
        <a:prstGeom prst="rect">
          <a:avLst/>
        </a:prstGeom>
      </xdr:spPr>
    </xdr:pic>
    <xdr:clientData/>
  </xdr:twoCellAnchor>
  <xdr:twoCellAnchor>
    <xdr:from>
      <xdr:col>30</xdr:col>
      <xdr:colOff>97117</xdr:colOff>
      <xdr:row>178</xdr:row>
      <xdr:rowOff>70437</xdr:rowOff>
    </xdr:from>
    <xdr:to>
      <xdr:col>37</xdr:col>
      <xdr:colOff>303092</xdr:colOff>
      <xdr:row>184</xdr:row>
      <xdr:rowOff>70437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CF9A7FAF-527E-4DF7-A3FD-5558D36501CE}"/>
            </a:ext>
          </a:extLst>
        </xdr:cNvPr>
        <xdr:cNvCxnSpPr/>
      </xdr:nvCxnSpPr>
      <xdr:spPr>
        <a:xfrm>
          <a:off x="17731974" y="29271366"/>
          <a:ext cx="4487689" cy="9797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201</xdr:row>
      <xdr:rowOff>0</xdr:rowOff>
    </xdr:from>
    <xdr:to>
      <xdr:col>20</xdr:col>
      <xdr:colOff>336594</xdr:colOff>
      <xdr:row>219</xdr:row>
      <xdr:rowOff>43708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F36A0-67A7-4D0C-966B-6369C262D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54636" y="32685182"/>
          <a:ext cx="4458322" cy="29531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5</xdr:row>
      <xdr:rowOff>171450</xdr:rowOff>
    </xdr:from>
    <xdr:to>
      <xdr:col>8</xdr:col>
      <xdr:colOff>206748</xdr:colOff>
      <xdr:row>17</xdr:row>
      <xdr:rowOff>0</xdr:rowOff>
    </xdr:to>
    <xdr:pic>
      <xdr:nvPicPr>
        <xdr:cNvPr id="2" name="Picture 1" descr="Schematic Representation of the Primer Optimization Plate Layout.">
          <a:extLst>
            <a:ext uri="{FF2B5EF4-FFF2-40B4-BE49-F238E27FC236}">
              <a16:creationId xmlns:a16="http://schemas.microsoft.com/office/drawing/2014/main" id="{7BA817B9-72F6-43E9-9298-EB0466041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123950"/>
          <a:ext cx="4626348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752B49-3A54-41A9-9572-83CAE5C27611}" name="Table1" displayName="Table1" ref="R78:W94" totalsRowShown="0" headerRowDxfId="12" dataDxfId="11">
  <autoFilter ref="R78:W94" xr:uid="{F4461119-A470-446E-98A3-8D167FCE451A}"/>
  <tableColumns count="6">
    <tableColumn id="1" xr3:uid="{7141210B-7FE4-4617-92B2-74D90D8736AE}" name="Tube" dataDxfId="10"/>
    <tableColumn id="2" xr3:uid="{EEC9AE5E-1293-490A-A7B1-44CBE0B18C34}" name="Conc (uM)" dataDxfId="9">
      <calculatedColumnFormula>S78/10</calculatedColumnFormula>
    </tableColumn>
    <tableColumn id="6" xr3:uid="{E3D0187A-A0D5-47D1-B22D-306629E73DA7}" name="Conc (pM)" dataDxfId="8">
      <calculatedColumnFormula>1000000*Table1[[#This Row],[Conc (uM)]]</calculatedColumnFormula>
    </tableColumn>
    <tableColumn id="3" xr3:uid="{D2754477-4329-4EE9-AD40-5C925212FF7D}" name="Copy Number" dataDxfId="7">
      <calculatedColumnFormula>U78/10</calculatedColumnFormula>
    </tableColumn>
    <tableColumn id="4" xr3:uid="{195A7924-9715-42CB-9A42-27F5F51D1EE5}" name="AVG Cq" dataDxfId="6"/>
    <tableColumn id="5" xr3:uid="{A549E7CD-A972-4D96-A4E9-ED89913D623E}" name="STDEV" dataDxfId="5" dataCellStyle="Normal 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320F04-427C-4741-AAEB-1C3458A40851}" name="Table2" displayName="Table2" ref="V29:X34" totalsRowShown="0" headerRowDxfId="4" dataDxfId="3">
  <autoFilter ref="V29:X34" xr:uid="{CA5092D7-F257-48FB-97F4-9AE3A0F6D80A}"/>
  <tableColumns count="3">
    <tableColumn id="1" xr3:uid="{319FC142-188B-40A9-81E0-48DA99048EA9}" name="F_PRIMER" dataDxfId="2"/>
    <tableColumn id="2" xr3:uid="{E338671A-E5FB-4D67-A32A-44C716DF63CD}" name="R_PRIMER" dataDxfId="1"/>
    <tableColumn id="3" xr3:uid="{3133319C-38A8-48F3-AFD9-280DE1C2128B}" name="Cq (AVG)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robe@10u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price@400" TargetMode="External"/><Relationship Id="rId7" Type="http://schemas.openxmlformats.org/officeDocument/2006/relationships/drawing" Target="../drawings/drawing6.xml"/><Relationship Id="rId2" Type="http://schemas.openxmlformats.org/officeDocument/2006/relationships/hyperlink" Target="mailto:price@200" TargetMode="External"/><Relationship Id="rId1" Type="http://schemas.openxmlformats.org/officeDocument/2006/relationships/hyperlink" Target="mailto:price@100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mailto:price@800" TargetMode="External"/><Relationship Id="rId4" Type="http://schemas.openxmlformats.org/officeDocument/2006/relationships/hyperlink" Target="mailto:price@600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DACE8-DCE4-4B50-9A30-CFCFB03E7824}">
  <sheetPr codeName="Sheet1"/>
  <dimension ref="A1:O118"/>
  <sheetViews>
    <sheetView topLeftCell="S103" zoomScale="70" zoomScaleNormal="70" workbookViewId="0">
      <selection activeCell="T112" sqref="T112"/>
    </sheetView>
  </sheetViews>
  <sheetFormatPr defaultRowHeight="14.4" x14ac:dyDescent="0.3"/>
  <cols>
    <col min="1" max="1" width="15.21875" customWidth="1"/>
  </cols>
  <sheetData>
    <row r="1" spans="1:2" x14ac:dyDescent="0.3">
      <c r="A1" t="s">
        <v>0</v>
      </c>
    </row>
    <row r="2" spans="1:2" x14ac:dyDescent="0.3">
      <c r="A2" s="1">
        <v>44265</v>
      </c>
    </row>
    <row r="3" spans="1:2" x14ac:dyDescent="0.3">
      <c r="A3" t="s">
        <v>1</v>
      </c>
    </row>
    <row r="5" spans="1:2" x14ac:dyDescent="0.3">
      <c r="A5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6</v>
      </c>
    </row>
    <row r="11" spans="1:2" x14ac:dyDescent="0.3">
      <c r="A11">
        <v>20210309</v>
      </c>
    </row>
    <row r="12" spans="1:2" x14ac:dyDescent="0.3">
      <c r="A12" t="s">
        <v>2</v>
      </c>
    </row>
    <row r="13" spans="1:2" x14ac:dyDescent="0.3">
      <c r="A13" t="s">
        <v>7</v>
      </c>
    </row>
    <row r="14" spans="1:2" x14ac:dyDescent="0.3">
      <c r="B14" t="s">
        <v>8</v>
      </c>
    </row>
    <row r="15" spans="1:2" x14ac:dyDescent="0.3">
      <c r="B15" t="s">
        <v>9</v>
      </c>
    </row>
    <row r="16" spans="1:2" x14ac:dyDescent="0.3">
      <c r="B16" t="s">
        <v>10</v>
      </c>
    </row>
    <row r="17" spans="1:2" x14ac:dyDescent="0.3">
      <c r="B17" t="s">
        <v>11</v>
      </c>
    </row>
    <row r="19" spans="1:2" x14ac:dyDescent="0.3">
      <c r="A19">
        <v>20210310</v>
      </c>
    </row>
    <row r="20" spans="1:2" x14ac:dyDescent="0.3">
      <c r="B20" t="s">
        <v>12</v>
      </c>
    </row>
    <row r="21" spans="1:2" x14ac:dyDescent="0.3">
      <c r="B21" t="s">
        <v>13</v>
      </c>
    </row>
    <row r="35" spans="1:2" x14ac:dyDescent="0.3">
      <c r="B35" t="s">
        <v>14</v>
      </c>
    </row>
    <row r="37" spans="1:2" x14ac:dyDescent="0.3">
      <c r="B37" t="s">
        <v>15</v>
      </c>
    </row>
    <row r="47" spans="1:2" x14ac:dyDescent="0.3">
      <c r="A47" t="s">
        <v>16</v>
      </c>
    </row>
    <row r="48" spans="1:2" x14ac:dyDescent="0.3">
      <c r="B48" t="s">
        <v>17</v>
      </c>
    </row>
    <row r="49" spans="1:3" x14ac:dyDescent="0.3">
      <c r="B49" t="s">
        <v>253</v>
      </c>
    </row>
    <row r="50" spans="1:3" x14ac:dyDescent="0.3">
      <c r="B50" t="s">
        <v>18</v>
      </c>
    </row>
    <row r="52" spans="1:3" x14ac:dyDescent="0.3">
      <c r="A52">
        <v>20210311</v>
      </c>
    </row>
    <row r="53" spans="1:3" x14ac:dyDescent="0.3">
      <c r="B53" t="s">
        <v>472</v>
      </c>
    </row>
    <row r="54" spans="1:3" x14ac:dyDescent="0.3">
      <c r="B54" t="s">
        <v>473</v>
      </c>
    </row>
    <row r="55" spans="1:3" x14ac:dyDescent="0.3">
      <c r="B55" t="s">
        <v>497</v>
      </c>
    </row>
    <row r="56" spans="1:3" x14ac:dyDescent="0.3">
      <c r="B56" t="s">
        <v>474</v>
      </c>
    </row>
    <row r="57" spans="1:3" x14ac:dyDescent="0.3">
      <c r="C57" t="s">
        <v>475</v>
      </c>
    </row>
    <row r="58" spans="1:3" x14ac:dyDescent="0.3">
      <c r="C58" t="s">
        <v>476</v>
      </c>
    </row>
    <row r="59" spans="1:3" x14ac:dyDescent="0.3">
      <c r="C59" t="s">
        <v>477</v>
      </c>
    </row>
    <row r="60" spans="1:3" x14ac:dyDescent="0.3">
      <c r="C60" t="s">
        <v>478</v>
      </c>
    </row>
    <row r="61" spans="1:3" x14ac:dyDescent="0.3">
      <c r="C61" t="s">
        <v>479</v>
      </c>
    </row>
    <row r="62" spans="1:3" x14ac:dyDescent="0.3">
      <c r="C62" t="s">
        <v>480</v>
      </c>
    </row>
    <row r="63" spans="1:3" x14ac:dyDescent="0.3">
      <c r="C63" t="s">
        <v>481</v>
      </c>
    </row>
    <row r="64" spans="1:3" x14ac:dyDescent="0.3">
      <c r="C64" t="s">
        <v>482</v>
      </c>
    </row>
    <row r="65" spans="1:3" x14ac:dyDescent="0.3">
      <c r="C65" t="s">
        <v>483</v>
      </c>
    </row>
    <row r="66" spans="1:3" x14ac:dyDescent="0.3">
      <c r="C66" t="s">
        <v>484</v>
      </c>
    </row>
    <row r="67" spans="1:3" x14ac:dyDescent="0.3">
      <c r="C67" t="s">
        <v>485</v>
      </c>
    </row>
    <row r="68" spans="1:3" x14ac:dyDescent="0.3">
      <c r="C68" t="s">
        <v>486</v>
      </c>
    </row>
    <row r="69" spans="1:3" x14ac:dyDescent="0.3">
      <c r="C69" t="s">
        <v>487</v>
      </c>
    </row>
    <row r="71" spans="1:3" x14ac:dyDescent="0.3">
      <c r="A71">
        <v>20210315</v>
      </c>
    </row>
    <row r="72" spans="1:3" x14ac:dyDescent="0.3">
      <c r="B72" t="s">
        <v>488</v>
      </c>
    </row>
    <row r="73" spans="1:3" x14ac:dyDescent="0.3">
      <c r="B73" t="s">
        <v>492</v>
      </c>
    </row>
    <row r="74" spans="1:3" x14ac:dyDescent="0.3">
      <c r="B74" t="s">
        <v>489</v>
      </c>
    </row>
    <row r="90" spans="2:3" x14ac:dyDescent="0.3">
      <c r="B90" t="s">
        <v>490</v>
      </c>
    </row>
    <row r="91" spans="2:3" x14ac:dyDescent="0.3">
      <c r="B91" t="s">
        <v>491</v>
      </c>
    </row>
    <row r="92" spans="2:3" x14ac:dyDescent="0.3">
      <c r="C92" t="s">
        <v>493</v>
      </c>
    </row>
    <row r="93" spans="2:3" x14ac:dyDescent="0.3">
      <c r="C93" t="s">
        <v>494</v>
      </c>
    </row>
    <row r="94" spans="2:3" x14ac:dyDescent="0.3">
      <c r="B94" t="s">
        <v>495</v>
      </c>
    </row>
    <row r="95" spans="2:3" x14ac:dyDescent="0.3">
      <c r="C95" t="s">
        <v>496</v>
      </c>
    </row>
    <row r="96" spans="2:3" x14ac:dyDescent="0.3">
      <c r="B96" t="s">
        <v>640</v>
      </c>
    </row>
    <row r="97" spans="1:3" x14ac:dyDescent="0.3">
      <c r="C97" t="s">
        <v>641</v>
      </c>
    </row>
    <row r="98" spans="1:3" x14ac:dyDescent="0.3">
      <c r="C98" t="s">
        <v>642</v>
      </c>
    </row>
    <row r="99" spans="1:3" x14ac:dyDescent="0.3">
      <c r="C99" t="s">
        <v>643</v>
      </c>
    </row>
    <row r="100" spans="1:3" x14ac:dyDescent="0.3">
      <c r="C100" t="s">
        <v>644</v>
      </c>
    </row>
    <row r="101" spans="1:3" x14ac:dyDescent="0.3">
      <c r="C101" t="s">
        <v>645</v>
      </c>
    </row>
    <row r="102" spans="1:3" x14ac:dyDescent="0.3">
      <c r="C102" t="s">
        <v>646</v>
      </c>
    </row>
    <row r="103" spans="1:3" x14ac:dyDescent="0.3">
      <c r="C103" t="s">
        <v>647</v>
      </c>
    </row>
    <row r="104" spans="1:3" x14ac:dyDescent="0.3">
      <c r="C104" t="s">
        <v>648</v>
      </c>
    </row>
    <row r="105" spans="1:3" x14ac:dyDescent="0.3">
      <c r="C105" t="s">
        <v>649</v>
      </c>
    </row>
    <row r="106" spans="1:3" x14ac:dyDescent="0.3">
      <c r="C106" t="s">
        <v>650</v>
      </c>
    </row>
    <row r="107" spans="1:3" x14ac:dyDescent="0.3">
      <c r="C107" t="s">
        <v>651</v>
      </c>
    </row>
    <row r="108" spans="1:3" x14ac:dyDescent="0.3">
      <c r="C108" t="s">
        <v>652</v>
      </c>
    </row>
    <row r="109" spans="1:3" x14ac:dyDescent="0.3">
      <c r="C109" t="s">
        <v>653</v>
      </c>
    </row>
    <row r="111" spans="1:3" x14ac:dyDescent="0.3">
      <c r="A111">
        <v>20210319</v>
      </c>
    </row>
    <row r="112" spans="1:3" x14ac:dyDescent="0.3">
      <c r="B112" t="s">
        <v>759</v>
      </c>
    </row>
    <row r="114" spans="1:15" x14ac:dyDescent="0.3">
      <c r="A114">
        <v>20210325</v>
      </c>
    </row>
    <row r="115" spans="1:15" x14ac:dyDescent="0.3">
      <c r="A115" t="s">
        <v>761</v>
      </c>
    </row>
    <row r="116" spans="1:15" x14ac:dyDescent="0.3">
      <c r="A116" t="s">
        <v>762</v>
      </c>
    </row>
    <row r="118" spans="1:15" x14ac:dyDescent="0.3">
      <c r="B118" t="s">
        <v>763</v>
      </c>
      <c r="O118" t="s">
        <v>764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50EEB-8913-4D0C-945D-99032B8A84C8}">
  <sheetPr codeName="Sheet2"/>
  <dimension ref="A1:Q199"/>
  <sheetViews>
    <sheetView topLeftCell="A109" zoomScale="70" zoomScaleNormal="70" workbookViewId="0">
      <selection activeCell="G26" sqref="G26"/>
    </sheetView>
  </sheetViews>
  <sheetFormatPr defaultRowHeight="14.4" x14ac:dyDescent="0.3"/>
  <cols>
    <col min="2" max="2" width="27.5546875" customWidth="1"/>
    <col min="3" max="3" width="24" customWidth="1"/>
    <col min="9" max="9" width="26.77734375" customWidth="1"/>
    <col min="13" max="13" width="24.44140625" customWidth="1"/>
  </cols>
  <sheetData>
    <row r="1" spans="1:11" x14ac:dyDescent="0.3">
      <c r="A1" t="s">
        <v>19</v>
      </c>
    </row>
    <row r="2" spans="1:11" x14ac:dyDescent="0.3">
      <c r="B2" t="s">
        <v>20</v>
      </c>
      <c r="C2" t="s">
        <v>21</v>
      </c>
      <c r="D2" t="s">
        <v>22</v>
      </c>
    </row>
    <row r="3" spans="1:11" x14ac:dyDescent="0.3">
      <c r="B3" t="s">
        <v>23</v>
      </c>
      <c r="C3">
        <v>10</v>
      </c>
      <c r="D3" t="s">
        <v>24</v>
      </c>
      <c r="K3" t="str">
        <f>B3&amp;" = "&amp;C3&amp;","&amp;" # "&amp;D3</f>
        <v>orig_F_conc = 10, # What is the starting F primer concentration? (in uM)</v>
      </c>
    </row>
    <row r="4" spans="1:11" x14ac:dyDescent="0.3">
      <c r="B4" t="s">
        <v>25</v>
      </c>
      <c r="C4">
        <v>10</v>
      </c>
      <c r="D4" t="s">
        <v>26</v>
      </c>
      <c r="K4" t="str">
        <f t="shared" ref="K4:K31" si="0">B4&amp;" = "&amp;C4&amp;","&amp;" # "&amp;D4</f>
        <v>orig_R_conc = 10, # What is the starting R primer concentration? (in uM)</v>
      </c>
    </row>
    <row r="5" spans="1:11" x14ac:dyDescent="0.3">
      <c r="B5" t="s">
        <v>27</v>
      </c>
      <c r="C5">
        <v>10</v>
      </c>
      <c r="D5" t="s">
        <v>28</v>
      </c>
      <c r="K5" t="str">
        <f t="shared" si="0"/>
        <v>orig_P_conc = 10, # What is probe starting concentration? (in uM)</v>
      </c>
    </row>
    <row r="6" spans="1:11" x14ac:dyDescent="0.3">
      <c r="B6" t="s">
        <v>29</v>
      </c>
      <c r="C6">
        <v>300</v>
      </c>
      <c r="D6" t="s">
        <v>30</v>
      </c>
      <c r="K6" t="str">
        <f t="shared" si="0"/>
        <v>std_F_conc = 300, # What is the constant F primer concentration for standards? This should be guess or from literature. (in nM)</v>
      </c>
    </row>
    <row r="7" spans="1:11" x14ac:dyDescent="0.3">
      <c r="B7" t="s">
        <v>31</v>
      </c>
      <c r="C7">
        <v>300</v>
      </c>
      <c r="D7" t="s">
        <v>32</v>
      </c>
      <c r="K7" t="str">
        <f t="shared" si="0"/>
        <v>std_R_cond = 300, # What is the constant R primer concentration for standards? This should be guess or from literature. (in nM)</v>
      </c>
    </row>
    <row r="8" spans="1:11" x14ac:dyDescent="0.3">
      <c r="B8" t="s">
        <v>33</v>
      </c>
      <c r="C8">
        <v>300</v>
      </c>
      <c r="D8" t="s">
        <v>34</v>
      </c>
      <c r="K8" t="str">
        <f t="shared" si="0"/>
        <v>P_conc = 300, # What is the probe concentration? This should be constant throughout experiment.</v>
      </c>
    </row>
    <row r="9" spans="1:11" x14ac:dyDescent="0.3">
      <c r="B9" t="s">
        <v>35</v>
      </c>
      <c r="C9">
        <v>21</v>
      </c>
      <c r="D9" t="s">
        <v>36</v>
      </c>
      <c r="K9" t="str">
        <f t="shared" si="0"/>
        <v>tot_stds = 21, # How many wells of standards will be run? (in # wells)</v>
      </c>
    </row>
    <row r="10" spans="1:11" x14ac:dyDescent="0.3">
      <c r="B10" t="s">
        <v>37</v>
      </c>
      <c r="C10">
        <v>3</v>
      </c>
      <c r="D10" t="s">
        <v>38</v>
      </c>
      <c r="K10" t="str">
        <f t="shared" si="0"/>
        <v>tot_NTCs = 3, # How many wells of NTCs will be run? (in # wells)</v>
      </c>
    </row>
    <row r="11" spans="1:11" x14ac:dyDescent="0.3">
      <c r="B11" t="s">
        <v>39</v>
      </c>
      <c r="C11">
        <v>72</v>
      </c>
      <c r="D11" t="s">
        <v>40</v>
      </c>
      <c r="K11" t="str">
        <f t="shared" si="0"/>
        <v>tot_samp = 72, # How many samples with varying conditions will be run? (in # wells)</v>
      </c>
    </row>
    <row r="12" spans="1:11" x14ac:dyDescent="0.3">
      <c r="B12" t="s">
        <v>41</v>
      </c>
      <c r="C12">
        <v>8.86</v>
      </c>
      <c r="D12" t="s">
        <v>42</v>
      </c>
      <c r="K12" t="str">
        <f t="shared" si="0"/>
        <v>rxn_base = 8.86, # Everything in PCR buffer (Mg2+, dNTPs, polymerase, enhancers, stabilizers, sugars, etc.). (in uL)</v>
      </c>
    </row>
    <row r="13" spans="1:11" x14ac:dyDescent="0.3">
      <c r="B13" t="s">
        <v>43</v>
      </c>
      <c r="C13">
        <v>20</v>
      </c>
      <c r="D13" t="s">
        <v>44</v>
      </c>
      <c r="K13" t="str">
        <f t="shared" si="0"/>
        <v>tot_rxn_vol = 20, # What is total volume of PCR reaction in plate/tube? (in ul)</v>
      </c>
    </row>
    <row r="14" spans="1:11" x14ac:dyDescent="0.3">
      <c r="B14" t="s">
        <v>45</v>
      </c>
      <c r="C14" t="s">
        <v>46</v>
      </c>
      <c r="D14" t="s">
        <v>47</v>
      </c>
      <c r="K14" t="str">
        <f t="shared" si="0"/>
        <v>F_concs = [50, 100, 200, 400, 600, 800], # What are the F primer concentrations? (a list in nM)</v>
      </c>
    </row>
    <row r="15" spans="1:11" x14ac:dyDescent="0.3">
      <c r="B15" t="s">
        <v>48</v>
      </c>
      <c r="C15" t="s">
        <v>46</v>
      </c>
      <c r="D15" t="s">
        <v>49</v>
      </c>
      <c r="K15" t="str">
        <f t="shared" si="0"/>
        <v>R_concs = [50, 100, 200, 400, 600, 800], # What are the R primer concentrations? (a list in nM)</v>
      </c>
    </row>
    <row r="16" spans="1:11" x14ac:dyDescent="0.3">
      <c r="B16" t="s">
        <v>50</v>
      </c>
      <c r="C16">
        <v>50</v>
      </c>
      <c r="D16" t="s">
        <v>51</v>
      </c>
      <c r="K16" t="str">
        <f t="shared" si="0"/>
        <v>F_50 = 50, # F primer at lowest concentration. (in nM)</v>
      </c>
    </row>
    <row r="17" spans="2:11" x14ac:dyDescent="0.3">
      <c r="B17" t="s">
        <v>52</v>
      </c>
      <c r="C17">
        <v>100</v>
      </c>
      <c r="D17" t="s">
        <v>53</v>
      </c>
      <c r="K17" t="str">
        <f t="shared" si="0"/>
        <v>F_100 = 100, # F primer at concentration. (in nM)</v>
      </c>
    </row>
    <row r="18" spans="2:11" x14ac:dyDescent="0.3">
      <c r="B18" t="s">
        <v>54</v>
      </c>
      <c r="C18">
        <v>200</v>
      </c>
      <c r="D18" t="s">
        <v>53</v>
      </c>
      <c r="K18" t="str">
        <f t="shared" si="0"/>
        <v>F_200 = 200, # F primer at concentration. (in nM)</v>
      </c>
    </row>
    <row r="19" spans="2:11" x14ac:dyDescent="0.3">
      <c r="B19" t="s">
        <v>55</v>
      </c>
      <c r="C19">
        <v>400</v>
      </c>
      <c r="D19" t="s">
        <v>53</v>
      </c>
      <c r="K19" t="str">
        <f t="shared" si="0"/>
        <v>F_400 = 400, # F primer at concentration. (in nM)</v>
      </c>
    </row>
    <row r="20" spans="2:11" x14ac:dyDescent="0.3">
      <c r="B20" t="s">
        <v>56</v>
      </c>
      <c r="C20">
        <v>600</v>
      </c>
      <c r="D20" t="s">
        <v>53</v>
      </c>
      <c r="K20" t="str">
        <f t="shared" si="0"/>
        <v>F_600 = 600, # F primer at concentration. (in nM)</v>
      </c>
    </row>
    <row r="21" spans="2:11" x14ac:dyDescent="0.3">
      <c r="B21" t="s">
        <v>57</v>
      </c>
      <c r="C21">
        <v>800</v>
      </c>
      <c r="D21" t="s">
        <v>58</v>
      </c>
      <c r="K21" t="str">
        <f t="shared" si="0"/>
        <v>F_800 = 800, # F primer at highest concentration. (in nM)</v>
      </c>
    </row>
    <row r="22" spans="2:11" x14ac:dyDescent="0.3">
      <c r="B22" t="s">
        <v>59</v>
      </c>
      <c r="C22">
        <v>50</v>
      </c>
      <c r="D22" t="s">
        <v>60</v>
      </c>
      <c r="K22" t="str">
        <f t="shared" si="0"/>
        <v>R_50 = 50, # R primer at lowest concentration. (in nM)</v>
      </c>
    </row>
    <row r="23" spans="2:11" x14ac:dyDescent="0.3">
      <c r="B23" t="s">
        <v>61</v>
      </c>
      <c r="C23">
        <v>100</v>
      </c>
      <c r="D23" t="s">
        <v>62</v>
      </c>
      <c r="K23" t="str">
        <f t="shared" si="0"/>
        <v>R_100 = 100, # R primer at concentration. (in nM)</v>
      </c>
    </row>
    <row r="24" spans="2:11" x14ac:dyDescent="0.3">
      <c r="B24" t="s">
        <v>63</v>
      </c>
      <c r="C24">
        <v>200</v>
      </c>
      <c r="D24" t="s">
        <v>62</v>
      </c>
      <c r="K24" t="str">
        <f t="shared" si="0"/>
        <v>R_200 = 200, # R primer at concentration. (in nM)</v>
      </c>
    </row>
    <row r="25" spans="2:11" x14ac:dyDescent="0.3">
      <c r="B25" t="s">
        <v>64</v>
      </c>
      <c r="C25">
        <v>400</v>
      </c>
      <c r="D25" t="s">
        <v>62</v>
      </c>
      <c r="K25" t="str">
        <f t="shared" si="0"/>
        <v>R_400 = 400, # R primer at concentration. (in nM)</v>
      </c>
    </row>
    <row r="26" spans="2:11" x14ac:dyDescent="0.3">
      <c r="B26" t="s">
        <v>65</v>
      </c>
      <c r="C26">
        <v>600</v>
      </c>
      <c r="D26" t="s">
        <v>62</v>
      </c>
      <c r="K26" t="str">
        <f t="shared" si="0"/>
        <v>R_600 = 600, # R primer at concentration. (in nM)</v>
      </c>
    </row>
    <row r="27" spans="2:11" x14ac:dyDescent="0.3">
      <c r="B27" t="s">
        <v>66</v>
      </c>
      <c r="C27">
        <v>800</v>
      </c>
      <c r="D27" t="s">
        <v>67</v>
      </c>
      <c r="K27" t="str">
        <f t="shared" si="0"/>
        <v>R_800 = 800, # R primer at highest concentration. (in nM)</v>
      </c>
    </row>
    <row r="28" spans="2:11" x14ac:dyDescent="0.3">
      <c r="B28" t="s">
        <v>68</v>
      </c>
      <c r="C28">
        <v>2</v>
      </c>
      <c r="D28" t="s">
        <v>69</v>
      </c>
      <c r="K28" t="str">
        <f t="shared" si="0"/>
        <v xml:space="preserve">dna_per_rxn = 2, # How much standard, positive control or NTC to add per well. </v>
      </c>
    </row>
    <row r="29" spans="2:11" x14ac:dyDescent="0.3">
      <c r="B29" t="s">
        <v>70</v>
      </c>
      <c r="C29">
        <v>3</v>
      </c>
      <c r="D29" t="s">
        <v>71</v>
      </c>
      <c r="K29" t="str">
        <f t="shared" si="0"/>
        <v>std_NTC_reps = 3, # How many standard and NTC replicates? (int)</v>
      </c>
    </row>
    <row r="30" spans="2:11" x14ac:dyDescent="0.3">
      <c r="B30" t="s">
        <v>72</v>
      </c>
      <c r="C30">
        <v>12</v>
      </c>
      <c r="D30" t="s">
        <v>73</v>
      </c>
      <c r="K30" t="str">
        <f t="shared" si="0"/>
        <v>R_reps = 12, # How many wells will use R primer at particular concentration? (int)</v>
      </c>
    </row>
    <row r="31" spans="2:11" x14ac:dyDescent="0.3">
      <c r="B31" t="s">
        <v>74</v>
      </c>
      <c r="C31">
        <v>12</v>
      </c>
      <c r="D31" t="s">
        <v>75</v>
      </c>
      <c r="K31" t="str">
        <f t="shared" si="0"/>
        <v>F_reps = 12, # How many wells will use F primer at particular concentration? (int)</v>
      </c>
    </row>
    <row r="32" spans="2:11" x14ac:dyDescent="0.3">
      <c r="B32" t="s">
        <v>76</v>
      </c>
      <c r="C32">
        <v>100</v>
      </c>
      <c r="D32" t="s">
        <v>77</v>
      </c>
      <c r="K32" t="str">
        <f>B32&amp;" = "&amp;F_int_vol&amp;","&amp;" # "&amp;D32</f>
        <v>F_int_vol = 100, # What is the volume of F intermediate primer in new tube? (in ul)</v>
      </c>
    </row>
    <row r="33" spans="2:11" x14ac:dyDescent="0.3">
      <c r="B33" s="2" t="s">
        <v>78</v>
      </c>
      <c r="C33">
        <v>0.2</v>
      </c>
      <c r="D33" t="s">
        <v>79</v>
      </c>
      <c r="K33" t="str">
        <f>B33&amp;" = "&amp;" "&amp;"# "&amp;D33</f>
        <v>percent_waste =  # What percentage waste? (decimal)</v>
      </c>
    </row>
    <row r="34" spans="2:11" x14ac:dyDescent="0.3">
      <c r="B34" t="s">
        <v>80</v>
      </c>
      <c r="C34">
        <v>2.5000000000000001E-2</v>
      </c>
      <c r="D34" t="s">
        <v>81</v>
      </c>
      <c r="K34" t="str">
        <f t="shared" ref="K34:K37" si="1">B34&amp;" = "&amp;" "&amp;"# "&amp;D34</f>
        <v>sN_mix_waste_offset =  # How much percent_waste offset should sN_mix use? This calculated as percent_waste-sN_mix_overage = percent_waste for sN_mix_overage e.g. (20-7=13%) Should not be 0 otherwise offset = percent_waste. (decimal)</v>
      </c>
    </row>
    <row r="35" spans="2:11" x14ac:dyDescent="0.3">
      <c r="B35" t="s">
        <v>82</v>
      </c>
      <c r="C35">
        <v>0.1</v>
      </c>
      <c r="D35" t="s">
        <v>83</v>
      </c>
      <c r="K35" t="str">
        <f t="shared" si="1"/>
        <v>R_mix_waste_offset =  # How much percent_waste offset should R_mix use? This calculated as percent_waste-R_mix_overage = percent_waste for R_mix_overage e.g. (20-=13%) If 0, then offset = percent_waste. (decimal)</v>
      </c>
    </row>
    <row r="36" spans="2:11" x14ac:dyDescent="0.3">
      <c r="B36" t="s">
        <v>84</v>
      </c>
      <c r="C36" s="57">
        <v>2.8000000000000001E-2</v>
      </c>
      <c r="D36" t="s">
        <v>85</v>
      </c>
      <c r="K36" t="str">
        <f t="shared" si="1"/>
        <v>std_NTC_waste_offset =  # How much percent_waste offset should std_NTC use? (decimal)</v>
      </c>
    </row>
    <row r="37" spans="2:11" x14ac:dyDescent="0.3">
      <c r="B37" t="s">
        <v>86</v>
      </c>
      <c r="C37" s="4">
        <v>2.1999999999999999E-2</v>
      </c>
      <c r="D37" t="s">
        <v>87</v>
      </c>
      <c r="K37" t="str">
        <f t="shared" si="1"/>
        <v>bpw_waste_offset =  # How much percent_waste offset should bpw_waste use? (decimal)</v>
      </c>
    </row>
    <row r="38" spans="2:11" x14ac:dyDescent="0.3">
      <c r="C38" s="3"/>
    </row>
    <row r="39" spans="2:11" x14ac:dyDescent="0.3">
      <c r="B39" t="s">
        <v>88</v>
      </c>
    </row>
    <row r="40" spans="2:11" x14ac:dyDescent="0.3">
      <c r="B40" t="s">
        <v>89</v>
      </c>
      <c r="C40">
        <f>SUM(C9:C11)</f>
        <v>96</v>
      </c>
      <c r="D40" t="s">
        <v>90</v>
      </c>
      <c r="K40" t="str">
        <f>B40&amp;" = "&amp;" "&amp;"# "&amp;D40</f>
        <v>tot_rxns =  # Calc what is total # rxns. (int)</v>
      </c>
    </row>
    <row r="41" spans="2:11" x14ac:dyDescent="0.3">
      <c r="B41" t="s">
        <v>91</v>
      </c>
      <c r="C41">
        <f>SUM(C9:C10)</f>
        <v>24</v>
      </c>
      <c r="D41" t="s">
        <v>92</v>
      </c>
      <c r="K41" t="str">
        <f t="shared" ref="K41:K104" si="2">B41&amp;" = "&amp;" "&amp;"# "&amp;D41</f>
        <v>tot_sds_NTC =  # Calc number of standards and nontemplate controls. (int)</v>
      </c>
    </row>
    <row r="42" spans="2:11" x14ac:dyDescent="0.3">
      <c r="B42" t="s">
        <v>93</v>
      </c>
      <c r="C42">
        <f>C13-C28</f>
        <v>18</v>
      </c>
      <c r="D42" t="s">
        <v>94</v>
      </c>
      <c r="K42" t="str">
        <f t="shared" si="2"/>
        <v>rxn_vol_no_dna =  # Calc what is volume of PCR rxn with no DNA added. (in ul)</v>
      </c>
    </row>
    <row r="43" spans="2:11" x14ac:dyDescent="0.3">
      <c r="B43" t="s">
        <v>95</v>
      </c>
      <c r="C43">
        <f>C8/1000*C13/C5</f>
        <v>0.6</v>
      </c>
      <c r="D43" t="s">
        <v>96</v>
      </c>
      <c r="K43" t="str">
        <f t="shared" si="2"/>
        <v>P_per_rxn =  # Calc this constant probe is needed per pcr reaction. (in ul)</v>
      </c>
    </row>
    <row r="44" spans="2:11" x14ac:dyDescent="0.3">
      <c r="B44" t="s">
        <v>97</v>
      </c>
      <c r="C44">
        <f>C21/1000*C13/C3</f>
        <v>1.6</v>
      </c>
      <c r="D44" t="s">
        <v>98</v>
      </c>
      <c r="K44" t="str">
        <f t="shared" si="2"/>
        <v>max_vol_F_per_rxn =  # Calc greatest vol added from starting F primer conc to rxn to satisfy max test F conc? (in ul)</v>
      </c>
    </row>
    <row r="45" spans="2:11" x14ac:dyDescent="0.3">
      <c r="B45" t="s">
        <v>99</v>
      </c>
      <c r="C45">
        <f>C27/1000*C13/orig_R_conc</f>
        <v>1.6</v>
      </c>
      <c r="D45" t="s">
        <v>100</v>
      </c>
      <c r="K45" t="str">
        <f t="shared" si="2"/>
        <v>max_vol_R_per_rxn =  # Calc greatest vol added from starting R primer conc to rxn to satisfy max test R conc? (in ul)</v>
      </c>
    </row>
    <row r="46" spans="2:11" x14ac:dyDescent="0.3">
      <c r="B46" t="s">
        <v>101</v>
      </c>
      <c r="C46">
        <f>C42-C12-C43-C44-C45</f>
        <v>5.3400000000000016</v>
      </c>
      <c r="D46" t="s">
        <v>102</v>
      </c>
      <c r="K46" t="str">
        <f t="shared" si="2"/>
        <v>water_per_rxn =  # Calc this is water added per rxn such that greatest F, R primer conc can be accommodated in total rxn vol. (in ul)</v>
      </c>
    </row>
    <row r="47" spans="2:11" x14ac:dyDescent="0.3">
      <c r="B47" s="2" t="s">
        <v>103</v>
      </c>
      <c r="C47">
        <f>C6/1000*C13/C3</f>
        <v>0.6</v>
      </c>
      <c r="D47" t="s">
        <v>104</v>
      </c>
      <c r="K47" t="str">
        <f t="shared" si="2"/>
        <v>std_vol_F_per_rxn =  # Calc adding this much F primer to each std rxn</v>
      </c>
    </row>
    <row r="48" spans="2:11" x14ac:dyDescent="0.3">
      <c r="B48" s="2" t="s">
        <v>105</v>
      </c>
      <c r="C48">
        <f>C7/1000*C13/orig_R_conc</f>
        <v>0.6</v>
      </c>
      <c r="D48" t="s">
        <v>104</v>
      </c>
      <c r="K48" t="str">
        <f t="shared" si="2"/>
        <v>std_vol_R_per_rxn =  # Calc adding this much F primer to each std rxn</v>
      </c>
    </row>
    <row r="49" spans="2:11" x14ac:dyDescent="0.3">
      <c r="B49" t="s">
        <v>106</v>
      </c>
      <c r="C49">
        <f>C12+C43+C46</f>
        <v>14.8</v>
      </c>
      <c r="D49" t="s">
        <v>107</v>
      </c>
      <c r="K49" t="str">
        <f t="shared" si="2"/>
        <v>BPW_rxn =  # Mix base + probe + water (no DNA, F, R primer). (in ul)</v>
      </c>
    </row>
    <row r="50" spans="2:11" x14ac:dyDescent="0.3">
      <c r="B50" t="s">
        <v>108</v>
      </c>
      <c r="C50">
        <f>C44-C47+C45-C48</f>
        <v>2</v>
      </c>
      <c r="D50" t="s">
        <v>109</v>
      </c>
    </row>
    <row r="51" spans="2:11" x14ac:dyDescent="0.3">
      <c r="B51" t="s">
        <v>110</v>
      </c>
      <c r="C51">
        <f>C49+C47+C48+C50</f>
        <v>18</v>
      </c>
      <c r="D51" t="s">
        <v>111</v>
      </c>
      <c r="K51" t="str">
        <f t="shared" si="2"/>
        <v>BPW_sN_rxn =  # Mix base + probe + water+F,R primer at std conc+water_offset(no DNA). (in ul)</v>
      </c>
    </row>
    <row r="52" spans="2:11" x14ac:dyDescent="0.3">
      <c r="B52" t="s">
        <v>112</v>
      </c>
      <c r="C52">
        <f>C41*(1+C33-C34)*C49</f>
        <v>417.36000000000007</v>
      </c>
      <c r="D52" t="s">
        <v>113</v>
      </c>
      <c r="K52" t="str">
        <f t="shared" si="2"/>
        <v>BWP_mix_xfer_sN_mix =  # Calc how much tot_BPW_mix to move to make new tube for stds and NTC. (in ul)</v>
      </c>
    </row>
    <row r="53" spans="2:11" x14ac:dyDescent="0.3">
      <c r="B53" t="s">
        <v>114</v>
      </c>
      <c r="C53">
        <f>C50*C41*(1+C33-C34)</f>
        <v>56.400000000000006</v>
      </c>
      <c r="D53" t="s">
        <v>115</v>
      </c>
      <c r="K53" t="str">
        <f t="shared" si="2"/>
        <v>std_woff_add_to_sN_mix =  # Cal how much water to add to sdd_NTC mmix with waste</v>
      </c>
    </row>
    <row r="54" spans="2:11" x14ac:dyDescent="0.3">
      <c r="B54" t="s">
        <v>116</v>
      </c>
      <c r="C54">
        <f>C41*(1+C33-C34)*C47</f>
        <v>16.920000000000002</v>
      </c>
      <c r="D54" t="s">
        <v>117</v>
      </c>
      <c r="K54" t="str">
        <f t="shared" si="2"/>
        <v>F_add_to_sN_mix =  # Calc how much F primer to add to std_NTC mmix with waste</v>
      </c>
    </row>
    <row r="55" spans="2:11" x14ac:dyDescent="0.3">
      <c r="B55" t="s">
        <v>118</v>
      </c>
      <c r="C55">
        <f>C41*(1+C33-C34)*C48</f>
        <v>16.920000000000002</v>
      </c>
      <c r="D55" t="s">
        <v>119</v>
      </c>
      <c r="K55" t="str">
        <f t="shared" si="2"/>
        <v>R_add_to_sN_mix =  # Calc how much R primer to add to std_NTC mmix with waste</v>
      </c>
    </row>
    <row r="56" spans="2:11" x14ac:dyDescent="0.3">
      <c r="B56" t="s">
        <v>120</v>
      </c>
      <c r="C56">
        <f>C51*C29*(1+C33-C36)</f>
        <v>63.287999999999997</v>
      </c>
      <c r="D56" t="s">
        <v>121</v>
      </c>
      <c r="K56" t="str">
        <f t="shared" si="2"/>
        <v>sN_mix_xfer_to_stds_mix =  # Calc how much sn_mix to aliquot to tube in preparation for std DNA mixing. (in ul)</v>
      </c>
    </row>
    <row r="57" spans="2:11" x14ac:dyDescent="0.3">
      <c r="B57" t="s">
        <v>122</v>
      </c>
      <c r="C57">
        <f>C28*C29*(1+C33-C36)</f>
        <v>7.032</v>
      </c>
      <c r="D57" t="s">
        <v>123</v>
      </c>
      <c r="K57" t="str">
        <f t="shared" si="2"/>
        <v>std_DNA_xfer_to_stds_mix =  # Calc how much DNA from each standard adding to stds_mix with waste. (in ul)</v>
      </c>
    </row>
    <row r="58" spans="2:11" x14ac:dyDescent="0.3">
      <c r="B58" t="s">
        <v>124</v>
      </c>
      <c r="C58">
        <f>C11*C49*(1+C33-C37)</f>
        <v>1255.2768000000001</v>
      </c>
      <c r="D58" t="s">
        <v>125</v>
      </c>
      <c r="K58" t="str">
        <f t="shared" si="2"/>
        <v>bpw_mix_xfer_bpwd_mix =  # Calc how much bpw_mix needed in new tube for # total samples</v>
      </c>
    </row>
    <row r="59" spans="2:11" x14ac:dyDescent="0.3">
      <c r="B59" t="s">
        <v>126</v>
      </c>
      <c r="C59">
        <f>C28*C11*(1+C33-C37)</f>
        <v>169.63200000000001</v>
      </c>
      <c r="D59" t="s">
        <v>127</v>
      </c>
      <c r="K59" t="str">
        <f t="shared" si="2"/>
        <v>std_DNA_xfer_to_bpwd_mix =  # Calc how much DNA to add to bpw_mix for template in PCR rxns.</v>
      </c>
    </row>
    <row r="60" spans="2:11" x14ac:dyDescent="0.3">
      <c r="B60" t="s">
        <v>128</v>
      </c>
      <c r="C60">
        <f>C49+C28</f>
        <v>16.8</v>
      </c>
      <c r="D60" t="s">
        <v>129</v>
      </c>
      <c r="K60" t="str">
        <f t="shared" si="2"/>
        <v>bpwd_rxn =  # Calc vol of bpw reaction + DNA vol</v>
      </c>
    </row>
    <row r="61" spans="2:11" x14ac:dyDescent="0.3">
      <c r="B61" t="s">
        <v>130</v>
      </c>
      <c r="C61">
        <f>C60*R_reps*(1+C33-C35)</f>
        <v>221.76</v>
      </c>
      <c r="D61" t="s">
        <v>131</v>
      </c>
      <c r="K61" t="str">
        <f t="shared" si="2"/>
        <v>bpwd_mix_xfer_R_mix =  # Calc how muc bpwd_mix to transfer to each tube for specific R conc. Less than 12% to avoid missing vol.</v>
      </c>
    </row>
    <row r="62" spans="2:11" x14ac:dyDescent="0.3">
      <c r="B62" t="s">
        <v>132</v>
      </c>
      <c r="C62" s="3">
        <f>C22/1000*C13/orig_R_conc</f>
        <v>0.1</v>
      </c>
      <c r="D62" t="s">
        <v>133</v>
      </c>
      <c r="K62" t="str">
        <f t="shared" si="2"/>
        <v>R_50_rxn =  # Calc how much R primer at lowest concentration to add per reaction? (e.g. 50nM) (in ul)</v>
      </c>
    </row>
    <row r="63" spans="2:11" x14ac:dyDescent="0.3">
      <c r="B63" t="s">
        <v>134</v>
      </c>
      <c r="C63" s="3">
        <f>C62*C30*(1+C33-C35)</f>
        <v>1.32</v>
      </c>
      <c r="D63" t="s">
        <v>135</v>
      </c>
      <c r="K63" t="str">
        <f t="shared" si="2"/>
        <v>R_50_mix =  # Calc how much R primer to add to R_50 mix. (in ul)</v>
      </c>
    </row>
    <row r="64" spans="2:11" x14ac:dyDescent="0.3">
      <c r="B64" t="s">
        <v>136</v>
      </c>
      <c r="C64" s="3">
        <f>C45-C62</f>
        <v>1.5</v>
      </c>
      <c r="D64" t="s">
        <v>137</v>
      </c>
      <c r="K64" t="str">
        <f t="shared" si="2"/>
        <v>R_50_woff_rxn =  # Calc how much water offset to add to each rxn. (in ul)</v>
      </c>
    </row>
    <row r="65" spans="2:11" x14ac:dyDescent="0.3">
      <c r="B65" t="s">
        <v>138</v>
      </c>
      <c r="C65" s="3">
        <f>C64*C30*(1+C33-C35)</f>
        <v>19.799999999999997</v>
      </c>
      <c r="D65" t="s">
        <v>139</v>
      </c>
      <c r="K65" t="str">
        <f t="shared" si="2"/>
        <v>R_50_woff_mix =  # Calc how much water offset to add to R_50 mix. (in ul)</v>
      </c>
    </row>
    <row r="66" spans="2:11" x14ac:dyDescent="0.3">
      <c r="B66" t="s">
        <v>140</v>
      </c>
      <c r="C66" s="3">
        <f>C23/1000*$C$13/orig_R_conc</f>
        <v>0.2</v>
      </c>
      <c r="D66" t="s">
        <v>141</v>
      </c>
      <c r="K66" t="str">
        <f t="shared" si="2"/>
        <v>R_100_rxn =  # Calc how much R primer at concentration to add. (in ul)</v>
      </c>
    </row>
    <row r="67" spans="2:11" x14ac:dyDescent="0.3">
      <c r="B67" t="s">
        <v>142</v>
      </c>
      <c r="C67" s="3">
        <f>C66*$C$30*(1+$C$33-C35)</f>
        <v>2.64</v>
      </c>
      <c r="D67" t="s">
        <v>143</v>
      </c>
      <c r="K67" t="str">
        <f t="shared" si="2"/>
        <v>R_100_mix =  # Calc how much R primer to add to add. (in ul)</v>
      </c>
    </row>
    <row r="68" spans="2:11" x14ac:dyDescent="0.3">
      <c r="B68" t="s">
        <v>144</v>
      </c>
      <c r="C68" s="3">
        <f>$C$45-C66</f>
        <v>1.4000000000000001</v>
      </c>
      <c r="D68" t="s">
        <v>137</v>
      </c>
      <c r="K68" t="str">
        <f t="shared" si="2"/>
        <v>R_100_woff_rxn =  # Calc how much water offset to add to each rxn. (in ul)</v>
      </c>
    </row>
    <row r="69" spans="2:11" x14ac:dyDescent="0.3">
      <c r="B69" t="s">
        <v>145</v>
      </c>
      <c r="C69" s="3">
        <f>C68*$C$30*(1+$C$33-C35)</f>
        <v>18.479999999999997</v>
      </c>
      <c r="D69" t="s">
        <v>146</v>
      </c>
      <c r="K69" t="str">
        <f t="shared" si="2"/>
        <v>R_100_woff_mix =  # Calc how much water offset to add to mix. (in ul)</v>
      </c>
    </row>
    <row r="70" spans="2:11" x14ac:dyDescent="0.3">
      <c r="B70" t="s">
        <v>147</v>
      </c>
      <c r="C70" s="3">
        <f>C24/1000*$C$13/orig_R_conc</f>
        <v>0.4</v>
      </c>
      <c r="D70" t="s">
        <v>141</v>
      </c>
      <c r="K70" t="str">
        <f t="shared" si="2"/>
        <v>R_200_rxn =  # Calc how much R primer at concentration to add. (in ul)</v>
      </c>
    </row>
    <row r="71" spans="2:11" x14ac:dyDescent="0.3">
      <c r="B71" t="s">
        <v>148</v>
      </c>
      <c r="C71" s="3">
        <f>C70*$C$30*(1+$C$33-C35)</f>
        <v>5.28</v>
      </c>
      <c r="D71" t="s">
        <v>143</v>
      </c>
      <c r="K71" t="str">
        <f t="shared" si="2"/>
        <v>R_200_mix =  # Calc how much R primer to add to add. (in ul)</v>
      </c>
    </row>
    <row r="72" spans="2:11" x14ac:dyDescent="0.3">
      <c r="B72" t="s">
        <v>149</v>
      </c>
      <c r="C72" s="3">
        <f>$C$45-C70</f>
        <v>1.2000000000000002</v>
      </c>
      <c r="D72" t="s">
        <v>137</v>
      </c>
      <c r="K72" t="str">
        <f t="shared" si="2"/>
        <v>R_200_woff_rxn =  # Calc how much water offset to add to each rxn. (in ul)</v>
      </c>
    </row>
    <row r="73" spans="2:11" x14ac:dyDescent="0.3">
      <c r="B73" t="s">
        <v>150</v>
      </c>
      <c r="C73" s="3">
        <f>C72*$C$30*(1+$C$33-C35)</f>
        <v>15.84</v>
      </c>
      <c r="D73" t="s">
        <v>146</v>
      </c>
      <c r="K73" t="str">
        <f t="shared" si="2"/>
        <v>R_200_woff_mix =  # Calc how much water offset to add to mix. (in ul)</v>
      </c>
    </row>
    <row r="74" spans="2:11" x14ac:dyDescent="0.3">
      <c r="B74" t="s">
        <v>151</v>
      </c>
      <c r="C74" s="3">
        <f>C25/1000*$C$13/orig_R_conc</f>
        <v>0.8</v>
      </c>
      <c r="D74" t="s">
        <v>141</v>
      </c>
      <c r="K74" t="str">
        <f t="shared" si="2"/>
        <v>R_400_rxn =  # Calc how much R primer at concentration to add. (in ul)</v>
      </c>
    </row>
    <row r="75" spans="2:11" x14ac:dyDescent="0.3">
      <c r="B75" t="s">
        <v>152</v>
      </c>
      <c r="C75" s="3">
        <f>C74*$C$30*(1+$C$33-C35)</f>
        <v>10.56</v>
      </c>
      <c r="D75" t="s">
        <v>143</v>
      </c>
      <c r="K75" t="str">
        <f t="shared" si="2"/>
        <v>R_400_mix =  # Calc how much R primer to add to add. (in ul)</v>
      </c>
    </row>
    <row r="76" spans="2:11" x14ac:dyDescent="0.3">
      <c r="B76" t="s">
        <v>153</v>
      </c>
      <c r="C76" s="3">
        <f>$C$45-C74</f>
        <v>0.8</v>
      </c>
      <c r="D76" t="s">
        <v>137</v>
      </c>
      <c r="K76" t="str">
        <f t="shared" si="2"/>
        <v>R_400_woff_rxn =  # Calc how much water offset to add to each rxn. (in ul)</v>
      </c>
    </row>
    <row r="77" spans="2:11" x14ac:dyDescent="0.3">
      <c r="B77" t="s">
        <v>154</v>
      </c>
      <c r="C77" s="3">
        <f>C76*$C$30*(1+$C$33-C35)</f>
        <v>10.56</v>
      </c>
      <c r="D77" t="s">
        <v>146</v>
      </c>
      <c r="K77" t="str">
        <f t="shared" si="2"/>
        <v>R_400_woff_mix =  # Calc how much water offset to add to mix. (in ul)</v>
      </c>
    </row>
    <row r="78" spans="2:11" x14ac:dyDescent="0.3">
      <c r="B78" t="s">
        <v>155</v>
      </c>
      <c r="C78" s="3">
        <f>C26/1000*$C$13/orig_R_conc</f>
        <v>1.2</v>
      </c>
      <c r="D78" t="s">
        <v>141</v>
      </c>
      <c r="K78" t="str">
        <f t="shared" si="2"/>
        <v>R_600_rxn =  # Calc how much R primer at concentration to add. (in ul)</v>
      </c>
    </row>
    <row r="79" spans="2:11" x14ac:dyDescent="0.3">
      <c r="B79" t="s">
        <v>156</v>
      </c>
      <c r="C79" s="3">
        <f>C78*$C$30*(1+$C$33-C35)</f>
        <v>15.839999999999996</v>
      </c>
      <c r="D79" t="s">
        <v>143</v>
      </c>
      <c r="K79" t="str">
        <f t="shared" si="2"/>
        <v>R_600_mix =  # Calc how much R primer to add to add. (in ul)</v>
      </c>
    </row>
    <row r="80" spans="2:11" x14ac:dyDescent="0.3">
      <c r="B80" t="s">
        <v>157</v>
      </c>
      <c r="C80" s="3">
        <f>$C$45-C78</f>
        <v>0.40000000000000013</v>
      </c>
      <c r="D80" t="s">
        <v>137</v>
      </c>
      <c r="K80" t="str">
        <f t="shared" si="2"/>
        <v>R_600_woff_rxn =  # Calc how much water offset to add to each rxn. (in ul)</v>
      </c>
    </row>
    <row r="81" spans="2:11" x14ac:dyDescent="0.3">
      <c r="B81" t="s">
        <v>158</v>
      </c>
      <c r="C81" s="3">
        <f>C80*$C$30*(1+$C$33-C35)</f>
        <v>5.2800000000000011</v>
      </c>
      <c r="D81" t="s">
        <v>146</v>
      </c>
      <c r="K81" t="str">
        <f t="shared" si="2"/>
        <v>R_600_woff_mix =  # Calc how much water offset to add to mix. (in ul)</v>
      </c>
    </row>
    <row r="82" spans="2:11" x14ac:dyDescent="0.3">
      <c r="B82" t="s">
        <v>159</v>
      </c>
      <c r="C82" s="3">
        <f>C27/1000*$C$13/orig_R_conc</f>
        <v>1.6</v>
      </c>
      <c r="D82" t="s">
        <v>141</v>
      </c>
      <c r="K82" t="str">
        <f t="shared" si="2"/>
        <v>R_800_rxn =  # Calc how much R primer at concentration to add. (in ul)</v>
      </c>
    </row>
    <row r="83" spans="2:11" x14ac:dyDescent="0.3">
      <c r="B83" t="s">
        <v>160</v>
      </c>
      <c r="C83" s="3">
        <f>C82*$C$30*(1+$C$33-C35)</f>
        <v>21.12</v>
      </c>
      <c r="D83" t="s">
        <v>143</v>
      </c>
      <c r="K83" t="str">
        <f t="shared" si="2"/>
        <v>R_800_mix =  # Calc how much R primer to add to add. (in ul)</v>
      </c>
    </row>
    <row r="84" spans="2:11" x14ac:dyDescent="0.3">
      <c r="B84" t="s">
        <v>161</v>
      </c>
      <c r="C84" s="3">
        <f>$C$45-C82</f>
        <v>0</v>
      </c>
      <c r="D84" t="s">
        <v>137</v>
      </c>
      <c r="K84" t="str">
        <f t="shared" si="2"/>
        <v>R_800_woff_rxn =  # Calc how much water offset to add to each rxn. (in ul)</v>
      </c>
    </row>
    <row r="85" spans="2:11" x14ac:dyDescent="0.3">
      <c r="B85" t="s">
        <v>162</v>
      </c>
      <c r="C85" s="3">
        <f>C84*$C$30*(1+$C$33-C35)</f>
        <v>0</v>
      </c>
      <c r="D85" t="s">
        <v>146</v>
      </c>
      <c r="K85" t="str">
        <f t="shared" si="2"/>
        <v>R_800_woff_mix =  # Calc how much water offset to add to mix. (in ul)</v>
      </c>
    </row>
    <row r="86" spans="2:11" x14ac:dyDescent="0.3">
      <c r="B86" t="s">
        <v>163</v>
      </c>
      <c r="C86" s="3">
        <f>C16/1000*$C$13/$C$44</f>
        <v>0.625</v>
      </c>
      <c r="D86" t="s">
        <v>164</v>
      </c>
      <c r="K86" t="str">
        <f t="shared" si="2"/>
        <v>F_50_int_conc =  # What intermediate (int) concentration of F primer is needed such that by adding 1.6ul I obtain a final F primer concentration of 50, 100, 200…etc in rxn well? (in uM)</v>
      </c>
    </row>
    <row r="87" spans="2:11" x14ac:dyDescent="0.3">
      <c r="B87" t="s">
        <v>165</v>
      </c>
      <c r="C87" s="3">
        <f t="shared" ref="C87:C91" si="3">C17/1000*$C$13/$C$44</f>
        <v>1.25</v>
      </c>
      <c r="D87" t="s">
        <v>164</v>
      </c>
      <c r="K87" t="str">
        <f t="shared" si="2"/>
        <v>F_100_int_conc =  # What intermediate (int) concentration of F primer is needed such that by adding 1.6ul I obtain a final F primer concentration of 50, 100, 200…etc in rxn well? (in uM)</v>
      </c>
    </row>
    <row r="88" spans="2:11" x14ac:dyDescent="0.3">
      <c r="B88" t="s">
        <v>166</v>
      </c>
      <c r="C88" s="3">
        <f t="shared" si="3"/>
        <v>2.5</v>
      </c>
      <c r="D88" t="s">
        <v>164</v>
      </c>
      <c r="K88" t="str">
        <f t="shared" si="2"/>
        <v>F_200_int_conc =  # What intermediate (int) concentration of F primer is needed such that by adding 1.6ul I obtain a final F primer concentration of 50, 100, 200…etc in rxn well? (in uM)</v>
      </c>
    </row>
    <row r="89" spans="2:11" x14ac:dyDescent="0.3">
      <c r="B89" t="s">
        <v>167</v>
      </c>
      <c r="C89" s="3">
        <f t="shared" si="3"/>
        <v>5</v>
      </c>
      <c r="D89" t="s">
        <v>164</v>
      </c>
      <c r="K89" t="str">
        <f t="shared" si="2"/>
        <v>F_400_int_conc =  # What intermediate (int) concentration of F primer is needed such that by adding 1.6ul I obtain a final F primer concentration of 50, 100, 200…etc in rxn well? (in uM)</v>
      </c>
    </row>
    <row r="90" spans="2:11" x14ac:dyDescent="0.3">
      <c r="B90" t="s">
        <v>168</v>
      </c>
      <c r="C90" s="3">
        <f t="shared" si="3"/>
        <v>7.5</v>
      </c>
      <c r="D90" t="s">
        <v>164</v>
      </c>
      <c r="K90" t="str">
        <f t="shared" si="2"/>
        <v>F_600_int_conc =  # What intermediate (int) concentration of F primer is needed such that by adding 1.6ul I obtain a final F primer concentration of 50, 100, 200…etc in rxn well? (in uM)</v>
      </c>
    </row>
    <row r="91" spans="2:11" x14ac:dyDescent="0.3">
      <c r="B91" t="s">
        <v>169</v>
      </c>
      <c r="C91" s="3">
        <f t="shared" si="3"/>
        <v>10</v>
      </c>
      <c r="D91" t="s">
        <v>164</v>
      </c>
      <c r="K91" t="str">
        <f t="shared" si="2"/>
        <v>F_800_int_conc =  # What intermediate (int) concentration of F primer is needed such that by adding 1.6ul I obtain a final F primer concentration of 50, 100, 200…etc in rxn well? (in uM)</v>
      </c>
    </row>
    <row r="92" spans="2:11" x14ac:dyDescent="0.3">
      <c r="B92" t="s">
        <v>170</v>
      </c>
      <c r="C92" s="3">
        <f>C86*F_int_vol/$C$3</f>
        <v>6.25</v>
      </c>
      <c r="D92" t="s">
        <v>171</v>
      </c>
      <c r="K92" t="str">
        <f t="shared" si="2"/>
        <v>F_50_int_primer =  # What amount of primer should be added to generate int F primer conc? (in ul)</v>
      </c>
    </row>
    <row r="93" spans="2:11" x14ac:dyDescent="0.3">
      <c r="B93" t="s">
        <v>172</v>
      </c>
      <c r="C93" s="3">
        <f>F_int_vol-C92</f>
        <v>93.75</v>
      </c>
      <c r="D93" t="s">
        <v>173</v>
      </c>
      <c r="K93" t="str">
        <f t="shared" si="2"/>
        <v>F_50_int_water =  # What amount of water should be added to generate int F primer conc? (in ul)</v>
      </c>
    </row>
    <row r="94" spans="2:11" x14ac:dyDescent="0.3">
      <c r="B94" t="s">
        <v>174</v>
      </c>
      <c r="C94" s="3">
        <f>C87*F_int_vol/$C$3</f>
        <v>12.5</v>
      </c>
      <c r="D94" t="s">
        <v>171</v>
      </c>
      <c r="K94" t="str">
        <f t="shared" si="2"/>
        <v>F_100_int_primer =  # What amount of primer should be added to generate int F primer conc? (in ul)</v>
      </c>
    </row>
    <row r="95" spans="2:11" x14ac:dyDescent="0.3">
      <c r="B95" t="s">
        <v>175</v>
      </c>
      <c r="C95" s="3">
        <f>F_int_vol-C94</f>
        <v>87.5</v>
      </c>
      <c r="D95" t="s">
        <v>173</v>
      </c>
      <c r="K95" t="str">
        <f t="shared" si="2"/>
        <v>F_100_int_water =  # What amount of water should be added to generate int F primer conc? (in ul)</v>
      </c>
    </row>
    <row r="96" spans="2:11" x14ac:dyDescent="0.3">
      <c r="B96" t="s">
        <v>176</v>
      </c>
      <c r="C96" s="3">
        <f>C88*F_int_vol/$C$3</f>
        <v>25</v>
      </c>
      <c r="D96" t="s">
        <v>171</v>
      </c>
      <c r="K96" t="str">
        <f t="shared" si="2"/>
        <v>F_200_int_primer =  # What amount of primer should be added to generate int F primer conc? (in ul)</v>
      </c>
    </row>
    <row r="97" spans="2:11" x14ac:dyDescent="0.3">
      <c r="B97" t="s">
        <v>177</v>
      </c>
      <c r="C97" s="3">
        <f>F_int_vol-C96</f>
        <v>75</v>
      </c>
      <c r="D97" t="s">
        <v>173</v>
      </c>
      <c r="K97" t="str">
        <f t="shared" si="2"/>
        <v>F_200_int_water =  # What amount of water should be added to generate int F primer conc? (in ul)</v>
      </c>
    </row>
    <row r="98" spans="2:11" x14ac:dyDescent="0.3">
      <c r="B98" t="s">
        <v>178</v>
      </c>
      <c r="C98" s="3">
        <f>C89*F_int_vol/$C$3</f>
        <v>50</v>
      </c>
      <c r="D98" t="s">
        <v>171</v>
      </c>
      <c r="K98" t="str">
        <f t="shared" si="2"/>
        <v>F_400_int_primer =  # What amount of primer should be added to generate int F primer conc? (in ul)</v>
      </c>
    </row>
    <row r="99" spans="2:11" x14ac:dyDescent="0.3">
      <c r="B99" t="s">
        <v>179</v>
      </c>
      <c r="C99" s="3">
        <f>F_int_vol-C98</f>
        <v>50</v>
      </c>
      <c r="D99" t="s">
        <v>173</v>
      </c>
      <c r="K99" t="str">
        <f t="shared" si="2"/>
        <v>F_400_int_water =  # What amount of water should be added to generate int F primer conc? (in ul)</v>
      </c>
    </row>
    <row r="100" spans="2:11" x14ac:dyDescent="0.3">
      <c r="B100" t="s">
        <v>180</v>
      </c>
      <c r="C100" s="3">
        <f>C90*F_int_vol/$C$3</f>
        <v>75</v>
      </c>
      <c r="D100" t="s">
        <v>171</v>
      </c>
      <c r="K100" t="str">
        <f t="shared" si="2"/>
        <v>F_600_int_primer =  # What amount of primer should be added to generate int F primer conc? (in ul)</v>
      </c>
    </row>
    <row r="101" spans="2:11" x14ac:dyDescent="0.3">
      <c r="B101" t="s">
        <v>181</v>
      </c>
      <c r="C101" s="3">
        <f>F_int_vol-C100</f>
        <v>25</v>
      </c>
      <c r="D101" t="s">
        <v>173</v>
      </c>
      <c r="K101" t="str">
        <f t="shared" si="2"/>
        <v>F_600_int_water =  # What amount of water should be added to generate int F primer conc? (in ul)</v>
      </c>
    </row>
    <row r="102" spans="2:11" x14ac:dyDescent="0.3">
      <c r="B102" t="s">
        <v>182</v>
      </c>
      <c r="C102" s="3">
        <f>C91*F_int_vol/$C$3</f>
        <v>100</v>
      </c>
      <c r="D102" t="s">
        <v>171</v>
      </c>
      <c r="K102" t="str">
        <f t="shared" si="2"/>
        <v>F_800_int_primer =  # What amount of primer should be added to generate int F primer conc? (in ul)</v>
      </c>
    </row>
    <row r="103" spans="2:11" x14ac:dyDescent="0.3">
      <c r="B103" t="s">
        <v>183</v>
      </c>
      <c r="C103" s="3">
        <f>F_int_vol-C102</f>
        <v>0</v>
      </c>
      <c r="D103" t="s">
        <v>173</v>
      </c>
      <c r="K103" t="str">
        <f t="shared" si="2"/>
        <v>F_800_int_water =  # What amount of water should be added to generate int F primer conc? (in ul)</v>
      </c>
    </row>
    <row r="104" spans="2:11" x14ac:dyDescent="0.3">
      <c r="B104" t="s">
        <v>184</v>
      </c>
      <c r="C104" s="3">
        <f>C60+C62+C64</f>
        <v>18.400000000000002</v>
      </c>
      <c r="D104" t="s">
        <v>185</v>
      </c>
      <c r="K104" t="str">
        <f t="shared" si="2"/>
        <v>R_mix_rxn =  # What is the rxn vol that should be aliquoted to plate wells after R primer addition? (in ul)</v>
      </c>
    </row>
    <row r="108" spans="2:11" x14ac:dyDescent="0.3">
      <c r="B108" t="s">
        <v>186</v>
      </c>
    </row>
    <row r="109" spans="2:11" x14ac:dyDescent="0.3">
      <c r="B109" s="2" t="s">
        <v>187</v>
      </c>
      <c r="C109" s="3">
        <f>C49*(1+C33)*C40</f>
        <v>1704.96</v>
      </c>
      <c r="D109" t="s">
        <v>188</v>
      </c>
      <c r="K109" t="str">
        <f t="shared" ref="K109:K117" si="4">B109&amp;" = "&amp;" "&amp;"# "&amp;D109</f>
        <v>BPW_mix_tot =  # Mix = base + probe + water (no DNA, F, R primer)*96*waste. (in ul)</v>
      </c>
    </row>
    <row r="110" spans="2:11" x14ac:dyDescent="0.3">
      <c r="B110" t="s">
        <v>189</v>
      </c>
      <c r="C110" s="3">
        <f>C52+C53+C54+C55</f>
        <v>507.60000000000014</v>
      </c>
      <c r="D110" t="s">
        <v>190</v>
      </c>
      <c r="K110" t="str">
        <f t="shared" si="4"/>
        <v>sN_mix_tot =  # Mix = base + probe + water + F,R primers at std conc + water offset (no DNA) * number stds_NTC * waste</v>
      </c>
    </row>
    <row r="111" spans="2:11" x14ac:dyDescent="0.3">
      <c r="B111" t="s">
        <v>191</v>
      </c>
      <c r="C111" s="3">
        <f>C58+C59</f>
        <v>1424.9088000000002</v>
      </c>
      <c r="D111" t="s">
        <v>192</v>
      </c>
      <c r="K111" t="str">
        <f t="shared" si="4"/>
        <v xml:space="preserve">bpwd_mix_tot =  # Mix = base + probe + DNA (no F, R primer) </v>
      </c>
    </row>
    <row r="112" spans="2:11" x14ac:dyDescent="0.3">
      <c r="B112" t="s">
        <v>193</v>
      </c>
      <c r="C112" s="3">
        <f>C61+C63+C65</f>
        <v>242.88</v>
      </c>
      <c r="D112" t="s">
        <v>194</v>
      </c>
      <c r="K112" t="str">
        <f t="shared" si="4"/>
        <v>50_mix =  # Mix = base + probe + DNA+ R primer (No F primer)</v>
      </c>
    </row>
    <row r="113" spans="2:17" x14ac:dyDescent="0.3">
      <c r="B113" t="s">
        <v>195</v>
      </c>
      <c r="C113" s="3">
        <f>C61+C67+C69</f>
        <v>242.87999999999997</v>
      </c>
      <c r="D113" t="s">
        <v>194</v>
      </c>
      <c r="K113" t="str">
        <f t="shared" si="4"/>
        <v>100_mix =  # Mix = base + probe + DNA+ R primer (No F primer)</v>
      </c>
    </row>
    <row r="114" spans="2:17" x14ac:dyDescent="0.3">
      <c r="B114" t="s">
        <v>196</v>
      </c>
      <c r="C114" s="3">
        <f>C61+C71+C73</f>
        <v>242.88</v>
      </c>
      <c r="D114" t="s">
        <v>194</v>
      </c>
      <c r="K114" t="str">
        <f t="shared" si="4"/>
        <v>200_mix =  # Mix = base + probe + DNA+ R primer (No F primer)</v>
      </c>
    </row>
    <row r="115" spans="2:17" x14ac:dyDescent="0.3">
      <c r="B115" t="s">
        <v>197</v>
      </c>
      <c r="C115" s="3">
        <f>C61+C75+C77</f>
        <v>242.88</v>
      </c>
      <c r="D115" t="s">
        <v>194</v>
      </c>
      <c r="K115" t="str">
        <f t="shared" si="4"/>
        <v>400_mix =  # Mix = base + probe + DNA+ R primer (No F primer)</v>
      </c>
    </row>
    <row r="116" spans="2:17" x14ac:dyDescent="0.3">
      <c r="B116" t="s">
        <v>198</v>
      </c>
      <c r="C116" s="3">
        <f>C61+C79+C81</f>
        <v>242.88</v>
      </c>
      <c r="D116" t="s">
        <v>194</v>
      </c>
      <c r="K116" t="str">
        <f t="shared" si="4"/>
        <v>600_mix =  # Mix = base + probe + DNA+ R primer (No F primer)</v>
      </c>
    </row>
    <row r="117" spans="2:17" x14ac:dyDescent="0.3">
      <c r="B117" t="s">
        <v>199</v>
      </c>
      <c r="C117" s="3">
        <f>C61+C83+C85</f>
        <v>242.88</v>
      </c>
      <c r="D117" t="s">
        <v>194</v>
      </c>
      <c r="K117" t="str">
        <f t="shared" si="4"/>
        <v>800_mix =  # Mix = base + probe + DNA+ R primer (No F primer)</v>
      </c>
    </row>
    <row r="119" spans="2:17" ht="15" thickBot="1" x14ac:dyDescent="0.35">
      <c r="B119" t="s">
        <v>200</v>
      </c>
    </row>
    <row r="120" spans="2:17" x14ac:dyDescent="0.3">
      <c r="B120" s="5" t="s">
        <v>201</v>
      </c>
      <c r="C120" s="6" t="s">
        <v>202</v>
      </c>
      <c r="D120" s="6" t="s">
        <v>203</v>
      </c>
      <c r="E120" s="6" t="s">
        <v>204</v>
      </c>
      <c r="F120" s="7">
        <f>C40*(1+C33)</f>
        <v>115.19999999999999</v>
      </c>
      <c r="I120" t="s">
        <v>205</v>
      </c>
    </row>
    <row r="121" spans="2:17" x14ac:dyDescent="0.3">
      <c r="B121" s="8" t="s">
        <v>206</v>
      </c>
      <c r="C121" s="9">
        <v>0.25</v>
      </c>
      <c r="D121" s="9" t="s">
        <v>207</v>
      </c>
      <c r="E121" s="10">
        <v>0.32</v>
      </c>
      <c r="F121" s="10">
        <f t="shared" ref="F121:F127" si="5">E121*$N$13</f>
        <v>0</v>
      </c>
      <c r="I121" s="2" t="s">
        <v>208</v>
      </c>
      <c r="J121">
        <f>C49*(1+C33)*C40</f>
        <v>1704.96</v>
      </c>
      <c r="M121" t="str">
        <f>B111</f>
        <v>bpwd_mix_tot</v>
      </c>
      <c r="N121" s="3">
        <f>C111</f>
        <v>1424.9088000000002</v>
      </c>
      <c r="P121" t="s">
        <v>471</v>
      </c>
      <c r="Q121" s="3">
        <f>SUM(C92,C94,C96,C98,C100,C102)</f>
        <v>268.75</v>
      </c>
    </row>
    <row r="122" spans="2:17" x14ac:dyDescent="0.3">
      <c r="B122" s="8" t="s">
        <v>209</v>
      </c>
      <c r="C122" s="9">
        <v>2.5</v>
      </c>
      <c r="D122" s="9" t="s">
        <v>203</v>
      </c>
      <c r="E122" s="10">
        <v>0.05</v>
      </c>
      <c r="F122" s="10">
        <f t="shared" si="5"/>
        <v>0</v>
      </c>
      <c r="I122" t="s">
        <v>210</v>
      </c>
      <c r="M122" t="str">
        <f>B61</f>
        <v>bpwd_mix_xfer_R_mix</v>
      </c>
      <c r="N122">
        <f>C61</f>
        <v>221.76</v>
      </c>
    </row>
    <row r="123" spans="2:17" x14ac:dyDescent="0.3">
      <c r="B123" s="8" t="s">
        <v>211</v>
      </c>
      <c r="C123" s="9">
        <v>3.5</v>
      </c>
      <c r="D123" s="9" t="s">
        <v>207</v>
      </c>
      <c r="E123" s="10">
        <v>7.0000000000000007E-2</v>
      </c>
      <c r="F123" s="10">
        <f t="shared" si="5"/>
        <v>0</v>
      </c>
      <c r="I123" t="str">
        <f>B52</f>
        <v>BWP_mix_xfer_sN_mix</v>
      </c>
      <c r="J123">
        <f>C52</f>
        <v>417.36000000000007</v>
      </c>
      <c r="M123" t="s">
        <v>212</v>
      </c>
      <c r="N123">
        <v>6</v>
      </c>
    </row>
    <row r="124" spans="2:17" x14ac:dyDescent="0.3">
      <c r="B124" s="8" t="s">
        <v>213</v>
      </c>
      <c r="C124" s="9">
        <v>10</v>
      </c>
      <c r="D124" s="9" t="s">
        <v>214</v>
      </c>
      <c r="E124" s="10">
        <v>4</v>
      </c>
      <c r="F124" s="10">
        <f t="shared" si="5"/>
        <v>0</v>
      </c>
      <c r="I124" t="s">
        <v>215</v>
      </c>
      <c r="J124">
        <f>C58</f>
        <v>1255.2768000000001</v>
      </c>
      <c r="N124">
        <f>N122*N123</f>
        <v>1330.56</v>
      </c>
    </row>
    <row r="125" spans="2:17" x14ac:dyDescent="0.3">
      <c r="B125" s="8" t="s">
        <v>216</v>
      </c>
      <c r="C125" s="9">
        <v>0.5</v>
      </c>
      <c r="D125" s="9" t="s">
        <v>217</v>
      </c>
      <c r="E125" s="10">
        <v>0.2</v>
      </c>
      <c r="F125" s="10">
        <f t="shared" si="5"/>
        <v>0</v>
      </c>
      <c r="J125">
        <f>SUM(J123:J124)</f>
        <v>1672.6368000000002</v>
      </c>
    </row>
    <row r="126" spans="2:17" x14ac:dyDescent="0.3">
      <c r="B126" s="8" t="s">
        <v>218</v>
      </c>
      <c r="C126" s="9">
        <v>1</v>
      </c>
      <c r="D126" s="9" t="s">
        <v>219</v>
      </c>
      <c r="E126" s="10">
        <v>2</v>
      </c>
      <c r="F126" s="10">
        <f t="shared" si="5"/>
        <v>0</v>
      </c>
    </row>
    <row r="127" spans="2:17" x14ac:dyDescent="0.3">
      <c r="B127" s="11" t="s">
        <v>220</v>
      </c>
      <c r="C127" s="9">
        <v>5</v>
      </c>
      <c r="D127" s="9" t="s">
        <v>214</v>
      </c>
      <c r="E127" s="10">
        <v>2.2222222222222223</v>
      </c>
      <c r="F127" s="10">
        <f t="shared" si="5"/>
        <v>0</v>
      </c>
      <c r="I127" t="s">
        <v>221</v>
      </c>
    </row>
    <row r="128" spans="2:17" x14ac:dyDescent="0.3">
      <c r="B128" s="12" t="s">
        <v>222</v>
      </c>
      <c r="C128" s="13"/>
      <c r="D128" s="13"/>
      <c r="E128" s="14">
        <f>$C$12</f>
        <v>8.86</v>
      </c>
      <c r="F128" s="14">
        <f>E128*$F$120</f>
        <v>1020.6719999999998</v>
      </c>
      <c r="I128" t="str">
        <f>B110</f>
        <v>sN_mix_tot</v>
      </c>
      <c r="J128" s="3">
        <f>C110</f>
        <v>507.60000000000014</v>
      </c>
    </row>
    <row r="129" spans="2:11" x14ac:dyDescent="0.3">
      <c r="B129" s="15" t="s">
        <v>223</v>
      </c>
      <c r="C129" s="9"/>
      <c r="D129" s="9"/>
      <c r="E129" s="10"/>
      <c r="F129" s="10"/>
      <c r="I129" t="str">
        <f>B56</f>
        <v>sN_mix_xfer_to_stds_mix</v>
      </c>
      <c r="J129">
        <f>C56</f>
        <v>63.287999999999997</v>
      </c>
    </row>
    <row r="130" spans="2:11" x14ac:dyDescent="0.3">
      <c r="B130" s="15" t="s">
        <v>224</v>
      </c>
      <c r="C130" s="9"/>
      <c r="D130" s="9"/>
      <c r="E130" s="10"/>
      <c r="F130" s="10"/>
      <c r="I130" t="s">
        <v>225</v>
      </c>
      <c r="J130">
        <f>J129*8</f>
        <v>506.30399999999997</v>
      </c>
    </row>
    <row r="131" spans="2:11" x14ac:dyDescent="0.3">
      <c r="B131" s="16" t="s">
        <v>226</v>
      </c>
      <c r="C131" s="9"/>
      <c r="D131" s="9"/>
      <c r="E131" s="10">
        <f t="shared" ref="E131" si="6">0.3*20/10</f>
        <v>0.6</v>
      </c>
      <c r="F131" s="10">
        <f>E131*$F$120</f>
        <v>69.11999999999999</v>
      </c>
    </row>
    <row r="132" spans="2:11" x14ac:dyDescent="0.3">
      <c r="B132" s="15" t="s">
        <v>227</v>
      </c>
      <c r="C132" s="9"/>
      <c r="D132" s="9"/>
      <c r="E132" s="10">
        <v>5.34</v>
      </c>
      <c r="F132" s="10">
        <f>E132*$F$120</f>
        <v>615.16799999999989</v>
      </c>
    </row>
    <row r="133" spans="2:11" ht="15" thickBot="1" x14ac:dyDescent="0.35">
      <c r="B133" s="17" t="s">
        <v>222</v>
      </c>
      <c r="C133" s="18"/>
      <c r="D133" s="18"/>
      <c r="E133" s="19">
        <f>SUM(E128:E132)</f>
        <v>14.799999999999999</v>
      </c>
      <c r="F133" s="19">
        <f>SUM(F128,F129:F132)</f>
        <v>1704.9599999999996</v>
      </c>
      <c r="H133" t="s">
        <v>228</v>
      </c>
    </row>
    <row r="134" spans="2:11" x14ac:dyDescent="0.3">
      <c r="H134" s="20" t="s">
        <v>229</v>
      </c>
      <c r="I134" s="20" t="s">
        <v>230</v>
      </c>
      <c r="J134" s="20" t="s">
        <v>231</v>
      </c>
      <c r="K134" s="20" t="s">
        <v>230</v>
      </c>
    </row>
    <row r="135" spans="2:11" ht="15" thickBot="1" x14ac:dyDescent="0.35">
      <c r="B135" t="s">
        <v>232</v>
      </c>
      <c r="C135" t="s">
        <v>233</v>
      </c>
      <c r="H135" s="20" t="s">
        <v>234</v>
      </c>
      <c r="I135" s="20" t="s">
        <v>235</v>
      </c>
      <c r="J135" s="20" t="s">
        <v>236</v>
      </c>
      <c r="K135" s="20" t="s">
        <v>237</v>
      </c>
    </row>
    <row r="136" spans="2:11" x14ac:dyDescent="0.3">
      <c r="B136" s="5" t="s">
        <v>201</v>
      </c>
      <c r="C136" s="6" t="s">
        <v>202</v>
      </c>
      <c r="D136" s="6" t="s">
        <v>203</v>
      </c>
      <c r="E136" s="6" t="s">
        <v>204</v>
      </c>
      <c r="F136" s="7">
        <f>C41*(1+C33-C34)</f>
        <v>28.200000000000003</v>
      </c>
      <c r="H136" s="20">
        <f>J136/1000*K136/I136</f>
        <v>0.625</v>
      </c>
      <c r="I136" s="20">
        <v>1.6</v>
      </c>
      <c r="J136" s="20">
        <v>50</v>
      </c>
      <c r="K136" s="20">
        <v>20</v>
      </c>
    </row>
    <row r="137" spans="2:11" x14ac:dyDescent="0.3">
      <c r="B137" s="8" t="s">
        <v>238</v>
      </c>
      <c r="C137" s="9"/>
      <c r="D137" s="9"/>
      <c r="E137" s="10">
        <f>$C$49</f>
        <v>14.8</v>
      </c>
      <c r="F137" s="10">
        <f>E137*$F$136</f>
        <v>417.36000000000007</v>
      </c>
      <c r="H137" s="20">
        <f t="shared" ref="H137:H141" si="7">J137/1000*K137/I137</f>
        <v>1.25</v>
      </c>
      <c r="I137" s="20">
        <v>1.6</v>
      </c>
      <c r="J137" s="20">
        <v>100</v>
      </c>
      <c r="K137" s="20">
        <v>20</v>
      </c>
    </row>
    <row r="138" spans="2:11" x14ac:dyDescent="0.3">
      <c r="B138" s="15" t="s">
        <v>223</v>
      </c>
      <c r="C138" s="9"/>
      <c r="D138" s="9"/>
      <c r="E138" s="10">
        <f>C47</f>
        <v>0.6</v>
      </c>
      <c r="F138" s="10">
        <f>E138*$F$136</f>
        <v>16.920000000000002</v>
      </c>
      <c r="H138" s="20">
        <f t="shared" si="7"/>
        <v>2.5</v>
      </c>
      <c r="I138" s="20">
        <v>1.6</v>
      </c>
      <c r="J138" s="20">
        <v>200</v>
      </c>
      <c r="K138" s="20">
        <v>20</v>
      </c>
    </row>
    <row r="139" spans="2:11" x14ac:dyDescent="0.3">
      <c r="B139" s="15" t="s">
        <v>224</v>
      </c>
      <c r="C139" s="9"/>
      <c r="D139" s="9"/>
      <c r="E139" s="10">
        <f>C48</f>
        <v>0.6</v>
      </c>
      <c r="F139" s="10">
        <f>E139*$F$136</f>
        <v>16.920000000000002</v>
      </c>
      <c r="H139" s="20">
        <f t="shared" si="7"/>
        <v>5</v>
      </c>
      <c r="I139" s="20">
        <v>1.6</v>
      </c>
      <c r="J139" s="20">
        <v>400</v>
      </c>
      <c r="K139" s="20">
        <v>20</v>
      </c>
    </row>
    <row r="140" spans="2:11" x14ac:dyDescent="0.3">
      <c r="B140" s="15" t="s">
        <v>227</v>
      </c>
      <c r="C140" s="9"/>
      <c r="D140" s="9"/>
      <c r="E140" s="10">
        <f>C50</f>
        <v>2</v>
      </c>
      <c r="F140" s="10">
        <f>E140*$F$136</f>
        <v>56.400000000000006</v>
      </c>
      <c r="H140" s="20">
        <f t="shared" si="7"/>
        <v>7.5</v>
      </c>
      <c r="I140" s="20">
        <v>1.6</v>
      </c>
      <c r="J140" s="20">
        <v>600</v>
      </c>
      <c r="K140" s="20">
        <v>20</v>
      </c>
    </row>
    <row r="141" spans="2:11" ht="15" thickBot="1" x14ac:dyDescent="0.35">
      <c r="B141" s="17" t="s">
        <v>222</v>
      </c>
      <c r="C141" s="18"/>
      <c r="D141" s="18"/>
      <c r="E141" s="19">
        <f>SUM(E137:E140)</f>
        <v>18</v>
      </c>
      <c r="F141" s="10">
        <f>E141*$F$136</f>
        <v>507.6</v>
      </c>
      <c r="H141" s="20">
        <f t="shared" si="7"/>
        <v>10</v>
      </c>
      <c r="I141" s="20">
        <v>1.6</v>
      </c>
      <c r="J141" s="20">
        <v>800</v>
      </c>
      <c r="K141" s="20">
        <v>20</v>
      </c>
    </row>
    <row r="142" spans="2:11" x14ac:dyDescent="0.3">
      <c r="B142" s="21"/>
      <c r="F142" s="3"/>
    </row>
    <row r="143" spans="2:11" x14ac:dyDescent="0.3">
      <c r="H143" t="s">
        <v>239</v>
      </c>
    </row>
    <row r="144" spans="2:11" ht="15" thickBot="1" x14ac:dyDescent="0.35">
      <c r="B144" t="s">
        <v>240</v>
      </c>
      <c r="C144" t="s">
        <v>241</v>
      </c>
      <c r="H144" s="20" t="s">
        <v>229</v>
      </c>
      <c r="I144" s="20" t="s">
        <v>230</v>
      </c>
      <c r="J144" s="20" t="s">
        <v>229</v>
      </c>
      <c r="K144" s="20" t="s">
        <v>230</v>
      </c>
    </row>
    <row r="145" spans="2:15" x14ac:dyDescent="0.3">
      <c r="B145" s="5" t="s">
        <v>201</v>
      </c>
      <c r="C145" s="6" t="s">
        <v>202</v>
      </c>
      <c r="D145" s="6" t="s">
        <v>203</v>
      </c>
      <c r="E145" s="6" t="s">
        <v>204</v>
      </c>
      <c r="F145" s="7">
        <f>C11*(1+$C$33-$C$37)</f>
        <v>84.816000000000003</v>
      </c>
      <c r="H145" s="20" t="s">
        <v>234</v>
      </c>
      <c r="I145" s="20" t="s">
        <v>235</v>
      </c>
      <c r="J145" s="20" t="s">
        <v>236</v>
      </c>
      <c r="K145" s="20" t="s">
        <v>237</v>
      </c>
      <c r="N145" t="s">
        <v>242</v>
      </c>
      <c r="O145" t="s">
        <v>243</v>
      </c>
    </row>
    <row r="146" spans="2:15" x14ac:dyDescent="0.3">
      <c r="B146" s="8" t="s">
        <v>238</v>
      </c>
      <c r="C146" s="9"/>
      <c r="D146" s="9"/>
      <c r="E146" s="10">
        <f>$C$49</f>
        <v>14.8</v>
      </c>
      <c r="F146" s="10">
        <f>E146*$F$145</f>
        <v>1255.2768000000001</v>
      </c>
      <c r="H146" s="20">
        <v>10</v>
      </c>
      <c r="I146" s="22">
        <f>J146*K146/H146</f>
        <v>6.25</v>
      </c>
      <c r="J146" s="22">
        <f>H136</f>
        <v>0.625</v>
      </c>
      <c r="K146" s="20">
        <v>100</v>
      </c>
      <c r="N146" s="3">
        <f>I146</f>
        <v>6.25</v>
      </c>
      <c r="O146" s="3">
        <f>K146-N146</f>
        <v>93.75</v>
      </c>
    </row>
    <row r="147" spans="2:15" x14ac:dyDescent="0.3">
      <c r="B147" s="15" t="s">
        <v>223</v>
      </c>
      <c r="C147" s="9"/>
      <c r="D147" s="9"/>
      <c r="E147" s="10">
        <v>0</v>
      </c>
      <c r="F147" s="10">
        <f t="shared" ref="F147:F151" si="8">E147*$F$145</f>
        <v>0</v>
      </c>
      <c r="H147" s="20">
        <v>10</v>
      </c>
      <c r="I147" s="22">
        <f t="shared" ref="I147:I151" si="9">J147*K147/H147</f>
        <v>12.5</v>
      </c>
      <c r="J147" s="22">
        <f t="shared" ref="J147:J151" si="10">H137</f>
        <v>1.25</v>
      </c>
      <c r="K147" s="20">
        <v>100</v>
      </c>
      <c r="N147" s="3">
        <f t="shared" ref="N147:N151" si="11">I147</f>
        <v>12.5</v>
      </c>
      <c r="O147" s="3">
        <f t="shared" ref="O147:O151" si="12">K147-N147</f>
        <v>87.5</v>
      </c>
    </row>
    <row r="148" spans="2:15" x14ac:dyDescent="0.3">
      <c r="B148" s="15" t="s">
        <v>224</v>
      </c>
      <c r="C148" s="9"/>
      <c r="D148" s="9"/>
      <c r="E148" s="10">
        <v>0</v>
      </c>
      <c r="F148" s="10">
        <f t="shared" si="8"/>
        <v>0</v>
      </c>
      <c r="H148" s="20">
        <v>10</v>
      </c>
      <c r="I148" s="22">
        <f t="shared" si="9"/>
        <v>25</v>
      </c>
      <c r="J148" s="22">
        <f t="shared" si="10"/>
        <v>2.5</v>
      </c>
      <c r="K148" s="20">
        <v>100</v>
      </c>
      <c r="N148" s="3">
        <f t="shared" si="11"/>
        <v>25</v>
      </c>
      <c r="O148" s="3">
        <f t="shared" si="12"/>
        <v>75</v>
      </c>
    </row>
    <row r="149" spans="2:15" x14ac:dyDescent="0.3">
      <c r="B149" s="15" t="s">
        <v>227</v>
      </c>
      <c r="C149" s="9"/>
      <c r="D149" s="9"/>
      <c r="E149" s="10">
        <v>0</v>
      </c>
      <c r="F149" s="10">
        <f t="shared" si="8"/>
        <v>0</v>
      </c>
      <c r="H149" s="20">
        <v>10</v>
      </c>
      <c r="I149" s="22">
        <f t="shared" si="9"/>
        <v>50</v>
      </c>
      <c r="J149" s="22">
        <f t="shared" si="10"/>
        <v>5</v>
      </c>
      <c r="K149" s="20">
        <v>100</v>
      </c>
      <c r="N149" s="3">
        <f t="shared" si="11"/>
        <v>50</v>
      </c>
      <c r="O149" s="3">
        <f t="shared" si="12"/>
        <v>50</v>
      </c>
    </row>
    <row r="150" spans="2:15" x14ac:dyDescent="0.3">
      <c r="B150" s="15" t="s">
        <v>244</v>
      </c>
      <c r="C150" s="9"/>
      <c r="D150" s="9"/>
      <c r="E150" s="10">
        <v>2</v>
      </c>
      <c r="F150" s="10">
        <f>E150*$F$145</f>
        <v>169.63200000000001</v>
      </c>
      <c r="H150" s="20">
        <v>10</v>
      </c>
      <c r="I150" s="22">
        <f t="shared" si="9"/>
        <v>75</v>
      </c>
      <c r="J150" s="22">
        <f t="shared" si="10"/>
        <v>7.5</v>
      </c>
      <c r="K150" s="20">
        <v>100</v>
      </c>
      <c r="N150" s="3">
        <f t="shared" si="11"/>
        <v>75</v>
      </c>
      <c r="O150" s="3">
        <f t="shared" si="12"/>
        <v>25</v>
      </c>
    </row>
    <row r="151" spans="2:15" ht="15" thickBot="1" x14ac:dyDescent="0.35">
      <c r="B151" s="17" t="s">
        <v>222</v>
      </c>
      <c r="C151" s="18"/>
      <c r="D151" s="18"/>
      <c r="E151" s="19">
        <f>SUM(E146:E150)</f>
        <v>16.8</v>
      </c>
      <c r="F151" s="10">
        <f t="shared" si="8"/>
        <v>1424.9088000000002</v>
      </c>
      <c r="H151" s="20">
        <v>10</v>
      </c>
      <c r="I151" s="22">
        <f t="shared" si="9"/>
        <v>100</v>
      </c>
      <c r="J151" s="22">
        <f t="shared" si="10"/>
        <v>10</v>
      </c>
      <c r="K151" s="20">
        <v>100</v>
      </c>
      <c r="N151" s="3">
        <f t="shared" si="11"/>
        <v>100</v>
      </c>
      <c r="O151" s="3">
        <f t="shared" si="12"/>
        <v>0</v>
      </c>
    </row>
    <row r="153" spans="2:15" ht="15" thickBot="1" x14ac:dyDescent="0.35">
      <c r="B153" t="s">
        <v>245</v>
      </c>
      <c r="H153" s="3"/>
    </row>
    <row r="154" spans="2:15" x14ac:dyDescent="0.3">
      <c r="B154" s="5" t="s">
        <v>201</v>
      </c>
      <c r="C154" s="6" t="s">
        <v>202</v>
      </c>
      <c r="D154" s="6" t="s">
        <v>203</v>
      </c>
      <c r="E154" s="6" t="s">
        <v>204</v>
      </c>
      <c r="F154" s="7">
        <f>12*(1+C33-C35)</f>
        <v>13.2</v>
      </c>
      <c r="H154" s="3"/>
    </row>
    <row r="155" spans="2:15" x14ac:dyDescent="0.3">
      <c r="B155" s="8" t="s">
        <v>215</v>
      </c>
      <c r="C155" s="9"/>
      <c r="D155" s="9"/>
      <c r="E155" s="10">
        <f>C60</f>
        <v>16.8</v>
      </c>
      <c r="F155" s="10">
        <f>E155*$F$154</f>
        <v>221.76</v>
      </c>
    </row>
    <row r="156" spans="2:15" x14ac:dyDescent="0.3">
      <c r="B156" s="15" t="s">
        <v>223</v>
      </c>
      <c r="C156" s="9" t="s">
        <v>246</v>
      </c>
      <c r="D156" s="9"/>
      <c r="E156" s="10"/>
      <c r="F156" s="10">
        <f t="shared" ref="F156:F159" si="13">E156*$F$154</f>
        <v>0</v>
      </c>
      <c r="I156" s="3"/>
    </row>
    <row r="157" spans="2:15" x14ac:dyDescent="0.3">
      <c r="B157" s="15" t="s">
        <v>224</v>
      </c>
      <c r="C157" s="9">
        <v>50</v>
      </c>
      <c r="D157" s="9" t="s">
        <v>247</v>
      </c>
      <c r="E157" s="10">
        <f>C62</f>
        <v>0.1</v>
      </c>
      <c r="F157" s="10">
        <f t="shared" si="13"/>
        <v>1.32</v>
      </c>
    </row>
    <row r="158" spans="2:15" x14ac:dyDescent="0.3">
      <c r="B158" s="15" t="s">
        <v>227</v>
      </c>
      <c r="C158" s="9"/>
      <c r="D158" s="9"/>
      <c r="E158" s="10">
        <f>C64</f>
        <v>1.5</v>
      </c>
      <c r="F158" s="10">
        <f t="shared" si="13"/>
        <v>19.799999999999997</v>
      </c>
    </row>
    <row r="159" spans="2:15" ht="15" thickBot="1" x14ac:dyDescent="0.35">
      <c r="B159" s="17" t="s">
        <v>222</v>
      </c>
      <c r="C159" s="18"/>
      <c r="D159" s="18"/>
      <c r="E159" s="19">
        <f>SUM(E155:E158)</f>
        <v>18.400000000000002</v>
      </c>
      <c r="F159" s="10">
        <f t="shared" si="13"/>
        <v>242.88000000000002</v>
      </c>
    </row>
    <row r="161" spans="2:6" ht="15" thickBot="1" x14ac:dyDescent="0.35">
      <c r="B161" t="s">
        <v>248</v>
      </c>
    </row>
    <row r="162" spans="2:6" x14ac:dyDescent="0.3">
      <c r="B162" s="5" t="s">
        <v>201</v>
      </c>
      <c r="C162" s="6" t="s">
        <v>202</v>
      </c>
      <c r="D162" s="6" t="s">
        <v>203</v>
      </c>
      <c r="E162" s="6" t="s">
        <v>204</v>
      </c>
      <c r="F162" s="7">
        <f>$C$30*(1+C33-0.1)</f>
        <v>13.2</v>
      </c>
    </row>
    <row r="163" spans="2:6" x14ac:dyDescent="0.3">
      <c r="B163" s="8" t="s">
        <v>215</v>
      </c>
      <c r="C163" s="9"/>
      <c r="D163" s="9"/>
      <c r="E163" s="10">
        <f>$C$60</f>
        <v>16.8</v>
      </c>
      <c r="F163" s="10">
        <f>E163*$F$162</f>
        <v>221.76</v>
      </c>
    </row>
    <row r="164" spans="2:6" x14ac:dyDescent="0.3">
      <c r="B164" s="15" t="s">
        <v>223</v>
      </c>
      <c r="C164" s="9" t="s">
        <v>246</v>
      </c>
      <c r="D164" s="9"/>
      <c r="E164" s="10"/>
      <c r="F164" s="10">
        <f t="shared" ref="F164:F167" si="14">E164*$F$154</f>
        <v>0</v>
      </c>
    </row>
    <row r="165" spans="2:6" x14ac:dyDescent="0.3">
      <c r="B165" s="15" t="s">
        <v>224</v>
      </c>
      <c r="C165" s="9">
        <v>100</v>
      </c>
      <c r="D165" s="9" t="s">
        <v>247</v>
      </c>
      <c r="E165" s="10">
        <f>C66</f>
        <v>0.2</v>
      </c>
      <c r="F165" s="10">
        <f t="shared" si="14"/>
        <v>2.64</v>
      </c>
    </row>
    <row r="166" spans="2:6" x14ac:dyDescent="0.3">
      <c r="B166" s="15" t="s">
        <v>227</v>
      </c>
      <c r="C166" s="9"/>
      <c r="D166" s="9"/>
      <c r="E166" s="10">
        <f>C68</f>
        <v>1.4000000000000001</v>
      </c>
      <c r="F166" s="10">
        <f t="shared" si="14"/>
        <v>18.48</v>
      </c>
    </row>
    <row r="167" spans="2:6" ht="15" thickBot="1" x14ac:dyDescent="0.35">
      <c r="B167" s="17" t="s">
        <v>222</v>
      </c>
      <c r="C167" s="18"/>
      <c r="D167" s="18"/>
      <c r="E167" s="19">
        <f>SUM(E163:E166)</f>
        <v>18.399999999999999</v>
      </c>
      <c r="F167" s="10">
        <f t="shared" si="14"/>
        <v>242.87999999999997</v>
      </c>
    </row>
    <row r="169" spans="2:6" ht="15" thickBot="1" x14ac:dyDescent="0.35">
      <c r="B169" t="s">
        <v>249</v>
      </c>
    </row>
    <row r="170" spans="2:6" x14ac:dyDescent="0.3">
      <c r="B170" s="5" t="s">
        <v>201</v>
      </c>
      <c r="C170" s="6" t="s">
        <v>202</v>
      </c>
      <c r="D170" s="6" t="s">
        <v>203</v>
      </c>
      <c r="E170" s="6" t="s">
        <v>204</v>
      </c>
      <c r="F170" s="7">
        <f>$C$30*(1+$C$33-0.1)</f>
        <v>13.2</v>
      </c>
    </row>
    <row r="171" spans="2:6" x14ac:dyDescent="0.3">
      <c r="B171" s="8" t="s">
        <v>215</v>
      </c>
      <c r="C171" s="9"/>
      <c r="D171" s="9"/>
      <c r="E171" s="10">
        <f>$C$60</f>
        <v>16.8</v>
      </c>
      <c r="F171" s="10">
        <f>E171*$F$162</f>
        <v>221.76</v>
      </c>
    </row>
    <row r="172" spans="2:6" x14ac:dyDescent="0.3">
      <c r="B172" s="15" t="s">
        <v>223</v>
      </c>
      <c r="C172" s="9" t="s">
        <v>246</v>
      </c>
      <c r="D172" s="9"/>
      <c r="E172" s="10"/>
      <c r="F172" s="10">
        <f t="shared" ref="F172:F175" si="15">E172*$F$154</f>
        <v>0</v>
      </c>
    </row>
    <row r="173" spans="2:6" x14ac:dyDescent="0.3">
      <c r="B173" s="15" t="s">
        <v>224</v>
      </c>
      <c r="C173" s="9">
        <v>200</v>
      </c>
      <c r="D173" s="9" t="s">
        <v>247</v>
      </c>
      <c r="E173" s="10">
        <f>C70</f>
        <v>0.4</v>
      </c>
      <c r="F173" s="10">
        <f t="shared" si="15"/>
        <v>5.28</v>
      </c>
    </row>
    <row r="174" spans="2:6" x14ac:dyDescent="0.3">
      <c r="B174" s="15" t="s">
        <v>227</v>
      </c>
      <c r="C174" s="9"/>
      <c r="D174" s="9"/>
      <c r="E174" s="10">
        <f>C72</f>
        <v>1.2000000000000002</v>
      </c>
      <c r="F174" s="10">
        <f t="shared" si="15"/>
        <v>15.840000000000002</v>
      </c>
    </row>
    <row r="175" spans="2:6" ht="15" thickBot="1" x14ac:dyDescent="0.35">
      <c r="B175" s="17" t="s">
        <v>222</v>
      </c>
      <c r="C175" s="18"/>
      <c r="D175" s="18"/>
      <c r="E175" s="19">
        <f>SUM(E171:E174)</f>
        <v>18.399999999999999</v>
      </c>
      <c r="F175" s="10">
        <f t="shared" si="15"/>
        <v>242.87999999999997</v>
      </c>
    </row>
    <row r="177" spans="2:6" ht="15" thickBot="1" x14ac:dyDescent="0.35">
      <c r="B177" t="s">
        <v>250</v>
      </c>
    </row>
    <row r="178" spans="2:6" x14ac:dyDescent="0.3">
      <c r="B178" s="5" t="s">
        <v>201</v>
      </c>
      <c r="C178" s="6" t="s">
        <v>202</v>
      </c>
      <c r="D178" s="6" t="s">
        <v>203</v>
      </c>
      <c r="E178" s="6" t="s">
        <v>204</v>
      </c>
      <c r="F178" s="7">
        <f>$C$30*(1+$C$33-0.1)</f>
        <v>13.2</v>
      </c>
    </row>
    <row r="179" spans="2:6" x14ac:dyDescent="0.3">
      <c r="B179" s="8" t="s">
        <v>215</v>
      </c>
      <c r="C179" s="9"/>
      <c r="D179" s="9"/>
      <c r="E179" s="10">
        <f>$C$60</f>
        <v>16.8</v>
      </c>
      <c r="F179" s="10">
        <f>E179*$F$162</f>
        <v>221.76</v>
      </c>
    </row>
    <row r="180" spans="2:6" x14ac:dyDescent="0.3">
      <c r="B180" s="15" t="s">
        <v>223</v>
      </c>
      <c r="C180" s="9" t="s">
        <v>246</v>
      </c>
      <c r="D180" s="9"/>
      <c r="E180" s="10"/>
      <c r="F180" s="10">
        <f t="shared" ref="F180:F183" si="16">E180*$F$154</f>
        <v>0</v>
      </c>
    </row>
    <row r="181" spans="2:6" x14ac:dyDescent="0.3">
      <c r="B181" s="15" t="s">
        <v>224</v>
      </c>
      <c r="C181" s="9">
        <v>400</v>
      </c>
      <c r="D181" s="9" t="s">
        <v>247</v>
      </c>
      <c r="E181" s="10">
        <f>C74</f>
        <v>0.8</v>
      </c>
      <c r="F181" s="10">
        <f t="shared" si="16"/>
        <v>10.56</v>
      </c>
    </row>
    <row r="182" spans="2:6" x14ac:dyDescent="0.3">
      <c r="B182" s="15" t="s">
        <v>227</v>
      </c>
      <c r="C182" s="9"/>
      <c r="D182" s="9"/>
      <c r="E182" s="10">
        <f>C80</f>
        <v>0.40000000000000013</v>
      </c>
      <c r="F182" s="10">
        <f t="shared" si="16"/>
        <v>5.2800000000000011</v>
      </c>
    </row>
    <row r="183" spans="2:6" ht="15" thickBot="1" x14ac:dyDescent="0.35">
      <c r="B183" s="17" t="s">
        <v>222</v>
      </c>
      <c r="C183" s="18"/>
      <c r="D183" s="18"/>
      <c r="E183" s="19">
        <f>SUM(E179:E182)</f>
        <v>18</v>
      </c>
      <c r="F183" s="10">
        <f t="shared" si="16"/>
        <v>237.6</v>
      </c>
    </row>
    <row r="185" spans="2:6" ht="15" thickBot="1" x14ac:dyDescent="0.35">
      <c r="B185" t="s">
        <v>251</v>
      </c>
    </row>
    <row r="186" spans="2:6" x14ac:dyDescent="0.3">
      <c r="B186" s="5" t="s">
        <v>201</v>
      </c>
      <c r="C186" s="6" t="s">
        <v>202</v>
      </c>
      <c r="D186" s="6" t="s">
        <v>203</v>
      </c>
      <c r="E186" s="6" t="s">
        <v>204</v>
      </c>
      <c r="F186" s="7">
        <f>$C$30*(1+$C$33-0.1)</f>
        <v>13.2</v>
      </c>
    </row>
    <row r="187" spans="2:6" x14ac:dyDescent="0.3">
      <c r="B187" s="8" t="s">
        <v>215</v>
      </c>
      <c r="C187" s="9"/>
      <c r="D187" s="9"/>
      <c r="E187" s="10">
        <f>$C$60</f>
        <v>16.8</v>
      </c>
      <c r="F187" s="10">
        <f>E187*$F$162</f>
        <v>221.76</v>
      </c>
    </row>
    <row r="188" spans="2:6" x14ac:dyDescent="0.3">
      <c r="B188" s="15" t="s">
        <v>223</v>
      </c>
      <c r="C188" s="9" t="s">
        <v>246</v>
      </c>
      <c r="D188" s="9"/>
      <c r="E188" s="10"/>
      <c r="F188" s="10">
        <f t="shared" ref="F188:F191" si="17">E188*$F$154</f>
        <v>0</v>
      </c>
    </row>
    <row r="189" spans="2:6" x14ac:dyDescent="0.3">
      <c r="B189" s="15" t="s">
        <v>224</v>
      </c>
      <c r="C189" s="9">
        <v>600</v>
      </c>
      <c r="D189" s="9" t="s">
        <v>247</v>
      </c>
      <c r="E189" s="10">
        <f>C78</f>
        <v>1.2</v>
      </c>
      <c r="F189" s="10">
        <f t="shared" si="17"/>
        <v>15.839999999999998</v>
      </c>
    </row>
    <row r="190" spans="2:6" x14ac:dyDescent="0.3">
      <c r="B190" s="15" t="s">
        <v>227</v>
      </c>
      <c r="C190" s="9"/>
      <c r="D190" s="9"/>
      <c r="E190" s="10">
        <f>C80</f>
        <v>0.40000000000000013</v>
      </c>
      <c r="F190" s="10">
        <f t="shared" si="17"/>
        <v>5.2800000000000011</v>
      </c>
    </row>
    <row r="191" spans="2:6" ht="15" thickBot="1" x14ac:dyDescent="0.35">
      <c r="B191" s="17" t="s">
        <v>222</v>
      </c>
      <c r="C191" s="18"/>
      <c r="D191" s="18"/>
      <c r="E191" s="19">
        <f>SUM(E187:E190)</f>
        <v>18.399999999999999</v>
      </c>
      <c r="F191" s="10">
        <f t="shared" si="17"/>
        <v>242.87999999999997</v>
      </c>
    </row>
    <row r="193" spans="2:6" ht="15" thickBot="1" x14ac:dyDescent="0.35">
      <c r="B193" t="s">
        <v>252</v>
      </c>
    </row>
    <row r="194" spans="2:6" x14ac:dyDescent="0.3">
      <c r="B194" s="5" t="s">
        <v>201</v>
      </c>
      <c r="C194" s="6" t="s">
        <v>202</v>
      </c>
      <c r="D194" s="6" t="s">
        <v>203</v>
      </c>
      <c r="E194" s="6" t="s">
        <v>204</v>
      </c>
      <c r="F194" s="7">
        <f>$C$30*(1+$C$33-0.1)</f>
        <v>13.2</v>
      </c>
    </row>
    <row r="195" spans="2:6" x14ac:dyDescent="0.3">
      <c r="B195" s="8" t="s">
        <v>215</v>
      </c>
      <c r="C195" s="9"/>
      <c r="D195" s="9"/>
      <c r="E195" s="10">
        <f>$C$60</f>
        <v>16.8</v>
      </c>
      <c r="F195" s="10">
        <f>E195*$F$162</f>
        <v>221.76</v>
      </c>
    </row>
    <row r="196" spans="2:6" x14ac:dyDescent="0.3">
      <c r="B196" s="15" t="s">
        <v>223</v>
      </c>
      <c r="C196" s="9" t="s">
        <v>246</v>
      </c>
      <c r="D196" s="9"/>
      <c r="E196" s="10"/>
      <c r="F196" s="10">
        <f t="shared" ref="F196:F199" si="18">E196*$F$154</f>
        <v>0</v>
      </c>
    </row>
    <row r="197" spans="2:6" x14ac:dyDescent="0.3">
      <c r="B197" s="15" t="s">
        <v>224</v>
      </c>
      <c r="C197" s="9">
        <v>800</v>
      </c>
      <c r="D197" s="9" t="s">
        <v>247</v>
      </c>
      <c r="E197" s="10">
        <f>C82</f>
        <v>1.6</v>
      </c>
      <c r="F197" s="10">
        <f t="shared" si="18"/>
        <v>21.12</v>
      </c>
    </row>
    <row r="198" spans="2:6" x14ac:dyDescent="0.3">
      <c r="B198" s="15" t="s">
        <v>227</v>
      </c>
      <c r="C198" s="9"/>
      <c r="D198" s="9"/>
      <c r="E198" s="10">
        <f>C84</f>
        <v>0</v>
      </c>
      <c r="F198" s="10">
        <f t="shared" si="18"/>
        <v>0</v>
      </c>
    </row>
    <row r="199" spans="2:6" ht="15" thickBot="1" x14ac:dyDescent="0.35">
      <c r="B199" s="17" t="s">
        <v>222</v>
      </c>
      <c r="C199" s="18"/>
      <c r="D199" s="18"/>
      <c r="E199" s="19">
        <f>SUM(E195:E198)</f>
        <v>18.400000000000002</v>
      </c>
      <c r="F199" s="10">
        <f t="shared" si="18"/>
        <v>242.88000000000002</v>
      </c>
    </row>
  </sheetData>
  <hyperlinks>
    <hyperlink ref="B131" r:id="rId1" xr:uid="{CC341E71-36FF-43FD-B55F-7FE088F5043B}"/>
  </hyperlinks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78EF1-10F8-4AD5-9DBF-13B73EB97B4F}">
  <sheetPr codeName="Sheet3"/>
  <dimension ref="A2:E20"/>
  <sheetViews>
    <sheetView zoomScale="55" zoomScaleNormal="55" workbookViewId="0">
      <selection activeCell="A2" sqref="A2:E20"/>
    </sheetView>
  </sheetViews>
  <sheetFormatPr defaultRowHeight="14.4" x14ac:dyDescent="0.3"/>
  <cols>
    <col min="3" max="3" width="14.77734375" bestFit="1" customWidth="1"/>
  </cols>
  <sheetData>
    <row r="2" spans="1:5" x14ac:dyDescent="0.3">
      <c r="A2" t="s">
        <v>760</v>
      </c>
      <c r="B2" t="s">
        <v>254</v>
      </c>
      <c r="C2" t="s">
        <v>255</v>
      </c>
      <c r="E2" t="s">
        <v>256</v>
      </c>
    </row>
    <row r="3" spans="1:5" x14ac:dyDescent="0.3">
      <c r="A3" s="23"/>
      <c r="B3">
        <v>100</v>
      </c>
      <c r="C3" s="23">
        <v>625000000000000</v>
      </c>
      <c r="E3">
        <f>B3*1000000</f>
        <v>100000000</v>
      </c>
    </row>
    <row r="4" spans="1:5" x14ac:dyDescent="0.3">
      <c r="A4" s="23"/>
      <c r="B4">
        <f>B3/10</f>
        <v>10</v>
      </c>
      <c r="C4" s="23">
        <f>C3/10</f>
        <v>62500000000000</v>
      </c>
      <c r="E4">
        <f t="shared" ref="E4:E18" si="0">B4*1000000</f>
        <v>10000000</v>
      </c>
    </row>
    <row r="5" spans="1:5" x14ac:dyDescent="0.3">
      <c r="A5" s="23" t="s">
        <v>257</v>
      </c>
      <c r="B5">
        <f t="shared" ref="B5:C20" si="1">B4/10</f>
        <v>1</v>
      </c>
      <c r="C5" s="23">
        <f t="shared" si="1"/>
        <v>6250000000000</v>
      </c>
      <c r="E5">
        <f t="shared" si="0"/>
        <v>1000000</v>
      </c>
    </row>
    <row r="6" spans="1:5" ht="15" thickBot="1" x14ac:dyDescent="0.35">
      <c r="B6">
        <f t="shared" si="1"/>
        <v>0.1</v>
      </c>
      <c r="C6" s="23">
        <f t="shared" si="1"/>
        <v>625000000000</v>
      </c>
      <c r="E6">
        <f t="shared" si="0"/>
        <v>100000</v>
      </c>
    </row>
    <row r="7" spans="1:5" ht="15" thickBot="1" x14ac:dyDescent="0.35">
      <c r="A7" s="23" t="s">
        <v>258</v>
      </c>
      <c r="B7" s="24">
        <f t="shared" si="1"/>
        <v>0.01</v>
      </c>
      <c r="C7" s="25">
        <f t="shared" si="1"/>
        <v>62500000000</v>
      </c>
      <c r="D7" s="26"/>
      <c r="E7">
        <f t="shared" si="0"/>
        <v>10000</v>
      </c>
    </row>
    <row r="8" spans="1:5" x14ac:dyDescent="0.3">
      <c r="A8" s="23" t="s">
        <v>259</v>
      </c>
      <c r="B8" s="27">
        <f t="shared" si="1"/>
        <v>1E-3</v>
      </c>
      <c r="C8" s="28">
        <f t="shared" si="1"/>
        <v>6250000000</v>
      </c>
      <c r="D8" s="29" t="s">
        <v>260</v>
      </c>
      <c r="E8">
        <f t="shared" si="0"/>
        <v>1000</v>
      </c>
    </row>
    <row r="9" spans="1:5" x14ac:dyDescent="0.3">
      <c r="A9" s="23" t="s">
        <v>261</v>
      </c>
      <c r="B9" s="30">
        <f t="shared" si="1"/>
        <v>1E-4</v>
      </c>
      <c r="C9" s="23">
        <f t="shared" si="1"/>
        <v>625000000</v>
      </c>
      <c r="D9" s="31"/>
      <c r="E9">
        <f t="shared" si="0"/>
        <v>100</v>
      </c>
    </row>
    <row r="10" spans="1:5" x14ac:dyDescent="0.3">
      <c r="A10" s="23" t="s">
        <v>262</v>
      </c>
      <c r="B10" s="30">
        <f t="shared" si="1"/>
        <v>1.0000000000000001E-5</v>
      </c>
      <c r="C10" s="23">
        <f t="shared" si="1"/>
        <v>62500000</v>
      </c>
      <c r="D10" s="31"/>
      <c r="E10">
        <f t="shared" si="0"/>
        <v>10</v>
      </c>
    </row>
    <row r="11" spans="1:5" x14ac:dyDescent="0.3">
      <c r="A11" s="23" t="s">
        <v>263</v>
      </c>
      <c r="B11" s="30">
        <f t="shared" si="1"/>
        <v>1.0000000000000002E-6</v>
      </c>
      <c r="C11" s="23">
        <f t="shared" si="1"/>
        <v>6250000</v>
      </c>
      <c r="D11" s="31"/>
      <c r="E11">
        <f t="shared" si="0"/>
        <v>1.0000000000000002</v>
      </c>
    </row>
    <row r="12" spans="1:5" x14ac:dyDescent="0.3">
      <c r="A12" s="23" t="s">
        <v>264</v>
      </c>
      <c r="B12" s="30">
        <f t="shared" si="1"/>
        <v>1.0000000000000002E-7</v>
      </c>
      <c r="C12" s="23">
        <f t="shared" si="1"/>
        <v>625000</v>
      </c>
      <c r="D12" s="31"/>
      <c r="E12">
        <f t="shared" si="0"/>
        <v>0.10000000000000002</v>
      </c>
    </row>
    <row r="13" spans="1:5" x14ac:dyDescent="0.3">
      <c r="A13" s="23" t="s">
        <v>265</v>
      </c>
      <c r="B13" s="30">
        <f t="shared" si="1"/>
        <v>1.0000000000000002E-8</v>
      </c>
      <c r="C13" s="23">
        <f t="shared" si="1"/>
        <v>62500</v>
      </c>
      <c r="D13" s="31"/>
      <c r="E13">
        <f t="shared" si="0"/>
        <v>1.0000000000000002E-2</v>
      </c>
    </row>
    <row r="14" spans="1:5" x14ac:dyDescent="0.3">
      <c r="A14" s="23" t="s">
        <v>266</v>
      </c>
      <c r="B14" s="30">
        <f t="shared" si="1"/>
        <v>1.0000000000000003E-9</v>
      </c>
      <c r="C14" s="23">
        <f t="shared" si="1"/>
        <v>6250</v>
      </c>
      <c r="D14" s="31" t="s">
        <v>267</v>
      </c>
      <c r="E14">
        <f t="shared" si="0"/>
        <v>1.0000000000000002E-3</v>
      </c>
    </row>
    <row r="15" spans="1:5" x14ac:dyDescent="0.3">
      <c r="A15" s="23" t="s">
        <v>268</v>
      </c>
      <c r="B15" s="30">
        <f t="shared" si="1"/>
        <v>1.0000000000000003E-10</v>
      </c>
      <c r="C15" s="23">
        <f t="shared" si="1"/>
        <v>625</v>
      </c>
      <c r="D15" s="31"/>
      <c r="E15">
        <f t="shared" si="0"/>
        <v>1.0000000000000003E-4</v>
      </c>
    </row>
    <row r="16" spans="1:5" x14ac:dyDescent="0.3">
      <c r="A16" s="23" t="s">
        <v>269</v>
      </c>
      <c r="B16" s="30">
        <f t="shared" si="1"/>
        <v>1.0000000000000003E-11</v>
      </c>
      <c r="C16" s="23">
        <f t="shared" si="1"/>
        <v>62.5</v>
      </c>
      <c r="D16" s="31"/>
      <c r="E16">
        <f t="shared" si="0"/>
        <v>1.0000000000000003E-5</v>
      </c>
    </row>
    <row r="17" spans="1:5" ht="15" thickBot="1" x14ac:dyDescent="0.35">
      <c r="A17" s="23" t="s">
        <v>270</v>
      </c>
      <c r="B17" s="32">
        <f t="shared" si="1"/>
        <v>1.0000000000000002E-12</v>
      </c>
      <c r="C17" s="33">
        <f t="shared" si="1"/>
        <v>6.25</v>
      </c>
      <c r="D17" s="34" t="s">
        <v>271</v>
      </c>
      <c r="E17">
        <f t="shared" si="0"/>
        <v>1.0000000000000002E-6</v>
      </c>
    </row>
    <row r="18" spans="1:5" ht="15" thickBot="1" x14ac:dyDescent="0.35">
      <c r="A18" s="23" t="s">
        <v>272</v>
      </c>
      <c r="B18" s="35">
        <f t="shared" si="1"/>
        <v>1.0000000000000002E-13</v>
      </c>
      <c r="C18" s="36">
        <f t="shared" si="1"/>
        <v>0.625</v>
      </c>
      <c r="D18" s="37"/>
      <c r="E18">
        <f t="shared" si="0"/>
        <v>1.0000000000000002E-7</v>
      </c>
    </row>
    <row r="19" spans="1:5" x14ac:dyDescent="0.3">
      <c r="A19" s="23"/>
      <c r="B19">
        <f t="shared" si="1"/>
        <v>1.0000000000000002E-14</v>
      </c>
      <c r="C19" s="23">
        <f t="shared" si="1"/>
        <v>6.25E-2</v>
      </c>
    </row>
    <row r="20" spans="1:5" x14ac:dyDescent="0.3">
      <c r="A20" s="23"/>
      <c r="B20">
        <f t="shared" si="1"/>
        <v>1.0000000000000001E-15</v>
      </c>
      <c r="C20" s="23">
        <f t="shared" si="1"/>
        <v>6.2500000000000003E-3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2430-A0D4-4AD0-B587-AD668EE14702}">
  <sheetPr codeName="Sheet4"/>
  <dimension ref="A1:AD126"/>
  <sheetViews>
    <sheetView topLeftCell="A62" zoomScaleNormal="100" workbookViewId="0">
      <selection activeCell="AC93" sqref="AC93"/>
    </sheetView>
  </sheetViews>
  <sheetFormatPr defaultRowHeight="14.4" x14ac:dyDescent="0.3"/>
  <cols>
    <col min="19" max="20" width="12.44140625" bestFit="1" customWidth="1"/>
    <col min="21" max="21" width="13.5546875" customWidth="1"/>
    <col min="22" max="22" width="11.77734375" customWidth="1"/>
    <col min="23" max="23" width="12" customWidth="1"/>
    <col min="24" max="24" width="11.21875" customWidth="1"/>
    <col min="26" max="26" width="13.21875" customWidth="1"/>
  </cols>
  <sheetData>
    <row r="1" spans="1:14" x14ac:dyDescent="0.3">
      <c r="A1" t="s">
        <v>273</v>
      </c>
      <c r="B1" t="s">
        <v>274</v>
      </c>
      <c r="C1" t="s">
        <v>275</v>
      </c>
      <c r="D1" t="s">
        <v>276</v>
      </c>
      <c r="E1" t="s">
        <v>277</v>
      </c>
      <c r="F1" t="s">
        <v>278</v>
      </c>
      <c r="G1" t="s">
        <v>279</v>
      </c>
      <c r="H1" t="s">
        <v>280</v>
      </c>
      <c r="I1" t="s">
        <v>281</v>
      </c>
      <c r="J1" t="s">
        <v>282</v>
      </c>
      <c r="K1" t="s">
        <v>283</v>
      </c>
      <c r="L1" t="s">
        <v>451</v>
      </c>
      <c r="M1" t="s">
        <v>450</v>
      </c>
      <c r="N1" t="s">
        <v>452</v>
      </c>
    </row>
    <row r="2" spans="1:14" x14ac:dyDescent="0.3">
      <c r="A2" t="s">
        <v>284</v>
      </c>
      <c r="B2" t="s">
        <v>285</v>
      </c>
      <c r="C2" t="s">
        <v>286</v>
      </c>
      <c r="D2" t="s">
        <v>287</v>
      </c>
      <c r="E2" t="s">
        <v>288</v>
      </c>
      <c r="F2" t="s">
        <v>288</v>
      </c>
      <c r="G2" t="s">
        <v>288</v>
      </c>
      <c r="H2" t="s">
        <v>288</v>
      </c>
      <c r="I2" t="s">
        <v>288</v>
      </c>
      <c r="J2" t="s">
        <v>288</v>
      </c>
      <c r="K2" t="s">
        <v>288</v>
      </c>
      <c r="L2">
        <v>50</v>
      </c>
      <c r="M2">
        <v>50</v>
      </c>
    </row>
    <row r="3" spans="1:14" x14ac:dyDescent="0.3">
      <c r="A3" t="s">
        <v>289</v>
      </c>
      <c r="B3" t="s">
        <v>285</v>
      </c>
      <c r="C3" t="s">
        <v>286</v>
      </c>
      <c r="D3" t="s">
        <v>287</v>
      </c>
      <c r="E3" t="s">
        <v>288</v>
      </c>
      <c r="F3" t="s">
        <v>288</v>
      </c>
      <c r="G3" t="s">
        <v>288</v>
      </c>
      <c r="H3" t="s">
        <v>288</v>
      </c>
      <c r="I3" t="s">
        <v>288</v>
      </c>
      <c r="J3" t="s">
        <v>288</v>
      </c>
      <c r="K3" t="s">
        <v>288</v>
      </c>
      <c r="L3">
        <v>50</v>
      </c>
      <c r="M3">
        <v>50</v>
      </c>
    </row>
    <row r="4" spans="1:14" x14ac:dyDescent="0.3">
      <c r="A4" t="s">
        <v>290</v>
      </c>
      <c r="B4" t="s">
        <v>285</v>
      </c>
      <c r="C4" t="s">
        <v>286</v>
      </c>
      <c r="D4" t="s">
        <v>287</v>
      </c>
      <c r="E4" t="s">
        <v>288</v>
      </c>
      <c r="F4" t="s">
        <v>288</v>
      </c>
      <c r="G4" t="s">
        <v>288</v>
      </c>
      <c r="H4" t="s">
        <v>288</v>
      </c>
      <c r="I4" t="s">
        <v>288</v>
      </c>
      <c r="J4" t="s">
        <v>288</v>
      </c>
      <c r="K4" t="s">
        <v>288</v>
      </c>
      <c r="L4">
        <v>100</v>
      </c>
      <c r="M4">
        <v>50</v>
      </c>
    </row>
    <row r="5" spans="1:14" x14ac:dyDescent="0.3">
      <c r="A5" t="s">
        <v>291</v>
      </c>
      <c r="B5" t="s">
        <v>285</v>
      </c>
      <c r="C5" t="s">
        <v>286</v>
      </c>
      <c r="D5" t="s">
        <v>287</v>
      </c>
      <c r="E5" t="s">
        <v>288</v>
      </c>
      <c r="F5" t="s">
        <v>288</v>
      </c>
      <c r="G5" t="s">
        <v>288</v>
      </c>
      <c r="H5" t="s">
        <v>288</v>
      </c>
      <c r="I5" t="s">
        <v>288</v>
      </c>
      <c r="J5" t="s">
        <v>288</v>
      </c>
      <c r="K5" t="s">
        <v>288</v>
      </c>
      <c r="L5">
        <v>100</v>
      </c>
      <c r="M5">
        <v>50</v>
      </c>
    </row>
    <row r="6" spans="1:14" x14ac:dyDescent="0.3">
      <c r="A6" t="s">
        <v>292</v>
      </c>
      <c r="B6" t="s">
        <v>285</v>
      </c>
      <c r="C6" t="s">
        <v>286</v>
      </c>
      <c r="D6" t="s">
        <v>287</v>
      </c>
      <c r="E6" t="s">
        <v>288</v>
      </c>
      <c r="F6" t="s">
        <v>288</v>
      </c>
      <c r="G6" t="s">
        <v>288</v>
      </c>
      <c r="H6" t="s">
        <v>288</v>
      </c>
      <c r="I6" t="s">
        <v>288</v>
      </c>
      <c r="J6" t="s">
        <v>288</v>
      </c>
      <c r="K6" t="s">
        <v>288</v>
      </c>
      <c r="L6">
        <v>200</v>
      </c>
      <c r="M6">
        <v>50</v>
      </c>
    </row>
    <row r="7" spans="1:14" x14ac:dyDescent="0.3">
      <c r="A7" t="s">
        <v>293</v>
      </c>
      <c r="B7" t="s">
        <v>285</v>
      </c>
      <c r="C7" t="s">
        <v>286</v>
      </c>
      <c r="D7" t="s">
        <v>287</v>
      </c>
      <c r="E7" t="s">
        <v>288</v>
      </c>
      <c r="F7" t="s">
        <v>288</v>
      </c>
      <c r="G7" t="s">
        <v>288</v>
      </c>
      <c r="H7" t="s">
        <v>288</v>
      </c>
      <c r="I7" t="s">
        <v>288</v>
      </c>
      <c r="J7" t="s">
        <v>288</v>
      </c>
      <c r="K7" t="s">
        <v>288</v>
      </c>
      <c r="L7">
        <v>200</v>
      </c>
      <c r="M7">
        <v>50</v>
      </c>
    </row>
    <row r="8" spans="1:14" x14ac:dyDescent="0.3">
      <c r="A8" t="s">
        <v>294</v>
      </c>
      <c r="B8" t="s">
        <v>285</v>
      </c>
      <c r="C8" t="s">
        <v>286</v>
      </c>
      <c r="D8" t="s">
        <v>287</v>
      </c>
      <c r="E8">
        <v>36.950000000000003</v>
      </c>
      <c r="F8" t="s">
        <v>288</v>
      </c>
      <c r="G8" t="s">
        <v>288</v>
      </c>
      <c r="H8" t="s">
        <v>295</v>
      </c>
      <c r="I8" t="s">
        <v>288</v>
      </c>
      <c r="J8" t="s">
        <v>288</v>
      </c>
      <c r="K8" t="s">
        <v>288</v>
      </c>
      <c r="L8">
        <v>400</v>
      </c>
      <c r="M8">
        <v>50</v>
      </c>
      <c r="N8">
        <f t="shared" ref="N8:N66" si="0">E8</f>
        <v>36.950000000000003</v>
      </c>
    </row>
    <row r="9" spans="1:14" x14ac:dyDescent="0.3">
      <c r="A9" t="s">
        <v>296</v>
      </c>
      <c r="B9" t="s">
        <v>285</v>
      </c>
      <c r="C9" t="s">
        <v>286</v>
      </c>
      <c r="D9" t="s">
        <v>287</v>
      </c>
      <c r="E9">
        <v>38.33</v>
      </c>
      <c r="F9" t="s">
        <v>288</v>
      </c>
      <c r="G9" t="s">
        <v>288</v>
      </c>
      <c r="H9" t="s">
        <v>297</v>
      </c>
      <c r="I9" t="s">
        <v>288</v>
      </c>
      <c r="J9" t="s">
        <v>288</v>
      </c>
      <c r="K9" t="s">
        <v>288</v>
      </c>
      <c r="L9">
        <v>400</v>
      </c>
      <c r="M9">
        <v>50</v>
      </c>
      <c r="N9">
        <f t="shared" si="0"/>
        <v>38.33</v>
      </c>
    </row>
    <row r="10" spans="1:14" x14ac:dyDescent="0.3">
      <c r="A10" t="s">
        <v>298</v>
      </c>
      <c r="B10" t="s">
        <v>285</v>
      </c>
      <c r="C10" t="s">
        <v>286</v>
      </c>
      <c r="D10" t="s">
        <v>287</v>
      </c>
      <c r="E10">
        <v>35.71</v>
      </c>
      <c r="F10" t="s">
        <v>288</v>
      </c>
      <c r="G10" t="s">
        <v>288</v>
      </c>
      <c r="H10" t="s">
        <v>299</v>
      </c>
      <c r="I10" t="s">
        <v>288</v>
      </c>
      <c r="J10" t="s">
        <v>288</v>
      </c>
      <c r="K10" t="s">
        <v>288</v>
      </c>
      <c r="L10">
        <v>600</v>
      </c>
      <c r="M10">
        <v>50</v>
      </c>
      <c r="N10">
        <f t="shared" si="0"/>
        <v>35.71</v>
      </c>
    </row>
    <row r="11" spans="1:14" x14ac:dyDescent="0.3">
      <c r="A11" t="s">
        <v>300</v>
      </c>
      <c r="B11" t="s">
        <v>285</v>
      </c>
      <c r="C11" t="s">
        <v>286</v>
      </c>
      <c r="D11" t="s">
        <v>287</v>
      </c>
      <c r="E11">
        <v>35.96</v>
      </c>
      <c r="F11" t="s">
        <v>288</v>
      </c>
      <c r="G11" t="s">
        <v>288</v>
      </c>
      <c r="H11" t="s">
        <v>301</v>
      </c>
      <c r="I11" t="s">
        <v>288</v>
      </c>
      <c r="J11" t="s">
        <v>288</v>
      </c>
      <c r="K11" t="s">
        <v>288</v>
      </c>
      <c r="L11">
        <v>600</v>
      </c>
      <c r="M11">
        <v>50</v>
      </c>
      <c r="N11">
        <f t="shared" si="0"/>
        <v>35.96</v>
      </c>
    </row>
    <row r="12" spans="1:14" x14ac:dyDescent="0.3">
      <c r="A12" t="s">
        <v>302</v>
      </c>
      <c r="B12" t="s">
        <v>285</v>
      </c>
      <c r="C12" t="s">
        <v>286</v>
      </c>
      <c r="D12" t="s">
        <v>287</v>
      </c>
      <c r="E12" t="s">
        <v>288</v>
      </c>
      <c r="F12" t="s">
        <v>288</v>
      </c>
      <c r="G12" t="s">
        <v>288</v>
      </c>
      <c r="H12" t="s">
        <v>288</v>
      </c>
      <c r="I12" t="s">
        <v>288</v>
      </c>
      <c r="J12" t="s">
        <v>288</v>
      </c>
      <c r="K12" t="s">
        <v>288</v>
      </c>
      <c r="L12">
        <v>800</v>
      </c>
      <c r="M12">
        <v>50</v>
      </c>
      <c r="N12" t="str">
        <f t="shared" si="0"/>
        <v/>
      </c>
    </row>
    <row r="13" spans="1:14" x14ac:dyDescent="0.3">
      <c r="A13" t="s">
        <v>303</v>
      </c>
      <c r="B13" t="s">
        <v>285</v>
      </c>
      <c r="C13" t="s">
        <v>286</v>
      </c>
      <c r="D13" t="s">
        <v>287</v>
      </c>
      <c r="E13" t="s">
        <v>288</v>
      </c>
      <c r="F13" t="s">
        <v>288</v>
      </c>
      <c r="G13" t="s">
        <v>288</v>
      </c>
      <c r="H13" t="s">
        <v>288</v>
      </c>
      <c r="I13" t="s">
        <v>288</v>
      </c>
      <c r="J13" t="s">
        <v>288</v>
      </c>
      <c r="K13" t="s">
        <v>288</v>
      </c>
      <c r="L13">
        <v>800</v>
      </c>
      <c r="M13">
        <v>50</v>
      </c>
      <c r="N13" t="str">
        <f t="shared" si="0"/>
        <v/>
      </c>
    </row>
    <row r="14" spans="1:14" x14ac:dyDescent="0.3">
      <c r="A14" t="s">
        <v>304</v>
      </c>
      <c r="B14" t="s">
        <v>285</v>
      </c>
      <c r="C14" t="s">
        <v>286</v>
      </c>
      <c r="D14" t="s">
        <v>287</v>
      </c>
      <c r="E14" t="s">
        <v>288</v>
      </c>
      <c r="F14" t="s">
        <v>288</v>
      </c>
      <c r="G14" t="s">
        <v>288</v>
      </c>
      <c r="H14" t="s">
        <v>288</v>
      </c>
      <c r="I14" t="s">
        <v>288</v>
      </c>
      <c r="J14" t="s">
        <v>288</v>
      </c>
      <c r="K14" t="s">
        <v>288</v>
      </c>
      <c r="L14">
        <v>50</v>
      </c>
      <c r="M14">
        <v>100</v>
      </c>
      <c r="N14" t="str">
        <f t="shared" si="0"/>
        <v/>
      </c>
    </row>
    <row r="15" spans="1:14" x14ac:dyDescent="0.3">
      <c r="A15" t="s">
        <v>305</v>
      </c>
      <c r="B15" t="s">
        <v>285</v>
      </c>
      <c r="C15" t="s">
        <v>286</v>
      </c>
      <c r="D15" t="s">
        <v>287</v>
      </c>
      <c r="E15" t="s">
        <v>288</v>
      </c>
      <c r="F15" t="s">
        <v>288</v>
      </c>
      <c r="G15" t="s">
        <v>288</v>
      </c>
      <c r="H15" t="s">
        <v>288</v>
      </c>
      <c r="I15" t="s">
        <v>288</v>
      </c>
      <c r="J15" t="s">
        <v>288</v>
      </c>
      <c r="K15" t="s">
        <v>288</v>
      </c>
      <c r="L15">
        <v>50</v>
      </c>
      <c r="M15">
        <v>100</v>
      </c>
      <c r="N15" t="str">
        <f t="shared" si="0"/>
        <v/>
      </c>
    </row>
    <row r="16" spans="1:14" x14ac:dyDescent="0.3">
      <c r="A16" t="s">
        <v>306</v>
      </c>
      <c r="B16" t="s">
        <v>285</v>
      </c>
      <c r="C16" t="s">
        <v>286</v>
      </c>
      <c r="D16" t="s">
        <v>287</v>
      </c>
      <c r="E16" t="s">
        <v>288</v>
      </c>
      <c r="F16" t="s">
        <v>288</v>
      </c>
      <c r="G16" t="s">
        <v>288</v>
      </c>
      <c r="H16" t="s">
        <v>288</v>
      </c>
      <c r="I16" t="s">
        <v>288</v>
      </c>
      <c r="J16" t="s">
        <v>288</v>
      </c>
      <c r="K16" t="s">
        <v>288</v>
      </c>
      <c r="L16">
        <v>100</v>
      </c>
      <c r="M16">
        <v>100</v>
      </c>
      <c r="N16" t="str">
        <f t="shared" si="0"/>
        <v/>
      </c>
    </row>
    <row r="17" spans="1:24" x14ac:dyDescent="0.3">
      <c r="A17" t="s">
        <v>307</v>
      </c>
      <c r="B17" t="s">
        <v>285</v>
      </c>
      <c r="C17" t="s">
        <v>286</v>
      </c>
      <c r="D17" t="s">
        <v>287</v>
      </c>
      <c r="E17" t="s">
        <v>288</v>
      </c>
      <c r="F17" t="s">
        <v>288</v>
      </c>
      <c r="G17" t="s">
        <v>288</v>
      </c>
      <c r="H17" t="s">
        <v>288</v>
      </c>
      <c r="I17" t="s">
        <v>288</v>
      </c>
      <c r="J17" t="s">
        <v>288</v>
      </c>
      <c r="K17" t="s">
        <v>288</v>
      </c>
      <c r="L17">
        <v>100</v>
      </c>
      <c r="M17">
        <v>100</v>
      </c>
      <c r="N17" t="str">
        <f t="shared" si="0"/>
        <v/>
      </c>
    </row>
    <row r="18" spans="1:24" x14ac:dyDescent="0.3">
      <c r="A18" t="s">
        <v>308</v>
      </c>
      <c r="B18" t="s">
        <v>285</v>
      </c>
      <c r="C18" t="s">
        <v>286</v>
      </c>
      <c r="D18" t="s">
        <v>287</v>
      </c>
      <c r="E18">
        <v>36.94</v>
      </c>
      <c r="F18" t="s">
        <v>288</v>
      </c>
      <c r="G18" t="s">
        <v>288</v>
      </c>
      <c r="H18" t="s">
        <v>309</v>
      </c>
      <c r="I18" t="s">
        <v>288</v>
      </c>
      <c r="J18" t="s">
        <v>288</v>
      </c>
      <c r="K18" t="s">
        <v>288</v>
      </c>
      <c r="L18">
        <v>200</v>
      </c>
      <c r="M18">
        <v>100</v>
      </c>
      <c r="N18">
        <f t="shared" si="0"/>
        <v>36.94</v>
      </c>
    </row>
    <row r="19" spans="1:24" x14ac:dyDescent="0.3">
      <c r="A19" t="s">
        <v>310</v>
      </c>
      <c r="B19" t="s">
        <v>285</v>
      </c>
      <c r="C19" t="s">
        <v>286</v>
      </c>
      <c r="D19" t="s">
        <v>287</v>
      </c>
      <c r="E19">
        <v>36.53</v>
      </c>
      <c r="F19" t="s">
        <v>288</v>
      </c>
      <c r="G19" t="s">
        <v>288</v>
      </c>
      <c r="H19" t="s">
        <v>311</v>
      </c>
      <c r="I19" t="s">
        <v>288</v>
      </c>
      <c r="J19" t="s">
        <v>288</v>
      </c>
      <c r="K19" t="s">
        <v>288</v>
      </c>
      <c r="L19">
        <v>200</v>
      </c>
      <c r="M19">
        <v>100</v>
      </c>
      <c r="N19">
        <f t="shared" si="0"/>
        <v>36.53</v>
      </c>
    </row>
    <row r="20" spans="1:24" x14ac:dyDescent="0.3">
      <c r="A20" t="s">
        <v>312</v>
      </c>
      <c r="B20" t="s">
        <v>285</v>
      </c>
      <c r="C20" t="s">
        <v>286</v>
      </c>
      <c r="D20" t="s">
        <v>287</v>
      </c>
      <c r="E20">
        <v>32.47</v>
      </c>
      <c r="F20" t="s">
        <v>288</v>
      </c>
      <c r="G20" t="s">
        <v>288</v>
      </c>
      <c r="H20" t="s">
        <v>313</v>
      </c>
      <c r="I20" t="s">
        <v>288</v>
      </c>
      <c r="J20" t="s">
        <v>288</v>
      </c>
      <c r="K20" t="s">
        <v>288</v>
      </c>
      <c r="L20">
        <v>400</v>
      </c>
      <c r="M20">
        <v>100</v>
      </c>
      <c r="N20">
        <f t="shared" si="0"/>
        <v>32.47</v>
      </c>
    </row>
    <row r="21" spans="1:24" x14ac:dyDescent="0.3">
      <c r="A21" t="s">
        <v>314</v>
      </c>
      <c r="B21" t="s">
        <v>285</v>
      </c>
      <c r="C21" t="s">
        <v>286</v>
      </c>
      <c r="D21" t="s">
        <v>287</v>
      </c>
      <c r="E21">
        <v>32.64</v>
      </c>
      <c r="F21" t="s">
        <v>288</v>
      </c>
      <c r="G21" t="s">
        <v>288</v>
      </c>
      <c r="H21" t="s">
        <v>315</v>
      </c>
      <c r="I21" t="s">
        <v>288</v>
      </c>
      <c r="J21" t="s">
        <v>288</v>
      </c>
      <c r="K21" t="s">
        <v>288</v>
      </c>
      <c r="L21">
        <v>400</v>
      </c>
      <c r="M21">
        <v>100</v>
      </c>
      <c r="N21">
        <f t="shared" si="0"/>
        <v>32.64</v>
      </c>
    </row>
    <row r="22" spans="1:24" x14ac:dyDescent="0.3">
      <c r="A22" t="s">
        <v>316</v>
      </c>
      <c r="B22" t="s">
        <v>285</v>
      </c>
      <c r="C22" t="s">
        <v>286</v>
      </c>
      <c r="D22" t="s">
        <v>287</v>
      </c>
      <c r="E22">
        <v>29.59</v>
      </c>
      <c r="F22" t="s">
        <v>288</v>
      </c>
      <c r="G22" t="s">
        <v>288</v>
      </c>
      <c r="H22" t="s">
        <v>317</v>
      </c>
      <c r="I22" t="s">
        <v>288</v>
      </c>
      <c r="J22" t="s">
        <v>288</v>
      </c>
      <c r="K22" t="s">
        <v>288</v>
      </c>
      <c r="L22">
        <v>600</v>
      </c>
      <c r="M22">
        <v>100</v>
      </c>
      <c r="N22">
        <f t="shared" si="0"/>
        <v>29.59</v>
      </c>
    </row>
    <row r="23" spans="1:24" x14ac:dyDescent="0.3">
      <c r="A23" t="s">
        <v>318</v>
      </c>
      <c r="B23" t="s">
        <v>285</v>
      </c>
      <c r="C23" t="s">
        <v>286</v>
      </c>
      <c r="D23" t="s">
        <v>287</v>
      </c>
      <c r="E23">
        <v>29.97</v>
      </c>
      <c r="F23" t="s">
        <v>288</v>
      </c>
      <c r="G23" t="s">
        <v>288</v>
      </c>
      <c r="H23" t="s">
        <v>319</v>
      </c>
      <c r="I23" t="s">
        <v>288</v>
      </c>
      <c r="J23" t="s">
        <v>288</v>
      </c>
      <c r="K23" t="s">
        <v>288</v>
      </c>
      <c r="L23">
        <v>600</v>
      </c>
      <c r="M23">
        <v>100</v>
      </c>
      <c r="N23">
        <f t="shared" si="0"/>
        <v>29.97</v>
      </c>
    </row>
    <row r="24" spans="1:24" x14ac:dyDescent="0.3">
      <c r="A24" t="s">
        <v>320</v>
      </c>
      <c r="B24" t="s">
        <v>285</v>
      </c>
      <c r="C24" t="s">
        <v>286</v>
      </c>
      <c r="D24" t="s">
        <v>287</v>
      </c>
      <c r="E24" t="s">
        <v>288</v>
      </c>
      <c r="F24" t="s">
        <v>288</v>
      </c>
      <c r="G24" t="s">
        <v>288</v>
      </c>
      <c r="H24" t="s">
        <v>288</v>
      </c>
      <c r="I24" t="s">
        <v>288</v>
      </c>
      <c r="J24" t="s">
        <v>288</v>
      </c>
      <c r="K24" t="s">
        <v>288</v>
      </c>
      <c r="L24">
        <v>800</v>
      </c>
      <c r="M24">
        <v>100</v>
      </c>
      <c r="N24" t="str">
        <f t="shared" si="0"/>
        <v/>
      </c>
    </row>
    <row r="25" spans="1:24" x14ac:dyDescent="0.3">
      <c r="A25" t="s">
        <v>321</v>
      </c>
      <c r="B25" t="s">
        <v>285</v>
      </c>
      <c r="C25" t="s">
        <v>286</v>
      </c>
      <c r="D25" t="s">
        <v>287</v>
      </c>
      <c r="E25" t="s">
        <v>288</v>
      </c>
      <c r="F25" t="s">
        <v>288</v>
      </c>
      <c r="G25" t="s">
        <v>288</v>
      </c>
      <c r="H25" t="s">
        <v>288</v>
      </c>
      <c r="I25" t="s">
        <v>288</v>
      </c>
      <c r="J25" t="s">
        <v>288</v>
      </c>
      <c r="K25" t="s">
        <v>288</v>
      </c>
      <c r="L25">
        <v>800</v>
      </c>
      <c r="M25">
        <v>100</v>
      </c>
      <c r="N25" t="str">
        <f t="shared" si="0"/>
        <v/>
      </c>
    </row>
    <row r="26" spans="1:24" x14ac:dyDescent="0.3">
      <c r="A26" t="s">
        <v>322</v>
      </c>
      <c r="B26" t="s">
        <v>285</v>
      </c>
      <c r="C26" t="s">
        <v>286</v>
      </c>
      <c r="D26" t="s">
        <v>287</v>
      </c>
      <c r="E26" t="s">
        <v>288</v>
      </c>
      <c r="F26" t="s">
        <v>288</v>
      </c>
      <c r="G26" t="s">
        <v>288</v>
      </c>
      <c r="H26" t="s">
        <v>288</v>
      </c>
      <c r="I26" t="s">
        <v>288</v>
      </c>
      <c r="J26" t="s">
        <v>288</v>
      </c>
      <c r="K26" t="s">
        <v>288</v>
      </c>
      <c r="L26">
        <v>50</v>
      </c>
      <c r="M26">
        <v>200</v>
      </c>
      <c r="N26" t="str">
        <f t="shared" si="0"/>
        <v/>
      </c>
    </row>
    <row r="27" spans="1:24" x14ac:dyDescent="0.3">
      <c r="A27" t="s">
        <v>323</v>
      </c>
      <c r="B27" t="s">
        <v>285</v>
      </c>
      <c r="C27" t="s">
        <v>286</v>
      </c>
      <c r="D27" t="s">
        <v>287</v>
      </c>
      <c r="E27" t="s">
        <v>288</v>
      </c>
      <c r="F27" t="s">
        <v>288</v>
      </c>
      <c r="G27" t="s">
        <v>288</v>
      </c>
      <c r="H27" t="s">
        <v>288</v>
      </c>
      <c r="I27" t="s">
        <v>288</v>
      </c>
      <c r="J27" t="s">
        <v>288</v>
      </c>
      <c r="K27" t="s">
        <v>288</v>
      </c>
      <c r="L27">
        <v>50</v>
      </c>
      <c r="M27">
        <v>200</v>
      </c>
      <c r="N27" t="str">
        <f t="shared" si="0"/>
        <v/>
      </c>
    </row>
    <row r="28" spans="1:24" x14ac:dyDescent="0.3">
      <c r="A28" t="s">
        <v>324</v>
      </c>
      <c r="B28" t="s">
        <v>285</v>
      </c>
      <c r="C28" t="s">
        <v>286</v>
      </c>
      <c r="D28" t="s">
        <v>287</v>
      </c>
      <c r="E28">
        <v>37.57</v>
      </c>
      <c r="F28" t="s">
        <v>288</v>
      </c>
      <c r="G28" t="s">
        <v>288</v>
      </c>
      <c r="H28" t="s">
        <v>325</v>
      </c>
      <c r="I28" t="s">
        <v>288</v>
      </c>
      <c r="J28" t="s">
        <v>288</v>
      </c>
      <c r="K28" t="s">
        <v>288</v>
      </c>
      <c r="L28">
        <v>100</v>
      </c>
      <c r="M28">
        <v>200</v>
      </c>
      <c r="N28">
        <f t="shared" si="0"/>
        <v>37.57</v>
      </c>
    </row>
    <row r="29" spans="1:24" x14ac:dyDescent="0.3">
      <c r="A29" t="s">
        <v>326</v>
      </c>
      <c r="B29" t="s">
        <v>285</v>
      </c>
      <c r="C29" t="s">
        <v>286</v>
      </c>
      <c r="D29" t="s">
        <v>287</v>
      </c>
      <c r="E29" t="s">
        <v>288</v>
      </c>
      <c r="F29" t="s">
        <v>288</v>
      </c>
      <c r="G29" t="s">
        <v>288</v>
      </c>
      <c r="H29" t="s">
        <v>288</v>
      </c>
      <c r="I29" t="s">
        <v>288</v>
      </c>
      <c r="J29" t="s">
        <v>288</v>
      </c>
      <c r="K29" t="s">
        <v>288</v>
      </c>
      <c r="L29">
        <v>100</v>
      </c>
      <c r="M29">
        <v>200</v>
      </c>
      <c r="N29" t="str">
        <f t="shared" si="0"/>
        <v/>
      </c>
      <c r="R29" t="s">
        <v>451</v>
      </c>
      <c r="S29" t="s">
        <v>450</v>
      </c>
      <c r="T29" t="s">
        <v>452</v>
      </c>
      <c r="V29" s="20" t="s">
        <v>451</v>
      </c>
      <c r="W29" s="20" t="s">
        <v>450</v>
      </c>
      <c r="X29" s="20" t="s">
        <v>469</v>
      </c>
    </row>
    <row r="30" spans="1:24" x14ac:dyDescent="0.3">
      <c r="A30" t="s">
        <v>327</v>
      </c>
      <c r="B30" t="s">
        <v>285</v>
      </c>
      <c r="C30" t="s">
        <v>286</v>
      </c>
      <c r="D30" t="s">
        <v>287</v>
      </c>
      <c r="E30">
        <v>30.62</v>
      </c>
      <c r="F30" t="s">
        <v>288</v>
      </c>
      <c r="G30" t="s">
        <v>288</v>
      </c>
      <c r="H30" t="s">
        <v>328</v>
      </c>
      <c r="I30" t="s">
        <v>288</v>
      </c>
      <c r="J30" t="s">
        <v>288</v>
      </c>
      <c r="K30" t="s">
        <v>288</v>
      </c>
      <c r="L30">
        <v>200</v>
      </c>
      <c r="M30">
        <v>200</v>
      </c>
      <c r="N30">
        <f t="shared" si="0"/>
        <v>30.62</v>
      </c>
      <c r="R30">
        <v>200</v>
      </c>
      <c r="S30">
        <v>200</v>
      </c>
      <c r="T30">
        <v>30.62</v>
      </c>
      <c r="V30" s="20">
        <v>200</v>
      </c>
      <c r="W30" s="20">
        <v>200</v>
      </c>
      <c r="X30" s="20">
        <f>AVERAGE(T30:T31)</f>
        <v>30.015000000000001</v>
      </c>
    </row>
    <row r="31" spans="1:24" x14ac:dyDescent="0.3">
      <c r="A31" t="s">
        <v>329</v>
      </c>
      <c r="B31" t="s">
        <v>285</v>
      </c>
      <c r="C31" t="s">
        <v>286</v>
      </c>
      <c r="D31" t="s">
        <v>287</v>
      </c>
      <c r="E31">
        <v>29.41</v>
      </c>
      <c r="F31" t="s">
        <v>288</v>
      </c>
      <c r="G31" t="s">
        <v>288</v>
      </c>
      <c r="H31" t="s">
        <v>330</v>
      </c>
      <c r="I31" t="s">
        <v>288</v>
      </c>
      <c r="J31" t="s">
        <v>288</v>
      </c>
      <c r="K31" t="s">
        <v>288</v>
      </c>
      <c r="L31">
        <v>200</v>
      </c>
      <c r="M31">
        <v>200</v>
      </c>
      <c r="N31">
        <f t="shared" si="0"/>
        <v>29.41</v>
      </c>
      <c r="R31">
        <v>200</v>
      </c>
      <c r="S31">
        <v>200</v>
      </c>
      <c r="T31">
        <v>29.41</v>
      </c>
      <c r="V31" s="20">
        <v>300</v>
      </c>
      <c r="W31" s="20">
        <v>300</v>
      </c>
      <c r="X31" s="20">
        <v>28</v>
      </c>
    </row>
    <row r="32" spans="1:24" x14ac:dyDescent="0.3">
      <c r="A32" t="s">
        <v>331</v>
      </c>
      <c r="B32" t="s">
        <v>285</v>
      </c>
      <c r="C32" t="s">
        <v>286</v>
      </c>
      <c r="D32" t="s">
        <v>287</v>
      </c>
      <c r="E32">
        <v>25.96</v>
      </c>
      <c r="F32" t="s">
        <v>288</v>
      </c>
      <c r="G32" t="s">
        <v>288</v>
      </c>
      <c r="H32" t="s">
        <v>332</v>
      </c>
      <c r="I32" t="s">
        <v>288</v>
      </c>
      <c r="J32" t="s">
        <v>288</v>
      </c>
      <c r="K32" t="s">
        <v>288</v>
      </c>
      <c r="L32">
        <v>400</v>
      </c>
      <c r="M32">
        <v>200</v>
      </c>
      <c r="N32">
        <f t="shared" si="0"/>
        <v>25.96</v>
      </c>
      <c r="R32">
        <v>400</v>
      </c>
      <c r="S32">
        <v>200</v>
      </c>
      <c r="T32">
        <v>25.96</v>
      </c>
      <c r="V32" s="20">
        <v>400</v>
      </c>
      <c r="W32" s="20">
        <v>400</v>
      </c>
      <c r="X32" s="20">
        <f>AVERAGE(T36:T37)</f>
        <v>23.475000000000001</v>
      </c>
    </row>
    <row r="33" spans="1:24" x14ac:dyDescent="0.3">
      <c r="A33" t="s">
        <v>333</v>
      </c>
      <c r="B33" t="s">
        <v>285</v>
      </c>
      <c r="C33" t="s">
        <v>286</v>
      </c>
      <c r="D33" t="s">
        <v>287</v>
      </c>
      <c r="E33">
        <v>26.75</v>
      </c>
      <c r="F33" t="s">
        <v>288</v>
      </c>
      <c r="G33" t="s">
        <v>288</v>
      </c>
      <c r="H33" t="s">
        <v>334</v>
      </c>
      <c r="I33" t="s">
        <v>288</v>
      </c>
      <c r="J33" t="s">
        <v>288</v>
      </c>
      <c r="K33" t="s">
        <v>288</v>
      </c>
      <c r="L33">
        <v>400</v>
      </c>
      <c r="M33">
        <v>200</v>
      </c>
      <c r="N33">
        <f t="shared" si="0"/>
        <v>26.75</v>
      </c>
      <c r="R33">
        <v>400</v>
      </c>
      <c r="S33">
        <v>200</v>
      </c>
      <c r="T33">
        <v>26.75</v>
      </c>
      <c r="V33" s="20">
        <v>600</v>
      </c>
      <c r="W33" s="20">
        <v>600</v>
      </c>
      <c r="X33" s="20">
        <f>AVERAGE(N58:N59)</f>
        <v>20.89</v>
      </c>
    </row>
    <row r="34" spans="1:24" x14ac:dyDescent="0.3">
      <c r="A34" t="s">
        <v>335</v>
      </c>
      <c r="B34" t="s">
        <v>285</v>
      </c>
      <c r="C34" t="s">
        <v>286</v>
      </c>
      <c r="D34" t="s">
        <v>287</v>
      </c>
      <c r="E34">
        <v>24.45</v>
      </c>
      <c r="F34" t="s">
        <v>288</v>
      </c>
      <c r="G34" t="s">
        <v>288</v>
      </c>
      <c r="H34" t="s">
        <v>336</v>
      </c>
      <c r="I34" t="s">
        <v>288</v>
      </c>
      <c r="J34" t="s">
        <v>288</v>
      </c>
      <c r="K34" t="s">
        <v>288</v>
      </c>
      <c r="L34">
        <v>600</v>
      </c>
      <c r="M34">
        <v>200</v>
      </c>
      <c r="N34">
        <f t="shared" si="0"/>
        <v>24.45</v>
      </c>
      <c r="R34">
        <v>200</v>
      </c>
      <c r="S34">
        <v>400</v>
      </c>
      <c r="T34">
        <v>30.52</v>
      </c>
      <c r="V34" s="20">
        <v>800</v>
      </c>
      <c r="W34" s="20">
        <v>800</v>
      </c>
      <c r="X34" s="20" t="s">
        <v>470</v>
      </c>
    </row>
    <row r="35" spans="1:24" x14ac:dyDescent="0.3">
      <c r="A35" t="s">
        <v>337</v>
      </c>
      <c r="B35" t="s">
        <v>285</v>
      </c>
      <c r="C35" t="s">
        <v>286</v>
      </c>
      <c r="D35" t="s">
        <v>287</v>
      </c>
      <c r="E35">
        <v>24.51</v>
      </c>
      <c r="F35" t="s">
        <v>288</v>
      </c>
      <c r="G35" t="s">
        <v>288</v>
      </c>
      <c r="H35" t="s">
        <v>338</v>
      </c>
      <c r="I35" t="s">
        <v>288</v>
      </c>
      <c r="J35" t="s">
        <v>288</v>
      </c>
      <c r="K35" t="s">
        <v>288</v>
      </c>
      <c r="L35">
        <v>600</v>
      </c>
      <c r="M35">
        <v>200</v>
      </c>
      <c r="N35">
        <f t="shared" si="0"/>
        <v>24.51</v>
      </c>
      <c r="R35">
        <v>200</v>
      </c>
      <c r="S35">
        <v>400</v>
      </c>
      <c r="T35">
        <v>25.33</v>
      </c>
    </row>
    <row r="36" spans="1:24" x14ac:dyDescent="0.3">
      <c r="A36" t="s">
        <v>339</v>
      </c>
      <c r="B36" t="s">
        <v>285</v>
      </c>
      <c r="C36" t="s">
        <v>286</v>
      </c>
      <c r="D36" t="s">
        <v>287</v>
      </c>
      <c r="E36" t="s">
        <v>288</v>
      </c>
      <c r="F36" t="s">
        <v>288</v>
      </c>
      <c r="G36" t="s">
        <v>288</v>
      </c>
      <c r="H36" t="s">
        <v>288</v>
      </c>
      <c r="I36" t="s">
        <v>288</v>
      </c>
      <c r="J36" t="s">
        <v>288</v>
      </c>
      <c r="K36" t="s">
        <v>288</v>
      </c>
      <c r="L36">
        <v>800</v>
      </c>
      <c r="M36">
        <v>200</v>
      </c>
      <c r="N36" t="str">
        <f t="shared" si="0"/>
        <v/>
      </c>
      <c r="R36">
        <v>400</v>
      </c>
      <c r="S36">
        <v>400</v>
      </c>
      <c r="T36">
        <v>22.59</v>
      </c>
    </row>
    <row r="37" spans="1:24" x14ac:dyDescent="0.3">
      <c r="A37" t="s">
        <v>340</v>
      </c>
      <c r="B37" t="s">
        <v>285</v>
      </c>
      <c r="C37" t="s">
        <v>286</v>
      </c>
      <c r="D37" t="s">
        <v>287</v>
      </c>
      <c r="E37" t="s">
        <v>288</v>
      </c>
      <c r="F37" t="s">
        <v>288</v>
      </c>
      <c r="G37" t="s">
        <v>288</v>
      </c>
      <c r="H37" t="s">
        <v>288</v>
      </c>
      <c r="I37" t="s">
        <v>288</v>
      </c>
      <c r="J37" t="s">
        <v>288</v>
      </c>
      <c r="K37" t="s">
        <v>288</v>
      </c>
      <c r="L37">
        <v>800</v>
      </c>
      <c r="M37">
        <v>200</v>
      </c>
      <c r="N37" t="str">
        <f t="shared" si="0"/>
        <v/>
      </c>
      <c r="R37">
        <v>400</v>
      </c>
      <c r="S37">
        <v>400</v>
      </c>
      <c r="T37">
        <v>24.36</v>
      </c>
    </row>
    <row r="38" spans="1:24" x14ac:dyDescent="0.3">
      <c r="A38" t="s">
        <v>341</v>
      </c>
      <c r="B38" t="s">
        <v>285</v>
      </c>
      <c r="C38" t="s">
        <v>286</v>
      </c>
      <c r="D38" t="s">
        <v>287</v>
      </c>
      <c r="E38" t="s">
        <v>288</v>
      </c>
      <c r="F38" t="s">
        <v>288</v>
      </c>
      <c r="G38" t="s">
        <v>288</v>
      </c>
      <c r="H38" t="s">
        <v>288</v>
      </c>
      <c r="I38" t="s">
        <v>288</v>
      </c>
      <c r="J38" t="s">
        <v>288</v>
      </c>
      <c r="K38" t="s">
        <v>288</v>
      </c>
      <c r="L38">
        <v>50</v>
      </c>
      <c r="M38">
        <v>400</v>
      </c>
      <c r="N38" t="str">
        <f t="shared" si="0"/>
        <v/>
      </c>
      <c r="R38" t="s">
        <v>453</v>
      </c>
    </row>
    <row r="39" spans="1:24" x14ac:dyDescent="0.3">
      <c r="A39" t="s">
        <v>342</v>
      </c>
      <c r="B39" t="s">
        <v>285</v>
      </c>
      <c r="C39" t="s">
        <v>286</v>
      </c>
      <c r="D39" t="s">
        <v>287</v>
      </c>
      <c r="E39" t="s">
        <v>288</v>
      </c>
      <c r="F39" t="s">
        <v>288</v>
      </c>
      <c r="G39" t="s">
        <v>288</v>
      </c>
      <c r="H39" t="s">
        <v>288</v>
      </c>
      <c r="I39" t="s">
        <v>288</v>
      </c>
      <c r="J39" t="s">
        <v>288</v>
      </c>
      <c r="K39" t="s">
        <v>288</v>
      </c>
      <c r="L39">
        <v>50</v>
      </c>
      <c r="M39">
        <v>400</v>
      </c>
      <c r="N39" t="str">
        <f t="shared" si="0"/>
        <v/>
      </c>
    </row>
    <row r="40" spans="1:24" x14ac:dyDescent="0.3">
      <c r="A40" t="s">
        <v>343</v>
      </c>
      <c r="B40" t="s">
        <v>285</v>
      </c>
      <c r="C40" t="s">
        <v>286</v>
      </c>
      <c r="D40" t="s">
        <v>287</v>
      </c>
      <c r="E40">
        <v>33.04</v>
      </c>
      <c r="F40" t="s">
        <v>288</v>
      </c>
      <c r="G40" t="s">
        <v>288</v>
      </c>
      <c r="H40" t="s">
        <v>344</v>
      </c>
      <c r="I40" t="s">
        <v>288</v>
      </c>
      <c r="J40" t="s">
        <v>288</v>
      </c>
      <c r="K40" t="s">
        <v>288</v>
      </c>
      <c r="L40">
        <v>100</v>
      </c>
      <c r="M40">
        <v>400</v>
      </c>
      <c r="N40">
        <f t="shared" si="0"/>
        <v>33.04</v>
      </c>
      <c r="R40" t="s">
        <v>451</v>
      </c>
      <c r="S40" t="s">
        <v>450</v>
      </c>
      <c r="T40" t="s">
        <v>452</v>
      </c>
    </row>
    <row r="41" spans="1:24" x14ac:dyDescent="0.3">
      <c r="A41" t="s">
        <v>345</v>
      </c>
      <c r="B41" t="s">
        <v>285</v>
      </c>
      <c r="C41" t="s">
        <v>286</v>
      </c>
      <c r="D41" t="s">
        <v>287</v>
      </c>
      <c r="E41">
        <v>37.35</v>
      </c>
      <c r="F41" t="s">
        <v>288</v>
      </c>
      <c r="G41" t="s">
        <v>288</v>
      </c>
      <c r="H41" t="s">
        <v>346</v>
      </c>
      <c r="I41" t="s">
        <v>288</v>
      </c>
      <c r="J41" t="s">
        <v>288</v>
      </c>
      <c r="K41" t="s">
        <v>288</v>
      </c>
      <c r="L41">
        <v>100</v>
      </c>
      <c r="M41">
        <v>400</v>
      </c>
      <c r="N41">
        <f t="shared" si="0"/>
        <v>37.35</v>
      </c>
      <c r="R41">
        <v>200</v>
      </c>
      <c r="S41">
        <v>200</v>
      </c>
      <c r="T41">
        <v>30.62</v>
      </c>
    </row>
    <row r="42" spans="1:24" x14ac:dyDescent="0.3">
      <c r="A42" t="s">
        <v>347</v>
      </c>
      <c r="B42" t="s">
        <v>285</v>
      </c>
      <c r="C42" t="s">
        <v>286</v>
      </c>
      <c r="D42" t="s">
        <v>287</v>
      </c>
      <c r="E42">
        <v>30.52</v>
      </c>
      <c r="F42" t="s">
        <v>288</v>
      </c>
      <c r="G42" t="s">
        <v>288</v>
      </c>
      <c r="H42" t="s">
        <v>348</v>
      </c>
      <c r="I42" t="s">
        <v>288</v>
      </c>
      <c r="J42" t="s">
        <v>288</v>
      </c>
      <c r="K42" t="s">
        <v>288</v>
      </c>
      <c r="L42">
        <v>200</v>
      </c>
      <c r="M42">
        <v>400</v>
      </c>
      <c r="N42">
        <f t="shared" si="0"/>
        <v>30.52</v>
      </c>
      <c r="R42">
        <v>200</v>
      </c>
      <c r="S42">
        <v>200</v>
      </c>
      <c r="T42">
        <v>29.41</v>
      </c>
    </row>
    <row r="43" spans="1:24" x14ac:dyDescent="0.3">
      <c r="A43" t="s">
        <v>349</v>
      </c>
      <c r="B43" t="s">
        <v>285</v>
      </c>
      <c r="C43" t="s">
        <v>286</v>
      </c>
      <c r="D43" t="s">
        <v>287</v>
      </c>
      <c r="E43">
        <v>25.33</v>
      </c>
      <c r="F43" t="s">
        <v>288</v>
      </c>
      <c r="G43" t="s">
        <v>288</v>
      </c>
      <c r="H43" t="s">
        <v>350</v>
      </c>
      <c r="I43" t="s">
        <v>288</v>
      </c>
      <c r="J43" t="s">
        <v>288</v>
      </c>
      <c r="K43" t="s">
        <v>288</v>
      </c>
      <c r="L43">
        <v>200</v>
      </c>
      <c r="M43">
        <v>400</v>
      </c>
      <c r="N43">
        <f t="shared" si="0"/>
        <v>25.33</v>
      </c>
      <c r="R43">
        <v>400</v>
      </c>
      <c r="S43">
        <v>200</v>
      </c>
      <c r="T43">
        <v>25.96</v>
      </c>
    </row>
    <row r="44" spans="1:24" x14ac:dyDescent="0.3">
      <c r="A44" t="s">
        <v>351</v>
      </c>
      <c r="B44" t="s">
        <v>285</v>
      </c>
      <c r="C44" t="s">
        <v>286</v>
      </c>
      <c r="D44" t="s">
        <v>287</v>
      </c>
      <c r="E44">
        <v>22.59</v>
      </c>
      <c r="F44" t="s">
        <v>288</v>
      </c>
      <c r="G44" t="s">
        <v>288</v>
      </c>
      <c r="H44" t="s">
        <v>352</v>
      </c>
      <c r="I44" t="s">
        <v>288</v>
      </c>
      <c r="J44" t="s">
        <v>288</v>
      </c>
      <c r="K44" t="s">
        <v>288</v>
      </c>
      <c r="L44">
        <v>400</v>
      </c>
      <c r="M44">
        <v>400</v>
      </c>
      <c r="N44">
        <f t="shared" si="0"/>
        <v>22.59</v>
      </c>
      <c r="R44">
        <v>400</v>
      </c>
      <c r="S44">
        <v>200</v>
      </c>
      <c r="T44">
        <v>26.75</v>
      </c>
    </row>
    <row r="45" spans="1:24" x14ac:dyDescent="0.3">
      <c r="A45" t="s">
        <v>353</v>
      </c>
      <c r="B45" t="s">
        <v>285</v>
      </c>
      <c r="C45" t="s">
        <v>286</v>
      </c>
      <c r="D45" t="s">
        <v>287</v>
      </c>
      <c r="E45">
        <v>24.36</v>
      </c>
      <c r="F45" t="s">
        <v>288</v>
      </c>
      <c r="G45" t="s">
        <v>288</v>
      </c>
      <c r="H45" t="s">
        <v>354</v>
      </c>
      <c r="I45" t="s">
        <v>288</v>
      </c>
      <c r="J45" t="s">
        <v>288</v>
      </c>
      <c r="K45" t="s">
        <v>288</v>
      </c>
      <c r="L45">
        <v>400</v>
      </c>
      <c r="M45">
        <v>400</v>
      </c>
      <c r="N45">
        <f t="shared" si="0"/>
        <v>24.36</v>
      </c>
      <c r="R45">
        <v>200</v>
      </c>
      <c r="S45">
        <v>400</v>
      </c>
      <c r="T45">
        <v>30.52</v>
      </c>
    </row>
    <row r="46" spans="1:24" x14ac:dyDescent="0.3">
      <c r="A46" t="s">
        <v>355</v>
      </c>
      <c r="B46" t="s">
        <v>285</v>
      </c>
      <c r="C46" t="s">
        <v>286</v>
      </c>
      <c r="D46" t="s">
        <v>287</v>
      </c>
      <c r="E46">
        <v>21.07</v>
      </c>
      <c r="F46" t="s">
        <v>288</v>
      </c>
      <c r="G46" t="s">
        <v>288</v>
      </c>
      <c r="H46" t="s">
        <v>356</v>
      </c>
      <c r="I46" t="s">
        <v>288</v>
      </c>
      <c r="J46" t="s">
        <v>288</v>
      </c>
      <c r="K46" t="s">
        <v>288</v>
      </c>
      <c r="L46">
        <v>600</v>
      </c>
      <c r="M46">
        <v>400</v>
      </c>
      <c r="N46">
        <f t="shared" si="0"/>
        <v>21.07</v>
      </c>
      <c r="R46">
        <v>200</v>
      </c>
      <c r="S46">
        <v>400</v>
      </c>
      <c r="T46">
        <v>25.33</v>
      </c>
    </row>
    <row r="47" spans="1:24" x14ac:dyDescent="0.3">
      <c r="A47" t="s">
        <v>357</v>
      </c>
      <c r="B47" t="s">
        <v>285</v>
      </c>
      <c r="C47" t="s">
        <v>286</v>
      </c>
      <c r="D47" t="s">
        <v>287</v>
      </c>
      <c r="E47">
        <v>21.8</v>
      </c>
      <c r="F47" t="s">
        <v>288</v>
      </c>
      <c r="G47" t="s">
        <v>288</v>
      </c>
      <c r="H47" t="s">
        <v>358</v>
      </c>
      <c r="I47" t="s">
        <v>288</v>
      </c>
      <c r="J47" t="s">
        <v>288</v>
      </c>
      <c r="K47" t="s">
        <v>288</v>
      </c>
      <c r="L47">
        <v>600</v>
      </c>
      <c r="M47">
        <v>400</v>
      </c>
      <c r="N47">
        <f t="shared" si="0"/>
        <v>21.8</v>
      </c>
      <c r="R47">
        <v>400</v>
      </c>
      <c r="S47">
        <v>400</v>
      </c>
      <c r="T47">
        <v>22.59</v>
      </c>
    </row>
    <row r="48" spans="1:24" x14ac:dyDescent="0.3">
      <c r="A48" t="s">
        <v>359</v>
      </c>
      <c r="B48" t="s">
        <v>285</v>
      </c>
      <c r="C48" t="s">
        <v>286</v>
      </c>
      <c r="D48" t="s">
        <v>287</v>
      </c>
      <c r="E48" t="s">
        <v>288</v>
      </c>
      <c r="F48" t="s">
        <v>288</v>
      </c>
      <c r="G48" t="s">
        <v>288</v>
      </c>
      <c r="H48" t="s">
        <v>288</v>
      </c>
      <c r="I48" t="s">
        <v>288</v>
      </c>
      <c r="J48" t="s">
        <v>288</v>
      </c>
      <c r="K48" t="s">
        <v>288</v>
      </c>
      <c r="L48">
        <v>800</v>
      </c>
      <c r="M48">
        <v>400</v>
      </c>
      <c r="N48" t="str">
        <f t="shared" si="0"/>
        <v/>
      </c>
      <c r="R48">
        <v>400</v>
      </c>
      <c r="S48">
        <v>400</v>
      </c>
      <c r="T48">
        <v>24.36</v>
      </c>
    </row>
    <row r="49" spans="1:18" x14ac:dyDescent="0.3">
      <c r="A49" t="s">
        <v>360</v>
      </c>
      <c r="B49" t="s">
        <v>285</v>
      </c>
      <c r="C49" t="s">
        <v>286</v>
      </c>
      <c r="D49" t="s">
        <v>287</v>
      </c>
      <c r="E49" t="s">
        <v>288</v>
      </c>
      <c r="F49" t="s">
        <v>288</v>
      </c>
      <c r="G49" t="s">
        <v>288</v>
      </c>
      <c r="H49" t="s">
        <v>288</v>
      </c>
      <c r="I49" t="s">
        <v>288</v>
      </c>
      <c r="J49" t="s">
        <v>288</v>
      </c>
      <c r="K49" t="s">
        <v>288</v>
      </c>
      <c r="L49">
        <v>800</v>
      </c>
      <c r="M49">
        <v>400</v>
      </c>
      <c r="N49" t="str">
        <f t="shared" si="0"/>
        <v/>
      </c>
    </row>
    <row r="50" spans="1:18" x14ac:dyDescent="0.3">
      <c r="A50" t="s">
        <v>361</v>
      </c>
      <c r="B50" t="s">
        <v>285</v>
      </c>
      <c r="C50" t="s">
        <v>286</v>
      </c>
      <c r="D50" t="s">
        <v>287</v>
      </c>
      <c r="E50" t="s">
        <v>288</v>
      </c>
      <c r="F50" t="s">
        <v>288</v>
      </c>
      <c r="G50" t="s">
        <v>288</v>
      </c>
      <c r="H50" t="s">
        <v>288</v>
      </c>
      <c r="I50" t="s">
        <v>288</v>
      </c>
      <c r="J50" t="s">
        <v>288</v>
      </c>
      <c r="K50" t="s">
        <v>288</v>
      </c>
      <c r="L50">
        <v>50</v>
      </c>
      <c r="M50">
        <v>600</v>
      </c>
      <c r="N50" t="str">
        <f t="shared" si="0"/>
        <v/>
      </c>
    </row>
    <row r="51" spans="1:18" x14ac:dyDescent="0.3">
      <c r="A51" t="s">
        <v>362</v>
      </c>
      <c r="B51" t="s">
        <v>285</v>
      </c>
      <c r="C51" t="s">
        <v>286</v>
      </c>
      <c r="D51" t="s">
        <v>287</v>
      </c>
      <c r="E51" t="s">
        <v>288</v>
      </c>
      <c r="F51" t="s">
        <v>288</v>
      </c>
      <c r="G51" t="s">
        <v>288</v>
      </c>
      <c r="H51" t="s">
        <v>288</v>
      </c>
      <c r="I51" t="s">
        <v>288</v>
      </c>
      <c r="J51" t="s">
        <v>288</v>
      </c>
      <c r="K51" t="s">
        <v>288</v>
      </c>
      <c r="L51">
        <v>50</v>
      </c>
      <c r="M51">
        <v>600</v>
      </c>
      <c r="N51" t="str">
        <f t="shared" si="0"/>
        <v/>
      </c>
    </row>
    <row r="52" spans="1:18" x14ac:dyDescent="0.3">
      <c r="A52" t="s">
        <v>363</v>
      </c>
      <c r="B52" t="s">
        <v>285</v>
      </c>
      <c r="C52" t="s">
        <v>286</v>
      </c>
      <c r="D52" t="s">
        <v>287</v>
      </c>
      <c r="E52">
        <v>32.11</v>
      </c>
      <c r="F52" t="s">
        <v>288</v>
      </c>
      <c r="G52" t="s">
        <v>288</v>
      </c>
      <c r="H52" t="s">
        <v>364</v>
      </c>
      <c r="I52" t="s">
        <v>288</v>
      </c>
      <c r="J52" t="s">
        <v>288</v>
      </c>
      <c r="K52" t="s">
        <v>288</v>
      </c>
      <c r="L52">
        <v>100</v>
      </c>
      <c r="M52">
        <v>600</v>
      </c>
      <c r="N52">
        <f t="shared" si="0"/>
        <v>32.11</v>
      </c>
    </row>
    <row r="53" spans="1:18" x14ac:dyDescent="0.3">
      <c r="A53" t="s">
        <v>365</v>
      </c>
      <c r="B53" t="s">
        <v>285</v>
      </c>
      <c r="C53" t="s">
        <v>286</v>
      </c>
      <c r="D53" t="s">
        <v>287</v>
      </c>
      <c r="E53">
        <v>35.11</v>
      </c>
      <c r="F53" t="s">
        <v>288</v>
      </c>
      <c r="G53" t="s">
        <v>288</v>
      </c>
      <c r="H53" t="s">
        <v>366</v>
      </c>
      <c r="I53" t="s">
        <v>288</v>
      </c>
      <c r="J53" t="s">
        <v>288</v>
      </c>
      <c r="K53" t="s">
        <v>288</v>
      </c>
      <c r="L53">
        <v>100</v>
      </c>
      <c r="M53">
        <v>600</v>
      </c>
      <c r="N53">
        <f t="shared" si="0"/>
        <v>35.11</v>
      </c>
    </row>
    <row r="54" spans="1:18" x14ac:dyDescent="0.3">
      <c r="A54" t="s">
        <v>367</v>
      </c>
      <c r="B54" t="s">
        <v>285</v>
      </c>
      <c r="C54" t="s">
        <v>286</v>
      </c>
      <c r="D54" t="s">
        <v>287</v>
      </c>
      <c r="E54">
        <v>26.36</v>
      </c>
      <c r="F54" t="s">
        <v>288</v>
      </c>
      <c r="G54" t="s">
        <v>288</v>
      </c>
      <c r="H54" t="s">
        <v>368</v>
      </c>
      <c r="I54" t="s">
        <v>288</v>
      </c>
      <c r="J54" t="s">
        <v>288</v>
      </c>
      <c r="K54" t="s">
        <v>288</v>
      </c>
      <c r="L54">
        <v>200</v>
      </c>
      <c r="M54">
        <v>600</v>
      </c>
      <c r="N54">
        <f t="shared" si="0"/>
        <v>26.36</v>
      </c>
    </row>
    <row r="55" spans="1:18" x14ac:dyDescent="0.3">
      <c r="A55" t="s">
        <v>369</v>
      </c>
      <c r="B55" t="s">
        <v>285</v>
      </c>
      <c r="C55" t="s">
        <v>286</v>
      </c>
      <c r="D55" t="s">
        <v>287</v>
      </c>
      <c r="E55">
        <v>27.17</v>
      </c>
      <c r="F55" t="s">
        <v>288</v>
      </c>
      <c r="G55" t="s">
        <v>288</v>
      </c>
      <c r="H55" t="s">
        <v>370</v>
      </c>
      <c r="I55" t="s">
        <v>288</v>
      </c>
      <c r="J55" t="s">
        <v>288</v>
      </c>
      <c r="K55" t="s">
        <v>288</v>
      </c>
      <c r="L55">
        <v>200</v>
      </c>
      <c r="M55">
        <v>600</v>
      </c>
      <c r="N55">
        <f t="shared" si="0"/>
        <v>27.17</v>
      </c>
    </row>
    <row r="56" spans="1:18" x14ac:dyDescent="0.3">
      <c r="A56" t="s">
        <v>371</v>
      </c>
      <c r="B56" t="s">
        <v>285</v>
      </c>
      <c r="C56" t="s">
        <v>286</v>
      </c>
      <c r="D56" t="s">
        <v>287</v>
      </c>
      <c r="E56">
        <v>22.34</v>
      </c>
      <c r="F56" t="s">
        <v>288</v>
      </c>
      <c r="G56" t="s">
        <v>288</v>
      </c>
      <c r="H56" t="s">
        <v>372</v>
      </c>
      <c r="I56" t="s">
        <v>288</v>
      </c>
      <c r="J56" t="s">
        <v>288</v>
      </c>
      <c r="K56" t="s">
        <v>288</v>
      </c>
      <c r="L56">
        <v>400</v>
      </c>
      <c r="M56">
        <v>600</v>
      </c>
      <c r="N56">
        <f t="shared" si="0"/>
        <v>22.34</v>
      </c>
    </row>
    <row r="57" spans="1:18" x14ac:dyDescent="0.3">
      <c r="A57" t="s">
        <v>373</v>
      </c>
      <c r="B57" t="s">
        <v>285</v>
      </c>
      <c r="C57" t="s">
        <v>286</v>
      </c>
      <c r="D57" t="s">
        <v>287</v>
      </c>
      <c r="E57">
        <v>23.23</v>
      </c>
      <c r="F57" t="s">
        <v>288</v>
      </c>
      <c r="G57" t="s">
        <v>288</v>
      </c>
      <c r="H57" t="s">
        <v>374</v>
      </c>
      <c r="I57" t="s">
        <v>288</v>
      </c>
      <c r="J57" t="s">
        <v>288</v>
      </c>
      <c r="K57" t="s">
        <v>288</v>
      </c>
      <c r="L57">
        <v>400</v>
      </c>
      <c r="M57">
        <v>600</v>
      </c>
      <c r="N57">
        <f t="shared" si="0"/>
        <v>23.23</v>
      </c>
    </row>
    <row r="58" spans="1:18" x14ac:dyDescent="0.3">
      <c r="A58" t="s">
        <v>375</v>
      </c>
      <c r="B58" t="s">
        <v>285</v>
      </c>
      <c r="C58" t="s">
        <v>286</v>
      </c>
      <c r="D58" t="s">
        <v>287</v>
      </c>
      <c r="E58">
        <v>20.78</v>
      </c>
      <c r="F58" t="s">
        <v>288</v>
      </c>
      <c r="G58" t="s">
        <v>288</v>
      </c>
      <c r="H58" t="s">
        <v>376</v>
      </c>
      <c r="I58" t="s">
        <v>288</v>
      </c>
      <c r="J58" t="s">
        <v>288</v>
      </c>
      <c r="K58" t="s">
        <v>288</v>
      </c>
      <c r="L58">
        <v>600</v>
      </c>
      <c r="M58">
        <v>600</v>
      </c>
      <c r="N58">
        <f t="shared" si="0"/>
        <v>20.78</v>
      </c>
    </row>
    <row r="59" spans="1:18" x14ac:dyDescent="0.3">
      <c r="A59" t="s">
        <v>377</v>
      </c>
      <c r="B59" t="s">
        <v>285</v>
      </c>
      <c r="C59" t="s">
        <v>286</v>
      </c>
      <c r="D59" t="s">
        <v>287</v>
      </c>
      <c r="E59">
        <v>21</v>
      </c>
      <c r="F59" t="s">
        <v>288</v>
      </c>
      <c r="G59" t="s">
        <v>288</v>
      </c>
      <c r="H59" t="s">
        <v>378</v>
      </c>
      <c r="I59" t="s">
        <v>288</v>
      </c>
      <c r="J59" t="s">
        <v>288</v>
      </c>
      <c r="K59" t="s">
        <v>288</v>
      </c>
      <c r="L59">
        <v>600</v>
      </c>
      <c r="M59">
        <v>600</v>
      </c>
      <c r="N59">
        <f t="shared" si="0"/>
        <v>21</v>
      </c>
    </row>
    <row r="60" spans="1:18" x14ac:dyDescent="0.3">
      <c r="A60" t="s">
        <v>379</v>
      </c>
      <c r="B60" t="s">
        <v>285</v>
      </c>
      <c r="C60" t="s">
        <v>286</v>
      </c>
      <c r="D60" t="s">
        <v>287</v>
      </c>
      <c r="E60" t="s">
        <v>288</v>
      </c>
      <c r="F60" t="s">
        <v>288</v>
      </c>
      <c r="G60" t="s">
        <v>288</v>
      </c>
      <c r="H60" t="s">
        <v>288</v>
      </c>
      <c r="I60" t="s">
        <v>288</v>
      </c>
      <c r="J60" t="s">
        <v>288</v>
      </c>
      <c r="K60" t="s">
        <v>288</v>
      </c>
      <c r="L60">
        <v>800</v>
      </c>
      <c r="M60">
        <v>600</v>
      </c>
      <c r="N60" t="str">
        <f t="shared" si="0"/>
        <v/>
      </c>
    </row>
    <row r="61" spans="1:18" x14ac:dyDescent="0.3">
      <c r="A61" t="s">
        <v>380</v>
      </c>
      <c r="B61" t="s">
        <v>285</v>
      </c>
      <c r="C61" t="s">
        <v>286</v>
      </c>
      <c r="D61" t="s">
        <v>287</v>
      </c>
      <c r="E61" t="s">
        <v>288</v>
      </c>
      <c r="F61" t="s">
        <v>288</v>
      </c>
      <c r="G61" t="s">
        <v>288</v>
      </c>
      <c r="H61" t="s">
        <v>288</v>
      </c>
      <c r="I61" t="s">
        <v>288</v>
      </c>
      <c r="J61" t="s">
        <v>288</v>
      </c>
      <c r="K61" t="s">
        <v>288</v>
      </c>
      <c r="L61">
        <v>800</v>
      </c>
      <c r="M61">
        <v>600</v>
      </c>
      <c r="N61" t="str">
        <f t="shared" si="0"/>
        <v/>
      </c>
    </row>
    <row r="62" spans="1:18" x14ac:dyDescent="0.3">
      <c r="A62" t="s">
        <v>381</v>
      </c>
      <c r="B62" t="s">
        <v>285</v>
      </c>
      <c r="C62" t="s">
        <v>286</v>
      </c>
      <c r="D62" t="s">
        <v>287</v>
      </c>
      <c r="E62" t="s">
        <v>288</v>
      </c>
      <c r="F62" t="s">
        <v>288</v>
      </c>
      <c r="G62" t="s">
        <v>288</v>
      </c>
      <c r="H62" t="s">
        <v>288</v>
      </c>
      <c r="I62" t="s">
        <v>288</v>
      </c>
      <c r="J62" t="s">
        <v>288</v>
      </c>
      <c r="K62" t="s">
        <v>288</v>
      </c>
      <c r="L62">
        <v>50</v>
      </c>
      <c r="M62">
        <v>800</v>
      </c>
      <c r="N62" t="str">
        <f t="shared" si="0"/>
        <v/>
      </c>
    </row>
    <row r="63" spans="1:18" x14ac:dyDescent="0.3">
      <c r="A63" t="s">
        <v>382</v>
      </c>
      <c r="B63" t="s">
        <v>285</v>
      </c>
      <c r="C63" t="s">
        <v>286</v>
      </c>
      <c r="D63" t="s">
        <v>287</v>
      </c>
      <c r="E63" t="s">
        <v>288</v>
      </c>
      <c r="F63" t="s">
        <v>288</v>
      </c>
      <c r="G63" t="s">
        <v>288</v>
      </c>
      <c r="H63" t="s">
        <v>288</v>
      </c>
      <c r="I63" t="s">
        <v>288</v>
      </c>
      <c r="J63" t="s">
        <v>288</v>
      </c>
      <c r="K63" t="s">
        <v>288</v>
      </c>
      <c r="L63">
        <v>50</v>
      </c>
      <c r="M63">
        <v>800</v>
      </c>
      <c r="N63" t="str">
        <f t="shared" si="0"/>
        <v/>
      </c>
    </row>
    <row r="64" spans="1:18" x14ac:dyDescent="0.3">
      <c r="A64" t="s">
        <v>383</v>
      </c>
      <c r="B64" t="s">
        <v>285</v>
      </c>
      <c r="C64" t="s">
        <v>286</v>
      </c>
      <c r="D64" t="s">
        <v>287</v>
      </c>
      <c r="E64">
        <v>31.1</v>
      </c>
      <c r="F64" t="s">
        <v>288</v>
      </c>
      <c r="G64" t="s">
        <v>288</v>
      </c>
      <c r="H64" t="s">
        <v>384</v>
      </c>
      <c r="I64" t="s">
        <v>288</v>
      </c>
      <c r="J64" t="s">
        <v>288</v>
      </c>
      <c r="K64" t="s">
        <v>288</v>
      </c>
      <c r="L64">
        <v>100</v>
      </c>
      <c r="M64">
        <v>800</v>
      </c>
      <c r="N64">
        <f t="shared" si="0"/>
        <v>31.1</v>
      </c>
      <c r="R64" t="s">
        <v>444</v>
      </c>
    </row>
    <row r="65" spans="1:23" x14ac:dyDescent="0.3">
      <c r="A65" t="s">
        <v>385</v>
      </c>
      <c r="B65" t="s">
        <v>285</v>
      </c>
      <c r="C65" t="s">
        <v>286</v>
      </c>
      <c r="D65" t="s">
        <v>287</v>
      </c>
      <c r="E65">
        <v>33.72</v>
      </c>
      <c r="F65" t="s">
        <v>288</v>
      </c>
      <c r="G65" t="s">
        <v>288</v>
      </c>
      <c r="H65" t="s">
        <v>386</v>
      </c>
      <c r="I65" t="s">
        <v>288</v>
      </c>
      <c r="J65" t="s">
        <v>288</v>
      </c>
      <c r="K65" t="s">
        <v>288</v>
      </c>
      <c r="L65">
        <v>100</v>
      </c>
      <c r="M65">
        <v>800</v>
      </c>
      <c r="N65">
        <f t="shared" si="0"/>
        <v>33.72</v>
      </c>
    </row>
    <row r="66" spans="1:23" x14ac:dyDescent="0.3">
      <c r="A66" t="s">
        <v>387</v>
      </c>
      <c r="B66" t="s">
        <v>285</v>
      </c>
      <c r="C66" t="s">
        <v>286</v>
      </c>
      <c r="D66" t="s">
        <v>287</v>
      </c>
      <c r="E66">
        <v>25.46</v>
      </c>
      <c r="F66" t="s">
        <v>288</v>
      </c>
      <c r="G66" t="s">
        <v>288</v>
      </c>
      <c r="H66" t="s">
        <v>388</v>
      </c>
      <c r="I66" t="s">
        <v>288</v>
      </c>
      <c r="J66" t="s">
        <v>288</v>
      </c>
      <c r="K66" t="s">
        <v>288</v>
      </c>
      <c r="L66">
        <v>200</v>
      </c>
      <c r="M66">
        <v>800</v>
      </c>
      <c r="N66">
        <f t="shared" si="0"/>
        <v>25.46</v>
      </c>
    </row>
    <row r="67" spans="1:23" x14ac:dyDescent="0.3">
      <c r="A67" t="s">
        <v>389</v>
      </c>
      <c r="B67" t="s">
        <v>285</v>
      </c>
      <c r="C67" t="s">
        <v>286</v>
      </c>
      <c r="D67" t="s">
        <v>287</v>
      </c>
      <c r="E67">
        <v>25.66</v>
      </c>
      <c r="F67" t="s">
        <v>288</v>
      </c>
      <c r="G67" t="s">
        <v>288</v>
      </c>
      <c r="H67" t="s">
        <v>390</v>
      </c>
      <c r="I67" t="s">
        <v>288</v>
      </c>
      <c r="J67" t="s">
        <v>288</v>
      </c>
      <c r="K67" t="s">
        <v>288</v>
      </c>
      <c r="L67">
        <v>200</v>
      </c>
      <c r="M67">
        <v>800</v>
      </c>
      <c r="N67">
        <f t="shared" ref="N67:N97" si="1">E67</f>
        <v>25.66</v>
      </c>
    </row>
    <row r="68" spans="1:23" x14ac:dyDescent="0.3">
      <c r="A68" t="s">
        <v>391</v>
      </c>
      <c r="B68" t="s">
        <v>285</v>
      </c>
      <c r="C68" t="s">
        <v>286</v>
      </c>
      <c r="D68" t="s">
        <v>287</v>
      </c>
      <c r="E68">
        <v>21.93</v>
      </c>
      <c r="F68" t="s">
        <v>288</v>
      </c>
      <c r="G68" t="s">
        <v>288</v>
      </c>
      <c r="H68" t="s">
        <v>392</v>
      </c>
      <c r="I68" t="s">
        <v>288</v>
      </c>
      <c r="J68" t="s">
        <v>288</v>
      </c>
      <c r="K68" t="s">
        <v>288</v>
      </c>
      <c r="L68">
        <v>400</v>
      </c>
      <c r="M68">
        <v>800</v>
      </c>
      <c r="N68">
        <f t="shared" si="1"/>
        <v>21.93</v>
      </c>
    </row>
    <row r="69" spans="1:23" x14ac:dyDescent="0.3">
      <c r="A69" t="s">
        <v>393</v>
      </c>
      <c r="B69" t="s">
        <v>285</v>
      </c>
      <c r="C69" t="s">
        <v>286</v>
      </c>
      <c r="D69" t="s">
        <v>287</v>
      </c>
      <c r="E69">
        <v>22.44</v>
      </c>
      <c r="F69" t="s">
        <v>288</v>
      </c>
      <c r="G69" t="s">
        <v>288</v>
      </c>
      <c r="H69" t="s">
        <v>394</v>
      </c>
      <c r="I69" t="s">
        <v>288</v>
      </c>
      <c r="J69" t="s">
        <v>288</v>
      </c>
      <c r="K69" t="s">
        <v>288</v>
      </c>
      <c r="L69">
        <v>400</v>
      </c>
      <c r="M69">
        <v>800</v>
      </c>
      <c r="N69">
        <f t="shared" si="1"/>
        <v>22.44</v>
      </c>
      <c r="R69" t="s">
        <v>445</v>
      </c>
      <c r="U69" t="s">
        <v>447</v>
      </c>
    </row>
    <row r="70" spans="1:23" x14ac:dyDescent="0.3">
      <c r="A70" t="s">
        <v>395</v>
      </c>
      <c r="B70" t="s">
        <v>285</v>
      </c>
      <c r="C70" t="s">
        <v>286</v>
      </c>
      <c r="D70" t="s">
        <v>287</v>
      </c>
      <c r="E70">
        <v>20.260000000000002</v>
      </c>
      <c r="F70" t="s">
        <v>288</v>
      </c>
      <c r="G70" t="s">
        <v>288</v>
      </c>
      <c r="H70" t="s">
        <v>396</v>
      </c>
      <c r="I70" t="s">
        <v>288</v>
      </c>
      <c r="J70" t="s">
        <v>288</v>
      </c>
      <c r="K70" t="s">
        <v>288</v>
      </c>
      <c r="L70">
        <v>600</v>
      </c>
      <c r="M70">
        <v>800</v>
      </c>
      <c r="N70">
        <f t="shared" si="1"/>
        <v>20.260000000000002</v>
      </c>
      <c r="R70">
        <f>MIN(E2:E73)</f>
        <v>20.260000000000002</v>
      </c>
      <c r="S70" t="s">
        <v>446</v>
      </c>
      <c r="U70" t="s">
        <v>448</v>
      </c>
    </row>
    <row r="71" spans="1:23" x14ac:dyDescent="0.3">
      <c r="A71" t="s">
        <v>397</v>
      </c>
      <c r="B71" t="s">
        <v>285</v>
      </c>
      <c r="C71" t="s">
        <v>286</v>
      </c>
      <c r="D71" t="s">
        <v>287</v>
      </c>
      <c r="E71">
        <v>20.87</v>
      </c>
      <c r="F71" t="s">
        <v>288</v>
      </c>
      <c r="G71" t="s">
        <v>288</v>
      </c>
      <c r="H71" t="s">
        <v>398</v>
      </c>
      <c r="I71" t="s">
        <v>288</v>
      </c>
      <c r="J71" t="s">
        <v>288</v>
      </c>
      <c r="K71" t="s">
        <v>288</v>
      </c>
      <c r="L71">
        <v>600</v>
      </c>
      <c r="M71">
        <v>800</v>
      </c>
      <c r="N71">
        <f t="shared" si="1"/>
        <v>20.87</v>
      </c>
      <c r="R71">
        <f>E71</f>
        <v>20.87</v>
      </c>
      <c r="S71" t="s">
        <v>397</v>
      </c>
      <c r="U71" t="s">
        <v>449</v>
      </c>
    </row>
    <row r="72" spans="1:23" x14ac:dyDescent="0.3">
      <c r="A72" t="s">
        <v>399</v>
      </c>
      <c r="B72" t="s">
        <v>285</v>
      </c>
      <c r="C72" t="s">
        <v>286</v>
      </c>
      <c r="D72" t="s">
        <v>287</v>
      </c>
      <c r="E72" t="s">
        <v>288</v>
      </c>
      <c r="F72" t="s">
        <v>288</v>
      </c>
      <c r="G72" t="s">
        <v>288</v>
      </c>
      <c r="H72" t="s">
        <v>288</v>
      </c>
      <c r="I72" t="s">
        <v>288</v>
      </c>
      <c r="J72" t="s">
        <v>288</v>
      </c>
      <c r="K72" t="s">
        <v>288</v>
      </c>
      <c r="L72">
        <v>800</v>
      </c>
      <c r="M72">
        <v>800</v>
      </c>
      <c r="N72" t="str">
        <f t="shared" si="1"/>
        <v/>
      </c>
    </row>
    <row r="73" spans="1:23" x14ac:dyDescent="0.3">
      <c r="A73" t="s">
        <v>400</v>
      </c>
      <c r="B73" t="s">
        <v>285</v>
      </c>
      <c r="C73" t="s">
        <v>286</v>
      </c>
      <c r="D73" t="s">
        <v>287</v>
      </c>
      <c r="F73" t="s">
        <v>288</v>
      </c>
      <c r="G73" t="s">
        <v>288</v>
      </c>
      <c r="H73" t="s">
        <v>288</v>
      </c>
      <c r="I73" t="s">
        <v>288</v>
      </c>
      <c r="J73" t="s">
        <v>288</v>
      </c>
      <c r="K73" t="s">
        <v>288</v>
      </c>
      <c r="L73">
        <v>800</v>
      </c>
      <c r="M73">
        <v>800</v>
      </c>
    </row>
    <row r="74" spans="1:23" x14ac:dyDescent="0.3">
      <c r="A74" t="s">
        <v>401</v>
      </c>
      <c r="B74" t="s">
        <v>285</v>
      </c>
      <c r="C74" t="s">
        <v>402</v>
      </c>
      <c r="D74" t="s">
        <v>287</v>
      </c>
      <c r="E74" t="s">
        <v>288</v>
      </c>
      <c r="F74">
        <v>0</v>
      </c>
      <c r="G74">
        <v>0</v>
      </c>
      <c r="H74" t="s">
        <v>288</v>
      </c>
      <c r="I74" t="s">
        <v>288</v>
      </c>
      <c r="J74" t="s">
        <v>288</v>
      </c>
      <c r="K74" t="s">
        <v>258</v>
      </c>
      <c r="L74">
        <v>300</v>
      </c>
      <c r="M74">
        <v>300</v>
      </c>
      <c r="N74" t="str">
        <f t="shared" si="1"/>
        <v/>
      </c>
    </row>
    <row r="75" spans="1:23" x14ac:dyDescent="0.3">
      <c r="A75" t="s">
        <v>403</v>
      </c>
      <c r="B75" t="s">
        <v>285</v>
      </c>
      <c r="C75" t="s">
        <v>402</v>
      </c>
      <c r="D75" t="s">
        <v>287</v>
      </c>
      <c r="E75" t="s">
        <v>288</v>
      </c>
      <c r="F75">
        <v>0</v>
      </c>
      <c r="G75">
        <v>0</v>
      </c>
      <c r="H75" t="s">
        <v>288</v>
      </c>
      <c r="I75" t="s">
        <v>288</v>
      </c>
      <c r="J75" t="s">
        <v>288</v>
      </c>
      <c r="K75" t="s">
        <v>258</v>
      </c>
      <c r="L75">
        <v>300</v>
      </c>
      <c r="M75">
        <v>300</v>
      </c>
      <c r="N75" t="str">
        <f t="shared" si="1"/>
        <v/>
      </c>
    </row>
    <row r="76" spans="1:23" x14ac:dyDescent="0.3">
      <c r="A76" t="s">
        <v>404</v>
      </c>
      <c r="B76" t="s">
        <v>285</v>
      </c>
      <c r="C76" t="s">
        <v>402</v>
      </c>
      <c r="D76" t="s">
        <v>287</v>
      </c>
      <c r="E76" t="s">
        <v>288</v>
      </c>
      <c r="F76">
        <v>0</v>
      </c>
      <c r="G76">
        <v>0</v>
      </c>
      <c r="H76" t="s">
        <v>288</v>
      </c>
      <c r="I76" t="s">
        <v>288</v>
      </c>
      <c r="J76" t="s">
        <v>288</v>
      </c>
      <c r="K76" t="s">
        <v>258</v>
      </c>
      <c r="L76">
        <v>300</v>
      </c>
      <c r="M76">
        <v>300</v>
      </c>
      <c r="N76" t="str">
        <f t="shared" si="1"/>
        <v/>
      </c>
    </row>
    <row r="77" spans="1:23" x14ac:dyDescent="0.3">
      <c r="A77" t="s">
        <v>405</v>
      </c>
      <c r="B77" t="s">
        <v>285</v>
      </c>
      <c r="C77" t="s">
        <v>402</v>
      </c>
      <c r="D77" t="s">
        <v>287</v>
      </c>
      <c r="E77">
        <v>12.85</v>
      </c>
      <c r="F77">
        <v>12.85</v>
      </c>
      <c r="G77">
        <v>0.25</v>
      </c>
      <c r="H77" t="s">
        <v>406</v>
      </c>
      <c r="I77">
        <v>952.92</v>
      </c>
      <c r="J77">
        <v>118.8</v>
      </c>
      <c r="K77" t="s">
        <v>259</v>
      </c>
      <c r="L77">
        <v>300</v>
      </c>
      <c r="M77">
        <v>300</v>
      </c>
    </row>
    <row r="78" spans="1:23" x14ac:dyDescent="0.3">
      <c r="A78" t="s">
        <v>407</v>
      </c>
      <c r="B78" t="s">
        <v>285</v>
      </c>
      <c r="C78" t="s">
        <v>402</v>
      </c>
      <c r="D78" t="s">
        <v>287</v>
      </c>
      <c r="E78">
        <v>13.1</v>
      </c>
      <c r="F78">
        <v>12.85</v>
      </c>
      <c r="G78">
        <v>0.25</v>
      </c>
      <c r="H78" t="s">
        <v>408</v>
      </c>
      <c r="I78">
        <v>952.92</v>
      </c>
      <c r="J78">
        <v>118.8</v>
      </c>
      <c r="K78" t="s">
        <v>259</v>
      </c>
      <c r="L78">
        <v>300</v>
      </c>
      <c r="M78">
        <v>300</v>
      </c>
      <c r="R78" s="38" t="s">
        <v>454</v>
      </c>
      <c r="S78" s="38" t="s">
        <v>254</v>
      </c>
      <c r="T78" s="38" t="s">
        <v>455</v>
      </c>
      <c r="U78" s="38" t="s">
        <v>255</v>
      </c>
      <c r="V78" s="38" t="s">
        <v>456</v>
      </c>
      <c r="W78" s="38" t="s">
        <v>457</v>
      </c>
    </row>
    <row r="79" spans="1:23" x14ac:dyDescent="0.3">
      <c r="A79" t="s">
        <v>409</v>
      </c>
      <c r="B79" t="s">
        <v>285</v>
      </c>
      <c r="C79" t="s">
        <v>402</v>
      </c>
      <c r="D79" t="s">
        <v>287</v>
      </c>
      <c r="E79">
        <v>12.6</v>
      </c>
      <c r="F79">
        <v>12.85</v>
      </c>
      <c r="G79">
        <v>0.25</v>
      </c>
      <c r="H79" t="s">
        <v>410</v>
      </c>
      <c r="I79">
        <v>952.92</v>
      </c>
      <c r="J79">
        <v>118.8</v>
      </c>
      <c r="K79" t="s">
        <v>259</v>
      </c>
      <c r="L79">
        <v>300</v>
      </c>
      <c r="M79">
        <v>300</v>
      </c>
      <c r="R79" s="39"/>
      <c r="S79" s="40">
        <v>100</v>
      </c>
      <c r="T79" s="40">
        <f>1000000*Table1[[#This Row],[Conc (uM)]]</f>
        <v>100000000</v>
      </c>
      <c r="U79" s="41">
        <v>625000000000000</v>
      </c>
      <c r="V79" s="38"/>
      <c r="W79" s="42"/>
    </row>
    <row r="80" spans="1:23" x14ac:dyDescent="0.3">
      <c r="A80" t="s">
        <v>411</v>
      </c>
      <c r="B80" t="s">
        <v>285</v>
      </c>
      <c r="C80" t="s">
        <v>402</v>
      </c>
      <c r="D80" t="s">
        <v>287</v>
      </c>
      <c r="E80">
        <v>17.27</v>
      </c>
      <c r="F80">
        <v>17.23</v>
      </c>
      <c r="G80">
        <v>0.04</v>
      </c>
      <c r="H80" t="s">
        <v>412</v>
      </c>
      <c r="I80">
        <v>106.75</v>
      </c>
      <c r="J80">
        <v>2.08</v>
      </c>
      <c r="K80" t="s">
        <v>261</v>
      </c>
      <c r="L80">
        <v>300</v>
      </c>
      <c r="M80">
        <v>300</v>
      </c>
      <c r="R80" s="39"/>
      <c r="S80" s="40">
        <f>S79/10</f>
        <v>10</v>
      </c>
      <c r="T80" s="40">
        <f>1000000*Table1[[#This Row],[Conc (uM)]]</f>
        <v>10000000</v>
      </c>
      <c r="U80" s="41">
        <f>U79/10</f>
        <v>62500000000000</v>
      </c>
      <c r="V80" s="38"/>
      <c r="W80" s="42"/>
    </row>
    <row r="81" spans="1:30" x14ac:dyDescent="0.3">
      <c r="A81" t="s">
        <v>413</v>
      </c>
      <c r="B81" t="s">
        <v>285</v>
      </c>
      <c r="C81" t="s">
        <v>402</v>
      </c>
      <c r="D81" t="s">
        <v>287</v>
      </c>
      <c r="E81">
        <v>17.23</v>
      </c>
      <c r="F81">
        <v>17.23</v>
      </c>
      <c r="G81">
        <v>0.04</v>
      </c>
      <c r="H81" t="s">
        <v>414</v>
      </c>
      <c r="I81">
        <v>106.75</v>
      </c>
      <c r="J81">
        <v>2.08</v>
      </c>
      <c r="K81" t="s">
        <v>261</v>
      </c>
      <c r="L81">
        <v>300</v>
      </c>
      <c r="M81">
        <v>300</v>
      </c>
      <c r="R81" s="39" t="s">
        <v>257</v>
      </c>
      <c r="S81" s="40">
        <f t="shared" ref="S81:U94" si="2">S80/10</f>
        <v>1</v>
      </c>
      <c r="T81" s="40">
        <f>1000000*Table1[[#This Row],[Conc (uM)]]</f>
        <v>1000000</v>
      </c>
      <c r="U81" s="41">
        <f t="shared" si="2"/>
        <v>6250000000000</v>
      </c>
      <c r="V81" s="42"/>
      <c r="W81" s="42"/>
    </row>
    <row r="82" spans="1:30" x14ac:dyDescent="0.3">
      <c r="A82" t="s">
        <v>415</v>
      </c>
      <c r="B82" t="s">
        <v>285</v>
      </c>
      <c r="C82" t="s">
        <v>402</v>
      </c>
      <c r="D82" t="s">
        <v>287</v>
      </c>
      <c r="E82">
        <v>17.190000000000001</v>
      </c>
      <c r="F82">
        <v>17.23</v>
      </c>
      <c r="G82">
        <v>0.04</v>
      </c>
      <c r="H82" t="s">
        <v>416</v>
      </c>
      <c r="I82">
        <v>106.75</v>
      </c>
      <c r="J82">
        <v>2.08</v>
      </c>
      <c r="K82" t="s">
        <v>261</v>
      </c>
      <c r="L82">
        <v>300</v>
      </c>
      <c r="M82">
        <v>300</v>
      </c>
      <c r="R82" s="38"/>
      <c r="S82" s="40">
        <f t="shared" si="2"/>
        <v>0.1</v>
      </c>
      <c r="T82" s="40">
        <f>1000000*Table1[[#This Row],[Conc (uM)]]</f>
        <v>100000</v>
      </c>
      <c r="U82" s="41">
        <f t="shared" si="2"/>
        <v>625000000000</v>
      </c>
      <c r="V82" s="38"/>
      <c r="W82" s="42"/>
    </row>
    <row r="83" spans="1:30" x14ac:dyDescent="0.3">
      <c r="A83" t="s">
        <v>417</v>
      </c>
      <c r="B83" t="s">
        <v>285</v>
      </c>
      <c r="C83" t="s">
        <v>402</v>
      </c>
      <c r="D83" t="s">
        <v>287</v>
      </c>
      <c r="E83">
        <v>21.72</v>
      </c>
      <c r="F83">
        <v>21.73</v>
      </c>
      <c r="G83">
        <v>0.42</v>
      </c>
      <c r="H83" t="s">
        <v>418</v>
      </c>
      <c r="I83">
        <v>11.5</v>
      </c>
      <c r="J83">
        <v>2.36</v>
      </c>
      <c r="K83" t="s">
        <v>262</v>
      </c>
      <c r="L83">
        <v>300</v>
      </c>
      <c r="M83">
        <v>300</v>
      </c>
      <c r="R83" s="39" t="s">
        <v>258</v>
      </c>
      <c r="S83" s="40">
        <f t="shared" si="2"/>
        <v>0.01</v>
      </c>
      <c r="T83" s="40">
        <f>1000000*Table1[[#This Row],[Conc (uM)]]</f>
        <v>10000</v>
      </c>
      <c r="U83" s="41">
        <f t="shared" si="2"/>
        <v>62500000000</v>
      </c>
      <c r="V83" s="38" t="e">
        <f>AVERAGE(E74:E76)</f>
        <v>#DIV/0!</v>
      </c>
      <c r="W83" s="42" t="e">
        <f>STDEV(E74:E76)</f>
        <v>#DIV/0!</v>
      </c>
      <c r="Y83" s="45" t="s">
        <v>458</v>
      </c>
      <c r="Z83" s="46" t="s">
        <v>459</v>
      </c>
      <c r="AA83" t="s">
        <v>460</v>
      </c>
      <c r="AB83" t="s">
        <v>462</v>
      </c>
      <c r="AC83" t="s">
        <v>461</v>
      </c>
      <c r="AD83" t="s">
        <v>457</v>
      </c>
    </row>
    <row r="84" spans="1:30" x14ac:dyDescent="0.3">
      <c r="A84" t="s">
        <v>419</v>
      </c>
      <c r="B84" t="s">
        <v>285</v>
      </c>
      <c r="C84" t="s">
        <v>402</v>
      </c>
      <c r="D84" t="s">
        <v>287</v>
      </c>
      <c r="E84">
        <v>22.15</v>
      </c>
      <c r="F84">
        <v>21.73</v>
      </c>
      <c r="G84">
        <v>0.42</v>
      </c>
      <c r="H84" t="s">
        <v>420</v>
      </c>
      <c r="I84">
        <v>11.5</v>
      </c>
      <c r="J84">
        <v>2.36</v>
      </c>
      <c r="K84" t="s">
        <v>262</v>
      </c>
      <c r="L84">
        <v>300</v>
      </c>
      <c r="M84">
        <v>300</v>
      </c>
      <c r="R84" s="39" t="s">
        <v>259</v>
      </c>
      <c r="S84" s="40">
        <f t="shared" si="2"/>
        <v>1E-3</v>
      </c>
      <c r="T84" s="40">
        <f>1000000*Table1[[#This Row],[Conc (uM)]]</f>
        <v>1000</v>
      </c>
      <c r="U84" s="41">
        <f t="shared" si="2"/>
        <v>6250000000</v>
      </c>
      <c r="V84" s="43">
        <f>AVERAGE(E77:E79)</f>
        <v>12.85</v>
      </c>
      <c r="W84" s="44">
        <f>STDEV(E77:E79)</f>
        <v>0.25</v>
      </c>
      <c r="Y84" s="47">
        <f>1000000*Table1[[#This Row],[Conc (uM)]]</f>
        <v>1000</v>
      </c>
      <c r="Z84" s="48">
        <v>1000</v>
      </c>
      <c r="AA84">
        <v>6250000000</v>
      </c>
      <c r="AB84">
        <f>LOG(AA84)</f>
        <v>9.795880017344075</v>
      </c>
      <c r="AC84">
        <v>12.85</v>
      </c>
      <c r="AD84">
        <v>0.25</v>
      </c>
    </row>
    <row r="85" spans="1:30" x14ac:dyDescent="0.3">
      <c r="A85" t="s">
        <v>421</v>
      </c>
      <c r="B85" t="s">
        <v>285</v>
      </c>
      <c r="C85" t="s">
        <v>402</v>
      </c>
      <c r="D85" t="s">
        <v>287</v>
      </c>
      <c r="E85">
        <v>21.32</v>
      </c>
      <c r="F85">
        <v>21.73</v>
      </c>
      <c r="G85">
        <v>0.42</v>
      </c>
      <c r="H85" t="s">
        <v>422</v>
      </c>
      <c r="I85">
        <v>11.5</v>
      </c>
      <c r="J85">
        <v>2.36</v>
      </c>
      <c r="K85" t="s">
        <v>262</v>
      </c>
      <c r="L85">
        <v>300</v>
      </c>
      <c r="M85">
        <v>300</v>
      </c>
      <c r="R85" s="39" t="s">
        <v>261</v>
      </c>
      <c r="S85" s="40">
        <f t="shared" si="2"/>
        <v>1E-4</v>
      </c>
      <c r="T85" s="40">
        <f>1000000*Table1[[#This Row],[Conc (uM)]]</f>
        <v>100</v>
      </c>
      <c r="U85" s="41">
        <f t="shared" si="2"/>
        <v>625000000</v>
      </c>
      <c r="V85" s="43">
        <f>AVERAGE(E80:E82)</f>
        <v>17.23</v>
      </c>
      <c r="W85" s="44">
        <f>STDEV(E80:E82)</f>
        <v>3.9999999999999147E-2</v>
      </c>
      <c r="Y85" s="45">
        <f>1000000*Table1[[#This Row],[Conc (uM)]]</f>
        <v>100</v>
      </c>
      <c r="Z85" s="46">
        <v>100</v>
      </c>
      <c r="AA85">
        <v>625000000</v>
      </c>
      <c r="AB85">
        <f t="shared" ref="AB85:AB89" si="3">LOG(AA85)</f>
        <v>8.795880017344075</v>
      </c>
      <c r="AC85">
        <v>17.23</v>
      </c>
      <c r="AD85">
        <v>3.9999999999999147E-2</v>
      </c>
    </row>
    <row r="86" spans="1:30" x14ac:dyDescent="0.3">
      <c r="A86" t="s">
        <v>423</v>
      </c>
      <c r="B86" t="s">
        <v>285</v>
      </c>
      <c r="C86" t="s">
        <v>402</v>
      </c>
      <c r="D86" t="s">
        <v>287</v>
      </c>
      <c r="E86">
        <v>26.68</v>
      </c>
      <c r="F86">
        <v>26.73</v>
      </c>
      <c r="G86">
        <v>7.0000000000000007E-2</v>
      </c>
      <c r="H86" t="s">
        <v>424</v>
      </c>
      <c r="I86">
        <v>0.94</v>
      </c>
      <c r="J86">
        <v>0.03</v>
      </c>
      <c r="K86" t="s">
        <v>263</v>
      </c>
      <c r="L86">
        <v>300</v>
      </c>
      <c r="M86">
        <v>300</v>
      </c>
      <c r="R86" s="39" t="s">
        <v>262</v>
      </c>
      <c r="S86" s="40">
        <f t="shared" si="2"/>
        <v>1.0000000000000001E-5</v>
      </c>
      <c r="T86" s="40">
        <f>1000000*Table1[[#This Row],[Conc (uM)]]</f>
        <v>10</v>
      </c>
      <c r="U86" s="41">
        <f t="shared" si="2"/>
        <v>62500000</v>
      </c>
      <c r="V86" s="43">
        <f>AVERAGE(E83:E85)</f>
        <v>21.73</v>
      </c>
      <c r="W86" s="44">
        <f>STDEV(E83:E85)</f>
        <v>0.41509035161034435</v>
      </c>
      <c r="Y86" s="47">
        <f>1000000*Table1[[#This Row],[Conc (uM)]]</f>
        <v>10</v>
      </c>
      <c r="Z86" s="48">
        <v>10</v>
      </c>
      <c r="AA86">
        <v>62500000</v>
      </c>
      <c r="AB86">
        <f t="shared" si="3"/>
        <v>7.795880017344075</v>
      </c>
      <c r="AC86">
        <v>21.73</v>
      </c>
      <c r="AD86">
        <v>0.41509035161034435</v>
      </c>
    </row>
    <row r="87" spans="1:30" x14ac:dyDescent="0.3">
      <c r="A87" t="s">
        <v>425</v>
      </c>
      <c r="B87" t="s">
        <v>285</v>
      </c>
      <c r="C87" t="s">
        <v>402</v>
      </c>
      <c r="D87" t="s">
        <v>287</v>
      </c>
      <c r="E87">
        <v>26.69</v>
      </c>
      <c r="F87">
        <v>26.73</v>
      </c>
      <c r="G87">
        <v>7.0000000000000007E-2</v>
      </c>
      <c r="H87" t="s">
        <v>426</v>
      </c>
      <c r="I87">
        <v>0.94</v>
      </c>
      <c r="J87">
        <v>0.03</v>
      </c>
      <c r="K87" t="s">
        <v>263</v>
      </c>
      <c r="L87">
        <v>300</v>
      </c>
      <c r="M87">
        <v>300</v>
      </c>
      <c r="R87" s="39" t="s">
        <v>263</v>
      </c>
      <c r="S87" s="40">
        <f t="shared" si="2"/>
        <v>1.0000000000000002E-6</v>
      </c>
      <c r="T87" s="40">
        <f>1000000*Table1[[#This Row],[Conc (uM)]]</f>
        <v>1.0000000000000002</v>
      </c>
      <c r="U87" s="41">
        <f t="shared" si="2"/>
        <v>6250000</v>
      </c>
      <c r="V87" s="43">
        <f>AVERAGE(E86:E88)</f>
        <v>26.72666666666667</v>
      </c>
      <c r="W87" s="44">
        <f>STDEV(E86:E88)</f>
        <v>7.2341781380701381E-2</v>
      </c>
      <c r="Y87" s="45">
        <f>1000000*Table1[[#This Row],[Conc (uM)]]</f>
        <v>1.0000000000000002</v>
      </c>
      <c r="Z87" s="46">
        <v>1.0000000000000002</v>
      </c>
      <c r="AA87">
        <v>6250000</v>
      </c>
      <c r="AB87">
        <f t="shared" si="3"/>
        <v>6.795880017344075</v>
      </c>
      <c r="AC87">
        <v>26.72666666666667</v>
      </c>
      <c r="AD87">
        <v>7.2341781380701381E-2</v>
      </c>
    </row>
    <row r="88" spans="1:30" x14ac:dyDescent="0.3">
      <c r="A88" t="s">
        <v>427</v>
      </c>
      <c r="B88" t="s">
        <v>285</v>
      </c>
      <c r="C88" t="s">
        <v>402</v>
      </c>
      <c r="D88" t="s">
        <v>287</v>
      </c>
      <c r="E88">
        <v>26.81</v>
      </c>
      <c r="F88">
        <v>26.73</v>
      </c>
      <c r="G88">
        <v>7.0000000000000007E-2</v>
      </c>
      <c r="H88" t="s">
        <v>428</v>
      </c>
      <c r="I88">
        <v>0.94</v>
      </c>
      <c r="J88">
        <v>0.03</v>
      </c>
      <c r="K88" t="s">
        <v>263</v>
      </c>
      <c r="L88">
        <v>300</v>
      </c>
      <c r="M88">
        <v>300</v>
      </c>
      <c r="R88" s="39" t="s">
        <v>264</v>
      </c>
      <c r="S88" s="40">
        <f t="shared" si="2"/>
        <v>1.0000000000000002E-7</v>
      </c>
      <c r="T88" s="40">
        <f>1000000*Table1[[#This Row],[Conc (uM)]]</f>
        <v>0.10000000000000002</v>
      </c>
      <c r="U88" s="41">
        <f t="shared" si="2"/>
        <v>625000</v>
      </c>
      <c r="V88" s="43">
        <f>AVERAGE(E89:E91)</f>
        <v>31.709999999999997</v>
      </c>
      <c r="W88" s="44">
        <f>STDEV(E89:E91)</f>
        <v>8.66025403784451E-2</v>
      </c>
      <c r="Y88" s="47">
        <f>1000000*Table1[[#This Row],[Conc (uM)]]</f>
        <v>0.10000000000000002</v>
      </c>
      <c r="Z88" s="48">
        <v>0.10000000000000002</v>
      </c>
      <c r="AA88">
        <v>625000</v>
      </c>
      <c r="AB88">
        <f t="shared" si="3"/>
        <v>5.795880017344075</v>
      </c>
      <c r="AC88">
        <v>31.709999999999997</v>
      </c>
      <c r="AD88">
        <v>8.66025403784451E-2</v>
      </c>
    </row>
    <row r="89" spans="1:30" x14ac:dyDescent="0.3">
      <c r="A89" t="s">
        <v>429</v>
      </c>
      <c r="B89" t="s">
        <v>285</v>
      </c>
      <c r="C89" t="s">
        <v>402</v>
      </c>
      <c r="D89" t="s">
        <v>287</v>
      </c>
      <c r="E89">
        <v>31.76</v>
      </c>
      <c r="F89">
        <v>31.71</v>
      </c>
      <c r="G89">
        <v>0.09</v>
      </c>
      <c r="H89" t="s">
        <v>430</v>
      </c>
      <c r="I89">
        <v>0.08</v>
      </c>
      <c r="J89">
        <v>0</v>
      </c>
      <c r="K89" t="s">
        <v>264</v>
      </c>
      <c r="L89">
        <v>300</v>
      </c>
      <c r="M89">
        <v>300</v>
      </c>
      <c r="R89" s="39" t="s">
        <v>265</v>
      </c>
      <c r="S89" s="40">
        <f t="shared" si="2"/>
        <v>1.0000000000000002E-8</v>
      </c>
      <c r="T89" s="40">
        <f>1000000*Table1[[#This Row],[Conc (uM)]]</f>
        <v>1.0000000000000002E-2</v>
      </c>
      <c r="U89" s="41">
        <f t="shared" si="2"/>
        <v>62500</v>
      </c>
      <c r="V89" s="43">
        <f>AVERAGE(E92:E94)</f>
        <v>35.499999999999993</v>
      </c>
      <c r="W89" s="44">
        <f>STDEV(E92:E94)</f>
        <v>0.30446674695276726</v>
      </c>
      <c r="Y89" s="45">
        <f>1000000*Table1[[#This Row],[Conc (uM)]]</f>
        <v>1.0000000000000002E-2</v>
      </c>
      <c r="Z89" s="46">
        <v>1.0000000000000002E-2</v>
      </c>
      <c r="AA89">
        <v>62500</v>
      </c>
      <c r="AB89">
        <f t="shared" si="3"/>
        <v>4.795880017344075</v>
      </c>
      <c r="AC89">
        <v>35.499999999999993</v>
      </c>
      <c r="AD89">
        <v>0.30446674695276726</v>
      </c>
    </row>
    <row r="90" spans="1:30" x14ac:dyDescent="0.3">
      <c r="A90" t="s">
        <v>431</v>
      </c>
      <c r="B90" t="s">
        <v>285</v>
      </c>
      <c r="C90" t="s">
        <v>402</v>
      </c>
      <c r="D90" t="s">
        <v>287</v>
      </c>
      <c r="E90">
        <v>31.76</v>
      </c>
      <c r="F90">
        <v>31.71</v>
      </c>
      <c r="G90">
        <v>0.09</v>
      </c>
      <c r="H90" t="s">
        <v>430</v>
      </c>
      <c r="I90">
        <v>0.08</v>
      </c>
      <c r="J90">
        <v>0</v>
      </c>
      <c r="K90" t="s">
        <v>264</v>
      </c>
      <c r="L90">
        <v>300</v>
      </c>
      <c r="M90">
        <v>300</v>
      </c>
      <c r="R90" s="39" t="s">
        <v>266</v>
      </c>
      <c r="S90" s="40">
        <f t="shared" si="2"/>
        <v>1.0000000000000003E-9</v>
      </c>
      <c r="T90" s="40">
        <f>1000000*Table1[[#This Row],[Conc (uM)]]</f>
        <v>1.0000000000000002E-3</v>
      </c>
      <c r="U90" s="41">
        <f t="shared" si="2"/>
        <v>6250</v>
      </c>
      <c r="V90" s="43"/>
      <c r="W90" s="44"/>
    </row>
    <row r="91" spans="1:30" x14ac:dyDescent="0.3">
      <c r="A91" t="s">
        <v>432</v>
      </c>
      <c r="B91" t="s">
        <v>285</v>
      </c>
      <c r="C91" t="s">
        <v>402</v>
      </c>
      <c r="D91" t="s">
        <v>287</v>
      </c>
      <c r="E91">
        <v>31.61</v>
      </c>
      <c r="F91">
        <v>31.71</v>
      </c>
      <c r="G91">
        <v>0.09</v>
      </c>
      <c r="H91" t="s">
        <v>433</v>
      </c>
      <c r="I91">
        <v>0.08</v>
      </c>
      <c r="J91">
        <v>0</v>
      </c>
      <c r="K91" t="s">
        <v>264</v>
      </c>
      <c r="L91">
        <v>300</v>
      </c>
      <c r="M91">
        <v>300</v>
      </c>
      <c r="R91" s="39" t="s">
        <v>268</v>
      </c>
      <c r="S91" s="40">
        <f t="shared" si="2"/>
        <v>1.0000000000000003E-10</v>
      </c>
      <c r="T91" s="40">
        <f>1000000*Table1[[#This Row],[Conc (uM)]]</f>
        <v>1.0000000000000003E-4</v>
      </c>
      <c r="U91" s="41">
        <f t="shared" si="2"/>
        <v>625</v>
      </c>
      <c r="V91" s="43"/>
      <c r="W91" s="44"/>
      <c r="AA91">
        <f t="array" ref="AA91:AB91">LINEST(AC84:AC89,AB84:AB89)</f>
        <v>-4.6196190476190466</v>
      </c>
      <c r="AB91">
        <v>57.995297408376985</v>
      </c>
    </row>
    <row r="92" spans="1:30" x14ac:dyDescent="0.3">
      <c r="A92" t="s">
        <v>434</v>
      </c>
      <c r="B92" t="s">
        <v>285</v>
      </c>
      <c r="C92" t="s">
        <v>402</v>
      </c>
      <c r="D92" t="s">
        <v>287</v>
      </c>
      <c r="E92">
        <v>35.229999999999997</v>
      </c>
      <c r="F92">
        <v>35.5</v>
      </c>
      <c r="G92">
        <v>0.3</v>
      </c>
      <c r="H92" t="s">
        <v>435</v>
      </c>
      <c r="I92">
        <v>0.01</v>
      </c>
      <c r="J92">
        <v>0</v>
      </c>
      <c r="K92" t="s">
        <v>265</v>
      </c>
      <c r="L92">
        <v>300</v>
      </c>
      <c r="M92">
        <v>300</v>
      </c>
      <c r="R92" s="39" t="s">
        <v>269</v>
      </c>
      <c r="S92" s="40">
        <f t="shared" si="2"/>
        <v>1.0000000000000003E-11</v>
      </c>
      <c r="T92" s="40">
        <f>1000000*Table1[[#This Row],[Conc (uM)]]</f>
        <v>1.0000000000000003E-5</v>
      </c>
      <c r="U92" s="41">
        <f t="shared" si="2"/>
        <v>62.5</v>
      </c>
      <c r="V92" s="43"/>
      <c r="W92" s="44"/>
    </row>
    <row r="93" spans="1:30" x14ac:dyDescent="0.3">
      <c r="A93" t="s">
        <v>436</v>
      </c>
      <c r="B93" t="s">
        <v>285</v>
      </c>
      <c r="C93" t="s">
        <v>402</v>
      </c>
      <c r="D93" t="s">
        <v>287</v>
      </c>
      <c r="E93">
        <v>35.44</v>
      </c>
      <c r="F93">
        <v>35.5</v>
      </c>
      <c r="G93">
        <v>0.3</v>
      </c>
      <c r="H93" t="s">
        <v>437</v>
      </c>
      <c r="I93">
        <v>0.01</v>
      </c>
      <c r="J93">
        <v>0</v>
      </c>
      <c r="K93" t="s">
        <v>265</v>
      </c>
      <c r="L93">
        <v>300</v>
      </c>
      <c r="M93">
        <v>300</v>
      </c>
      <c r="R93" s="39" t="s">
        <v>270</v>
      </c>
      <c r="S93" s="40">
        <f t="shared" si="2"/>
        <v>1.0000000000000002E-12</v>
      </c>
      <c r="T93" s="40">
        <f>1000000*Table1[[#This Row],[Conc (uM)]]</f>
        <v>1.0000000000000002E-6</v>
      </c>
      <c r="U93" s="41">
        <f t="shared" si="2"/>
        <v>6.25</v>
      </c>
      <c r="V93" s="43"/>
      <c r="W93" s="44"/>
      <c r="AA93" s="49" t="s">
        <v>463</v>
      </c>
      <c r="AB93" s="49">
        <f>10^(-1/AA91)-1</f>
        <v>0.64614491886936376</v>
      </c>
    </row>
    <row r="94" spans="1:30" x14ac:dyDescent="0.3">
      <c r="A94" t="s">
        <v>438</v>
      </c>
      <c r="B94" t="s">
        <v>285</v>
      </c>
      <c r="C94" t="s">
        <v>402</v>
      </c>
      <c r="D94" t="s">
        <v>287</v>
      </c>
      <c r="E94">
        <v>35.83</v>
      </c>
      <c r="F94">
        <v>35.5</v>
      </c>
      <c r="G94">
        <v>0.3</v>
      </c>
      <c r="H94" t="s">
        <v>439</v>
      </c>
      <c r="I94">
        <v>0.01</v>
      </c>
      <c r="J94">
        <v>0</v>
      </c>
      <c r="K94" t="s">
        <v>265</v>
      </c>
      <c r="L94">
        <v>300</v>
      </c>
      <c r="M94">
        <v>300</v>
      </c>
      <c r="R94" s="39" t="s">
        <v>272</v>
      </c>
      <c r="S94" s="40">
        <f t="shared" si="2"/>
        <v>1.0000000000000002E-13</v>
      </c>
      <c r="T94" s="40">
        <f>1000000*Table1[[#This Row],[Conc (uM)]]</f>
        <v>1.0000000000000002E-7</v>
      </c>
      <c r="U94" s="41">
        <f t="shared" si="2"/>
        <v>0.625</v>
      </c>
      <c r="V94" s="43"/>
      <c r="W94" s="44"/>
    </row>
    <row r="95" spans="1:30" x14ac:dyDescent="0.3">
      <c r="A95" t="s">
        <v>440</v>
      </c>
      <c r="B95" t="s">
        <v>285</v>
      </c>
      <c r="C95" t="s">
        <v>441</v>
      </c>
      <c r="D95" t="s">
        <v>287</v>
      </c>
      <c r="E95" t="s">
        <v>288</v>
      </c>
      <c r="F95" t="s">
        <v>288</v>
      </c>
      <c r="G95" t="s">
        <v>288</v>
      </c>
      <c r="H95" t="s">
        <v>288</v>
      </c>
      <c r="I95" t="s">
        <v>288</v>
      </c>
      <c r="J95" t="s">
        <v>288</v>
      </c>
      <c r="K95" t="s">
        <v>288</v>
      </c>
      <c r="N95" t="str">
        <f t="shared" si="1"/>
        <v/>
      </c>
    </row>
    <row r="96" spans="1:30" x14ac:dyDescent="0.3">
      <c r="A96" t="s">
        <v>442</v>
      </c>
      <c r="B96" t="s">
        <v>285</v>
      </c>
      <c r="C96" t="s">
        <v>441</v>
      </c>
      <c r="D96" t="s">
        <v>287</v>
      </c>
      <c r="E96" t="s">
        <v>288</v>
      </c>
      <c r="F96" t="s">
        <v>288</v>
      </c>
      <c r="G96" t="s">
        <v>288</v>
      </c>
      <c r="H96" t="s">
        <v>288</v>
      </c>
      <c r="I96" t="s">
        <v>288</v>
      </c>
      <c r="J96" t="s">
        <v>288</v>
      </c>
      <c r="K96" t="s">
        <v>288</v>
      </c>
      <c r="N96" t="str">
        <f t="shared" si="1"/>
        <v/>
      </c>
      <c r="Y96" t="s">
        <v>464</v>
      </c>
    </row>
    <row r="97" spans="1:25" x14ac:dyDescent="0.3">
      <c r="A97" t="s">
        <v>443</v>
      </c>
      <c r="B97" t="s">
        <v>285</v>
      </c>
      <c r="C97" t="s">
        <v>441</v>
      </c>
      <c r="D97" t="s">
        <v>287</v>
      </c>
      <c r="E97" t="s">
        <v>288</v>
      </c>
      <c r="F97" t="s">
        <v>288</v>
      </c>
      <c r="G97" t="s">
        <v>288</v>
      </c>
      <c r="H97" t="s">
        <v>288</v>
      </c>
      <c r="I97" t="s">
        <v>288</v>
      </c>
      <c r="J97" t="s">
        <v>288</v>
      </c>
      <c r="K97" t="s">
        <v>288</v>
      </c>
      <c r="N97" t="str">
        <f t="shared" si="1"/>
        <v/>
      </c>
    </row>
    <row r="98" spans="1:25" x14ac:dyDescent="0.3">
      <c r="Y98" t="s">
        <v>465</v>
      </c>
    </row>
    <row r="99" spans="1:25" x14ac:dyDescent="0.3">
      <c r="Y99" t="s">
        <v>466</v>
      </c>
    </row>
    <row r="100" spans="1:25" x14ac:dyDescent="0.3">
      <c r="Y100" t="s">
        <v>467</v>
      </c>
    </row>
    <row r="126" spans="25:25" x14ac:dyDescent="0.3">
      <c r="Y126" t="s">
        <v>468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1DA17-8949-4A2B-BD92-E6B63850AE58}">
  <sheetPr codeName="Sheet5">
    <outlinePr summaryBelow="0" summaryRight="0"/>
    <pageSetUpPr autoPageBreaks="0" fitToPage="1"/>
  </sheetPr>
  <dimension ref="A1:K97"/>
  <sheetViews>
    <sheetView tabSelected="1" topLeftCell="A57" zoomScale="55" zoomScaleNormal="55" workbookViewId="0">
      <selection activeCell="E6" sqref="E6"/>
    </sheetView>
  </sheetViews>
  <sheetFormatPr defaultColWidth="8.77734375" defaultRowHeight="13.2" x14ac:dyDescent="0.25"/>
  <cols>
    <col min="1" max="16384" width="8.77734375" style="50"/>
  </cols>
  <sheetData>
    <row r="1" spans="1:11" x14ac:dyDescent="0.25">
      <c r="A1" s="50" t="s">
        <v>273</v>
      </c>
      <c r="B1" s="50" t="s">
        <v>274</v>
      </c>
      <c r="C1" s="50" t="s">
        <v>275</v>
      </c>
      <c r="D1" s="50" t="s">
        <v>276</v>
      </c>
      <c r="E1" s="50" t="s">
        <v>277</v>
      </c>
      <c r="F1" s="50" t="s">
        <v>278</v>
      </c>
      <c r="G1" s="50" t="s">
        <v>279</v>
      </c>
      <c r="H1" s="50" t="s">
        <v>280</v>
      </c>
      <c r="I1" s="50" t="s">
        <v>281</v>
      </c>
      <c r="J1" s="50" t="s">
        <v>282</v>
      </c>
      <c r="K1" s="50" t="s">
        <v>283</v>
      </c>
    </row>
    <row r="2" spans="1:11" x14ac:dyDescent="0.25">
      <c r="A2" s="50" t="s">
        <v>284</v>
      </c>
      <c r="B2" s="50" t="s">
        <v>285</v>
      </c>
      <c r="C2" s="50" t="s">
        <v>286</v>
      </c>
      <c r="D2" s="50" t="s">
        <v>287</v>
      </c>
      <c r="E2" s="50" t="s">
        <v>288</v>
      </c>
      <c r="F2" s="50" t="s">
        <v>288</v>
      </c>
      <c r="G2" s="50" t="s">
        <v>288</v>
      </c>
      <c r="H2" s="50" t="s">
        <v>288</v>
      </c>
      <c r="I2" s="50" t="s">
        <v>288</v>
      </c>
      <c r="J2" s="50" t="s">
        <v>288</v>
      </c>
      <c r="K2" s="50" t="s">
        <v>288</v>
      </c>
    </row>
    <row r="3" spans="1:11" x14ac:dyDescent="0.25">
      <c r="A3" s="50" t="s">
        <v>289</v>
      </c>
      <c r="B3" s="50" t="s">
        <v>285</v>
      </c>
      <c r="C3" s="50" t="s">
        <v>286</v>
      </c>
      <c r="D3" s="50" t="s">
        <v>287</v>
      </c>
      <c r="E3" s="50" t="s">
        <v>288</v>
      </c>
      <c r="F3" s="50" t="s">
        <v>288</v>
      </c>
      <c r="G3" s="50" t="s">
        <v>288</v>
      </c>
      <c r="H3" s="50" t="s">
        <v>288</v>
      </c>
      <c r="I3" s="50" t="s">
        <v>288</v>
      </c>
      <c r="J3" s="50" t="s">
        <v>288</v>
      </c>
      <c r="K3" s="50" t="s">
        <v>288</v>
      </c>
    </row>
    <row r="4" spans="1:11" x14ac:dyDescent="0.25">
      <c r="A4" s="50" t="s">
        <v>290</v>
      </c>
      <c r="B4" s="50" t="s">
        <v>285</v>
      </c>
      <c r="C4" s="50" t="s">
        <v>286</v>
      </c>
      <c r="D4" s="50" t="s">
        <v>287</v>
      </c>
      <c r="E4" s="50" t="s">
        <v>288</v>
      </c>
      <c r="F4" s="50" t="s">
        <v>288</v>
      </c>
      <c r="G4" s="50" t="s">
        <v>288</v>
      </c>
      <c r="H4" s="50" t="s">
        <v>288</v>
      </c>
      <c r="I4" s="50" t="s">
        <v>288</v>
      </c>
      <c r="J4" s="50" t="s">
        <v>288</v>
      </c>
      <c r="K4" s="50" t="s">
        <v>288</v>
      </c>
    </row>
    <row r="5" spans="1:11" x14ac:dyDescent="0.25">
      <c r="A5" s="50" t="s">
        <v>291</v>
      </c>
      <c r="B5" s="50" t="s">
        <v>285</v>
      </c>
      <c r="C5" s="50" t="s">
        <v>286</v>
      </c>
      <c r="D5" s="50" t="s">
        <v>287</v>
      </c>
      <c r="E5" s="50" t="s">
        <v>288</v>
      </c>
      <c r="F5" s="50" t="s">
        <v>288</v>
      </c>
      <c r="G5" s="50" t="s">
        <v>288</v>
      </c>
      <c r="H5" s="50" t="s">
        <v>288</v>
      </c>
      <c r="I5" s="50" t="s">
        <v>288</v>
      </c>
      <c r="J5" s="50" t="s">
        <v>288</v>
      </c>
      <c r="K5" s="50" t="s">
        <v>288</v>
      </c>
    </row>
    <row r="6" spans="1:11" x14ac:dyDescent="0.25">
      <c r="A6" s="50" t="s">
        <v>292</v>
      </c>
      <c r="B6" s="50" t="s">
        <v>285</v>
      </c>
      <c r="C6" s="50" t="s">
        <v>286</v>
      </c>
      <c r="D6" s="50" t="s">
        <v>287</v>
      </c>
      <c r="E6" s="50">
        <v>39.17</v>
      </c>
      <c r="F6" s="50" t="s">
        <v>288</v>
      </c>
      <c r="G6" s="50" t="s">
        <v>288</v>
      </c>
      <c r="H6" s="50" t="s">
        <v>498</v>
      </c>
      <c r="I6" s="50" t="s">
        <v>288</v>
      </c>
      <c r="J6" s="50" t="s">
        <v>288</v>
      </c>
      <c r="K6" s="50" t="s">
        <v>288</v>
      </c>
    </row>
    <row r="7" spans="1:11" x14ac:dyDescent="0.25">
      <c r="A7" s="50" t="s">
        <v>293</v>
      </c>
      <c r="B7" s="50" t="s">
        <v>285</v>
      </c>
      <c r="C7" s="50" t="s">
        <v>286</v>
      </c>
      <c r="D7" s="50" t="s">
        <v>287</v>
      </c>
      <c r="E7" s="50" t="s">
        <v>288</v>
      </c>
      <c r="F7" s="50" t="s">
        <v>288</v>
      </c>
      <c r="G7" s="50" t="s">
        <v>288</v>
      </c>
      <c r="H7" s="50" t="s">
        <v>288</v>
      </c>
      <c r="I7" s="50" t="s">
        <v>288</v>
      </c>
      <c r="J7" s="50" t="s">
        <v>288</v>
      </c>
      <c r="K7" s="50" t="s">
        <v>288</v>
      </c>
    </row>
    <row r="8" spans="1:11" x14ac:dyDescent="0.25">
      <c r="A8" s="50" t="s">
        <v>294</v>
      </c>
      <c r="B8" s="50" t="s">
        <v>285</v>
      </c>
      <c r="C8" s="50" t="s">
        <v>286</v>
      </c>
      <c r="D8" s="50" t="s">
        <v>287</v>
      </c>
      <c r="E8" s="50">
        <v>35.950000000000003</v>
      </c>
      <c r="F8" s="50" t="s">
        <v>288</v>
      </c>
      <c r="G8" s="50" t="s">
        <v>288</v>
      </c>
      <c r="H8" s="50" t="s">
        <v>499</v>
      </c>
      <c r="I8" s="50" t="s">
        <v>288</v>
      </c>
      <c r="J8" s="50" t="s">
        <v>288</v>
      </c>
      <c r="K8" s="50" t="s">
        <v>288</v>
      </c>
    </row>
    <row r="9" spans="1:11" x14ac:dyDescent="0.25">
      <c r="A9" s="50" t="s">
        <v>296</v>
      </c>
      <c r="B9" s="50" t="s">
        <v>285</v>
      </c>
      <c r="C9" s="50" t="s">
        <v>286</v>
      </c>
      <c r="D9" s="50" t="s">
        <v>287</v>
      </c>
      <c r="E9" s="50" t="s">
        <v>288</v>
      </c>
      <c r="F9" s="50" t="s">
        <v>288</v>
      </c>
      <c r="G9" s="50" t="s">
        <v>288</v>
      </c>
      <c r="H9" s="50" t="s">
        <v>288</v>
      </c>
      <c r="I9" s="50" t="s">
        <v>288</v>
      </c>
      <c r="J9" s="50" t="s">
        <v>288</v>
      </c>
      <c r="K9" s="50" t="s">
        <v>288</v>
      </c>
    </row>
    <row r="10" spans="1:11" x14ac:dyDescent="0.25">
      <c r="A10" s="50" t="s">
        <v>298</v>
      </c>
      <c r="B10" s="50" t="s">
        <v>285</v>
      </c>
      <c r="C10" s="50" t="s">
        <v>286</v>
      </c>
      <c r="D10" s="50" t="s">
        <v>287</v>
      </c>
      <c r="E10" s="50">
        <v>35.1</v>
      </c>
      <c r="F10" s="50" t="s">
        <v>288</v>
      </c>
      <c r="G10" s="50" t="s">
        <v>288</v>
      </c>
      <c r="H10" s="50" t="s">
        <v>500</v>
      </c>
      <c r="I10" s="50" t="s">
        <v>288</v>
      </c>
      <c r="J10" s="50" t="s">
        <v>288</v>
      </c>
      <c r="K10" s="50" t="s">
        <v>288</v>
      </c>
    </row>
    <row r="11" spans="1:11" x14ac:dyDescent="0.25">
      <c r="A11" s="50" t="s">
        <v>300</v>
      </c>
      <c r="B11" s="50" t="s">
        <v>285</v>
      </c>
      <c r="C11" s="50" t="s">
        <v>286</v>
      </c>
      <c r="D11" s="50" t="s">
        <v>287</v>
      </c>
      <c r="E11" s="50" t="s">
        <v>288</v>
      </c>
      <c r="F11" s="50" t="s">
        <v>288</v>
      </c>
      <c r="G11" s="50" t="s">
        <v>288</v>
      </c>
      <c r="H11" s="50" t="s">
        <v>288</v>
      </c>
      <c r="I11" s="50" t="s">
        <v>288</v>
      </c>
      <c r="J11" s="50" t="s">
        <v>288</v>
      </c>
      <c r="K11" s="50" t="s">
        <v>288</v>
      </c>
    </row>
    <row r="12" spans="1:11" x14ac:dyDescent="0.25">
      <c r="A12" s="50" t="s">
        <v>302</v>
      </c>
      <c r="B12" s="50" t="s">
        <v>285</v>
      </c>
      <c r="C12" s="50" t="s">
        <v>286</v>
      </c>
      <c r="D12" s="50" t="s">
        <v>287</v>
      </c>
      <c r="E12" s="50">
        <v>32.04</v>
      </c>
      <c r="F12" s="50" t="s">
        <v>288</v>
      </c>
      <c r="G12" s="50" t="s">
        <v>288</v>
      </c>
      <c r="H12" s="50" t="s">
        <v>501</v>
      </c>
      <c r="I12" s="50" t="s">
        <v>288</v>
      </c>
      <c r="J12" s="50" t="s">
        <v>288</v>
      </c>
      <c r="K12" s="50" t="s">
        <v>288</v>
      </c>
    </row>
    <row r="13" spans="1:11" x14ac:dyDescent="0.25">
      <c r="A13" s="50" t="s">
        <v>303</v>
      </c>
      <c r="B13" s="50" t="s">
        <v>285</v>
      </c>
      <c r="C13" s="50" t="s">
        <v>286</v>
      </c>
      <c r="D13" s="50" t="s">
        <v>287</v>
      </c>
      <c r="E13" s="50" t="s">
        <v>288</v>
      </c>
      <c r="F13" s="50" t="s">
        <v>288</v>
      </c>
      <c r="G13" s="50" t="s">
        <v>288</v>
      </c>
      <c r="H13" s="50" t="s">
        <v>288</v>
      </c>
      <c r="I13" s="50" t="s">
        <v>288</v>
      </c>
      <c r="J13" s="50" t="s">
        <v>288</v>
      </c>
      <c r="K13" s="50" t="s">
        <v>288</v>
      </c>
    </row>
    <row r="14" spans="1:11" x14ac:dyDescent="0.25">
      <c r="A14" s="50" t="s">
        <v>304</v>
      </c>
      <c r="B14" s="50" t="s">
        <v>285</v>
      </c>
      <c r="C14" s="50" t="s">
        <v>286</v>
      </c>
      <c r="D14" s="50" t="s">
        <v>287</v>
      </c>
      <c r="E14" s="50" t="s">
        <v>288</v>
      </c>
      <c r="F14" s="50" t="s">
        <v>288</v>
      </c>
      <c r="G14" s="50" t="s">
        <v>288</v>
      </c>
      <c r="H14" s="50" t="s">
        <v>288</v>
      </c>
      <c r="I14" s="50" t="s">
        <v>288</v>
      </c>
      <c r="J14" s="50" t="s">
        <v>288</v>
      </c>
      <c r="K14" s="50" t="s">
        <v>288</v>
      </c>
    </row>
    <row r="15" spans="1:11" x14ac:dyDescent="0.25">
      <c r="A15" s="50" t="s">
        <v>305</v>
      </c>
      <c r="B15" s="50" t="s">
        <v>285</v>
      </c>
      <c r="C15" s="50" t="s">
        <v>286</v>
      </c>
      <c r="D15" s="50" t="s">
        <v>287</v>
      </c>
      <c r="E15" s="50" t="s">
        <v>288</v>
      </c>
      <c r="F15" s="50" t="s">
        <v>288</v>
      </c>
      <c r="G15" s="50" t="s">
        <v>288</v>
      </c>
      <c r="H15" s="50" t="s">
        <v>288</v>
      </c>
      <c r="I15" s="50" t="s">
        <v>288</v>
      </c>
      <c r="J15" s="50" t="s">
        <v>288</v>
      </c>
      <c r="K15" s="50" t="s">
        <v>288</v>
      </c>
    </row>
    <row r="16" spans="1:11" x14ac:dyDescent="0.25">
      <c r="A16" s="50" t="s">
        <v>306</v>
      </c>
      <c r="B16" s="50" t="s">
        <v>285</v>
      </c>
      <c r="C16" s="50" t="s">
        <v>286</v>
      </c>
      <c r="D16" s="50" t="s">
        <v>287</v>
      </c>
      <c r="E16" s="50">
        <v>34.56</v>
      </c>
      <c r="F16" s="50" t="s">
        <v>288</v>
      </c>
      <c r="G16" s="50" t="s">
        <v>288</v>
      </c>
      <c r="H16" s="50" t="s">
        <v>502</v>
      </c>
      <c r="I16" s="50" t="s">
        <v>288</v>
      </c>
      <c r="J16" s="50" t="s">
        <v>288</v>
      </c>
      <c r="K16" s="50" t="s">
        <v>288</v>
      </c>
    </row>
    <row r="17" spans="1:11" x14ac:dyDescent="0.25">
      <c r="A17" s="50" t="s">
        <v>307</v>
      </c>
      <c r="B17" s="50" t="s">
        <v>285</v>
      </c>
      <c r="C17" s="50" t="s">
        <v>286</v>
      </c>
      <c r="D17" s="50" t="s">
        <v>287</v>
      </c>
      <c r="E17" s="50" t="s">
        <v>288</v>
      </c>
      <c r="F17" s="50" t="s">
        <v>288</v>
      </c>
      <c r="G17" s="50" t="s">
        <v>288</v>
      </c>
      <c r="H17" s="50" t="s">
        <v>288</v>
      </c>
      <c r="I17" s="50" t="s">
        <v>288</v>
      </c>
      <c r="J17" s="50" t="s">
        <v>288</v>
      </c>
      <c r="K17" s="50" t="s">
        <v>288</v>
      </c>
    </row>
    <row r="18" spans="1:11" x14ac:dyDescent="0.25">
      <c r="A18" s="50" t="s">
        <v>308</v>
      </c>
      <c r="B18" s="50" t="s">
        <v>285</v>
      </c>
      <c r="C18" s="50" t="s">
        <v>286</v>
      </c>
      <c r="D18" s="50" t="s">
        <v>287</v>
      </c>
      <c r="E18" s="50">
        <v>29.67</v>
      </c>
      <c r="F18" s="50" t="s">
        <v>288</v>
      </c>
      <c r="G18" s="50" t="s">
        <v>288</v>
      </c>
      <c r="H18" s="50" t="s">
        <v>503</v>
      </c>
      <c r="I18" s="50" t="s">
        <v>288</v>
      </c>
      <c r="J18" s="50" t="s">
        <v>288</v>
      </c>
      <c r="K18" s="50" t="s">
        <v>288</v>
      </c>
    </row>
    <row r="19" spans="1:11" x14ac:dyDescent="0.25">
      <c r="A19" s="50" t="s">
        <v>310</v>
      </c>
      <c r="B19" s="50" t="s">
        <v>285</v>
      </c>
      <c r="C19" s="50" t="s">
        <v>286</v>
      </c>
      <c r="D19" s="50" t="s">
        <v>287</v>
      </c>
      <c r="E19" s="50" t="s">
        <v>288</v>
      </c>
      <c r="F19" s="50" t="s">
        <v>288</v>
      </c>
      <c r="G19" s="50" t="s">
        <v>288</v>
      </c>
      <c r="H19" s="50" t="s">
        <v>288</v>
      </c>
      <c r="I19" s="50" t="s">
        <v>288</v>
      </c>
      <c r="J19" s="50" t="s">
        <v>288</v>
      </c>
      <c r="K19" s="50" t="s">
        <v>288</v>
      </c>
    </row>
    <row r="20" spans="1:11" x14ac:dyDescent="0.25">
      <c r="A20" s="50" t="s">
        <v>312</v>
      </c>
      <c r="B20" s="50" t="s">
        <v>285</v>
      </c>
      <c r="C20" s="50" t="s">
        <v>286</v>
      </c>
      <c r="D20" s="50" t="s">
        <v>287</v>
      </c>
      <c r="E20" s="50">
        <v>28.75</v>
      </c>
      <c r="F20" s="50" t="s">
        <v>288</v>
      </c>
      <c r="G20" s="50" t="s">
        <v>288</v>
      </c>
      <c r="H20" s="50" t="s">
        <v>504</v>
      </c>
      <c r="I20" s="50" t="s">
        <v>288</v>
      </c>
      <c r="J20" s="50" t="s">
        <v>288</v>
      </c>
      <c r="K20" s="50" t="s">
        <v>288</v>
      </c>
    </row>
    <row r="21" spans="1:11" x14ac:dyDescent="0.25">
      <c r="A21" s="50" t="s">
        <v>314</v>
      </c>
      <c r="B21" s="50" t="s">
        <v>285</v>
      </c>
      <c r="C21" s="50" t="s">
        <v>286</v>
      </c>
      <c r="D21" s="50" t="s">
        <v>287</v>
      </c>
      <c r="E21" s="50">
        <v>37.82</v>
      </c>
      <c r="F21" s="50" t="s">
        <v>288</v>
      </c>
      <c r="G21" s="50" t="s">
        <v>288</v>
      </c>
      <c r="H21" s="50" t="s">
        <v>505</v>
      </c>
      <c r="I21" s="50" t="s">
        <v>288</v>
      </c>
      <c r="J21" s="50" t="s">
        <v>288</v>
      </c>
      <c r="K21" s="50" t="s">
        <v>288</v>
      </c>
    </row>
    <row r="22" spans="1:11" x14ac:dyDescent="0.25">
      <c r="A22" s="50" t="s">
        <v>316</v>
      </c>
      <c r="B22" s="50" t="s">
        <v>285</v>
      </c>
      <c r="C22" s="50" t="s">
        <v>286</v>
      </c>
      <c r="D22" s="50" t="s">
        <v>287</v>
      </c>
      <c r="E22" s="50">
        <v>28.51</v>
      </c>
      <c r="F22" s="50" t="s">
        <v>288</v>
      </c>
      <c r="G22" s="50" t="s">
        <v>288</v>
      </c>
      <c r="H22" s="50" t="s">
        <v>506</v>
      </c>
      <c r="I22" s="50" t="s">
        <v>288</v>
      </c>
      <c r="J22" s="50" t="s">
        <v>288</v>
      </c>
      <c r="K22" s="50" t="s">
        <v>288</v>
      </c>
    </row>
    <row r="23" spans="1:11" x14ac:dyDescent="0.25">
      <c r="A23" s="50" t="s">
        <v>318</v>
      </c>
      <c r="B23" s="50" t="s">
        <v>285</v>
      </c>
      <c r="C23" s="50" t="s">
        <v>286</v>
      </c>
      <c r="D23" s="50" t="s">
        <v>287</v>
      </c>
      <c r="E23" s="50">
        <v>36.950000000000003</v>
      </c>
      <c r="F23" s="50" t="s">
        <v>288</v>
      </c>
      <c r="G23" s="50" t="s">
        <v>288</v>
      </c>
      <c r="H23" s="50" t="s">
        <v>507</v>
      </c>
      <c r="I23" s="50" t="s">
        <v>288</v>
      </c>
      <c r="J23" s="50" t="s">
        <v>288</v>
      </c>
      <c r="K23" s="50" t="s">
        <v>288</v>
      </c>
    </row>
    <row r="24" spans="1:11" x14ac:dyDescent="0.25">
      <c r="A24" s="50" t="s">
        <v>320</v>
      </c>
      <c r="B24" s="50" t="s">
        <v>285</v>
      </c>
      <c r="C24" s="50" t="s">
        <v>286</v>
      </c>
      <c r="D24" s="50" t="s">
        <v>287</v>
      </c>
      <c r="E24" s="50">
        <v>28</v>
      </c>
      <c r="F24" s="50" t="s">
        <v>288</v>
      </c>
      <c r="G24" s="50" t="s">
        <v>288</v>
      </c>
      <c r="H24" s="50" t="s">
        <v>508</v>
      </c>
      <c r="I24" s="50" t="s">
        <v>288</v>
      </c>
      <c r="J24" s="50" t="s">
        <v>288</v>
      </c>
      <c r="K24" s="50" t="s">
        <v>288</v>
      </c>
    </row>
    <row r="25" spans="1:11" x14ac:dyDescent="0.25">
      <c r="A25" s="50" t="s">
        <v>321</v>
      </c>
      <c r="B25" s="50" t="s">
        <v>285</v>
      </c>
      <c r="C25" s="50" t="s">
        <v>286</v>
      </c>
      <c r="D25" s="50" t="s">
        <v>287</v>
      </c>
      <c r="E25" s="50" t="s">
        <v>288</v>
      </c>
      <c r="F25" s="50" t="s">
        <v>288</v>
      </c>
      <c r="G25" s="50" t="s">
        <v>288</v>
      </c>
      <c r="H25" s="50" t="s">
        <v>288</v>
      </c>
      <c r="I25" s="50" t="s">
        <v>288</v>
      </c>
      <c r="J25" s="50" t="s">
        <v>288</v>
      </c>
      <c r="K25" s="50" t="s">
        <v>288</v>
      </c>
    </row>
    <row r="26" spans="1:11" x14ac:dyDescent="0.25">
      <c r="A26" s="50" t="s">
        <v>322</v>
      </c>
      <c r="B26" s="50" t="s">
        <v>285</v>
      </c>
      <c r="C26" s="50" t="s">
        <v>286</v>
      </c>
      <c r="D26" s="50" t="s">
        <v>287</v>
      </c>
      <c r="E26" s="50">
        <v>35.68</v>
      </c>
      <c r="F26" s="50" t="s">
        <v>288</v>
      </c>
      <c r="G26" s="50" t="s">
        <v>288</v>
      </c>
      <c r="H26" s="50" t="s">
        <v>509</v>
      </c>
      <c r="I26" s="50" t="s">
        <v>288</v>
      </c>
      <c r="J26" s="50" t="s">
        <v>288</v>
      </c>
      <c r="K26" s="50" t="s">
        <v>288</v>
      </c>
    </row>
    <row r="27" spans="1:11" x14ac:dyDescent="0.25">
      <c r="A27" s="50" t="s">
        <v>323</v>
      </c>
      <c r="B27" s="50" t="s">
        <v>285</v>
      </c>
      <c r="C27" s="50" t="s">
        <v>286</v>
      </c>
      <c r="D27" s="50" t="s">
        <v>287</v>
      </c>
      <c r="E27" s="50" t="s">
        <v>288</v>
      </c>
      <c r="F27" s="50" t="s">
        <v>288</v>
      </c>
      <c r="G27" s="50" t="s">
        <v>288</v>
      </c>
      <c r="H27" s="50" t="s">
        <v>288</v>
      </c>
      <c r="I27" s="50" t="s">
        <v>288</v>
      </c>
      <c r="J27" s="50" t="s">
        <v>288</v>
      </c>
      <c r="K27" s="50" t="s">
        <v>288</v>
      </c>
    </row>
    <row r="28" spans="1:11" x14ac:dyDescent="0.25">
      <c r="A28" s="50" t="s">
        <v>324</v>
      </c>
      <c r="B28" s="50" t="s">
        <v>285</v>
      </c>
      <c r="C28" s="50" t="s">
        <v>286</v>
      </c>
      <c r="D28" s="50" t="s">
        <v>287</v>
      </c>
      <c r="E28" s="50">
        <v>29.36</v>
      </c>
      <c r="F28" s="50" t="s">
        <v>288</v>
      </c>
      <c r="G28" s="50" t="s">
        <v>288</v>
      </c>
      <c r="H28" s="50" t="s">
        <v>510</v>
      </c>
      <c r="I28" s="50" t="s">
        <v>288</v>
      </c>
      <c r="J28" s="50" t="s">
        <v>288</v>
      </c>
      <c r="K28" s="50" t="s">
        <v>288</v>
      </c>
    </row>
    <row r="29" spans="1:11" x14ac:dyDescent="0.25">
      <c r="A29" s="50" t="s">
        <v>326</v>
      </c>
      <c r="B29" s="50" t="s">
        <v>285</v>
      </c>
      <c r="C29" s="50" t="s">
        <v>286</v>
      </c>
      <c r="D29" s="50" t="s">
        <v>287</v>
      </c>
      <c r="E29" s="50" t="s">
        <v>288</v>
      </c>
      <c r="F29" s="50" t="s">
        <v>288</v>
      </c>
      <c r="G29" s="50" t="s">
        <v>288</v>
      </c>
      <c r="H29" s="50" t="s">
        <v>288</v>
      </c>
      <c r="I29" s="50" t="s">
        <v>288</v>
      </c>
      <c r="J29" s="50" t="s">
        <v>288</v>
      </c>
      <c r="K29" s="50" t="s">
        <v>288</v>
      </c>
    </row>
    <row r="30" spans="1:11" x14ac:dyDescent="0.25">
      <c r="A30" s="50" t="s">
        <v>327</v>
      </c>
      <c r="B30" s="50" t="s">
        <v>285</v>
      </c>
      <c r="C30" s="50" t="s">
        <v>286</v>
      </c>
      <c r="D30" s="50" t="s">
        <v>287</v>
      </c>
      <c r="E30" s="50">
        <v>26.17</v>
      </c>
      <c r="F30" s="50" t="s">
        <v>288</v>
      </c>
      <c r="G30" s="50" t="s">
        <v>288</v>
      </c>
      <c r="H30" s="50" t="s">
        <v>511</v>
      </c>
      <c r="I30" s="50" t="s">
        <v>288</v>
      </c>
      <c r="J30" s="50" t="s">
        <v>288</v>
      </c>
      <c r="K30" s="50" t="s">
        <v>288</v>
      </c>
    </row>
    <row r="31" spans="1:11" x14ac:dyDescent="0.25">
      <c r="A31" s="50" t="s">
        <v>329</v>
      </c>
      <c r="B31" s="50" t="s">
        <v>285</v>
      </c>
      <c r="C31" s="50" t="s">
        <v>286</v>
      </c>
      <c r="D31" s="50" t="s">
        <v>287</v>
      </c>
      <c r="E31" s="50" t="s">
        <v>288</v>
      </c>
      <c r="F31" s="50" t="s">
        <v>288</v>
      </c>
      <c r="G31" s="50" t="s">
        <v>288</v>
      </c>
      <c r="H31" s="50" t="s">
        <v>288</v>
      </c>
      <c r="I31" s="50" t="s">
        <v>288</v>
      </c>
      <c r="J31" s="50" t="s">
        <v>288</v>
      </c>
      <c r="K31" s="50" t="s">
        <v>288</v>
      </c>
    </row>
    <row r="32" spans="1:11" x14ac:dyDescent="0.25">
      <c r="A32" s="50" t="s">
        <v>331</v>
      </c>
      <c r="B32" s="50" t="s">
        <v>285</v>
      </c>
      <c r="C32" s="50" t="s">
        <v>286</v>
      </c>
      <c r="D32" s="50" t="s">
        <v>287</v>
      </c>
      <c r="E32" s="50">
        <v>24.59</v>
      </c>
      <c r="F32" s="50" t="s">
        <v>288</v>
      </c>
      <c r="G32" s="50" t="s">
        <v>288</v>
      </c>
      <c r="H32" s="50" t="s">
        <v>512</v>
      </c>
      <c r="I32" s="50" t="s">
        <v>288</v>
      </c>
      <c r="J32" s="50" t="s">
        <v>288</v>
      </c>
      <c r="K32" s="50" t="s">
        <v>288</v>
      </c>
    </row>
    <row r="33" spans="1:11" x14ac:dyDescent="0.25">
      <c r="A33" s="50" t="s">
        <v>333</v>
      </c>
      <c r="B33" s="50" t="s">
        <v>285</v>
      </c>
      <c r="C33" s="50" t="s">
        <v>286</v>
      </c>
      <c r="D33" s="50" t="s">
        <v>287</v>
      </c>
      <c r="E33" s="50" t="s">
        <v>288</v>
      </c>
      <c r="F33" s="50" t="s">
        <v>288</v>
      </c>
      <c r="G33" s="50" t="s">
        <v>288</v>
      </c>
      <c r="H33" s="50" t="s">
        <v>288</v>
      </c>
      <c r="I33" s="50" t="s">
        <v>288</v>
      </c>
      <c r="J33" s="50" t="s">
        <v>288</v>
      </c>
      <c r="K33" s="50" t="s">
        <v>288</v>
      </c>
    </row>
    <row r="34" spans="1:11" x14ac:dyDescent="0.25">
      <c r="A34" s="50" t="s">
        <v>335</v>
      </c>
      <c r="B34" s="50" t="s">
        <v>285</v>
      </c>
      <c r="C34" s="50" t="s">
        <v>286</v>
      </c>
      <c r="D34" s="50" t="s">
        <v>287</v>
      </c>
      <c r="E34" s="50">
        <v>23.16</v>
      </c>
      <c r="F34" s="50" t="s">
        <v>288</v>
      </c>
      <c r="G34" s="50" t="s">
        <v>288</v>
      </c>
      <c r="H34" s="50" t="s">
        <v>513</v>
      </c>
      <c r="I34" s="50" t="s">
        <v>288</v>
      </c>
      <c r="J34" s="50" t="s">
        <v>288</v>
      </c>
      <c r="K34" s="50" t="s">
        <v>288</v>
      </c>
    </row>
    <row r="35" spans="1:11" x14ac:dyDescent="0.25">
      <c r="A35" s="50" t="s">
        <v>337</v>
      </c>
      <c r="B35" s="50" t="s">
        <v>285</v>
      </c>
      <c r="C35" s="50" t="s">
        <v>286</v>
      </c>
      <c r="D35" s="50" t="s">
        <v>287</v>
      </c>
      <c r="E35" s="50">
        <v>26.79</v>
      </c>
      <c r="F35" s="50" t="s">
        <v>288</v>
      </c>
      <c r="G35" s="50" t="s">
        <v>288</v>
      </c>
      <c r="H35" s="50" t="s">
        <v>514</v>
      </c>
      <c r="I35" s="50" t="s">
        <v>288</v>
      </c>
      <c r="J35" s="50" t="s">
        <v>288</v>
      </c>
      <c r="K35" s="50" t="s">
        <v>288</v>
      </c>
    </row>
    <row r="36" spans="1:11" x14ac:dyDescent="0.25">
      <c r="A36" s="50" t="s">
        <v>339</v>
      </c>
      <c r="B36" s="50" t="s">
        <v>285</v>
      </c>
      <c r="C36" s="50" t="s">
        <v>286</v>
      </c>
      <c r="D36" s="50" t="s">
        <v>287</v>
      </c>
      <c r="E36" s="50">
        <v>23.02</v>
      </c>
      <c r="F36" s="50" t="s">
        <v>288</v>
      </c>
      <c r="G36" s="50" t="s">
        <v>288</v>
      </c>
      <c r="H36" s="50" t="s">
        <v>515</v>
      </c>
      <c r="I36" s="50" t="s">
        <v>288</v>
      </c>
      <c r="J36" s="50" t="s">
        <v>288</v>
      </c>
      <c r="K36" s="50" t="s">
        <v>288</v>
      </c>
    </row>
    <row r="37" spans="1:11" x14ac:dyDescent="0.25">
      <c r="A37" s="50" t="s">
        <v>340</v>
      </c>
      <c r="B37" s="50" t="s">
        <v>285</v>
      </c>
      <c r="C37" s="50" t="s">
        <v>286</v>
      </c>
      <c r="D37" s="50" t="s">
        <v>287</v>
      </c>
      <c r="E37" s="50">
        <v>36.29</v>
      </c>
      <c r="F37" s="50" t="s">
        <v>288</v>
      </c>
      <c r="G37" s="50" t="s">
        <v>288</v>
      </c>
      <c r="H37" s="50" t="s">
        <v>516</v>
      </c>
      <c r="I37" s="50" t="s">
        <v>288</v>
      </c>
      <c r="J37" s="50" t="s">
        <v>288</v>
      </c>
      <c r="K37" s="50" t="s">
        <v>288</v>
      </c>
    </row>
    <row r="38" spans="1:11" x14ac:dyDescent="0.25">
      <c r="A38" s="50" t="s">
        <v>341</v>
      </c>
      <c r="B38" s="50" t="s">
        <v>285</v>
      </c>
      <c r="C38" s="50" t="s">
        <v>286</v>
      </c>
      <c r="D38" s="50" t="s">
        <v>287</v>
      </c>
      <c r="E38" s="50">
        <v>31.96</v>
      </c>
      <c r="F38" s="50" t="s">
        <v>288</v>
      </c>
      <c r="G38" s="50" t="s">
        <v>288</v>
      </c>
      <c r="H38" s="50" t="s">
        <v>517</v>
      </c>
      <c r="I38" s="50" t="s">
        <v>288</v>
      </c>
      <c r="J38" s="50" t="s">
        <v>288</v>
      </c>
      <c r="K38" s="50" t="s">
        <v>288</v>
      </c>
    </row>
    <row r="39" spans="1:11" x14ac:dyDescent="0.25">
      <c r="A39" s="50" t="s">
        <v>342</v>
      </c>
      <c r="B39" s="50" t="s">
        <v>285</v>
      </c>
      <c r="C39" s="50" t="s">
        <v>286</v>
      </c>
      <c r="D39" s="50" t="s">
        <v>287</v>
      </c>
      <c r="E39" s="50" t="s">
        <v>288</v>
      </c>
      <c r="F39" s="50" t="s">
        <v>288</v>
      </c>
      <c r="G39" s="50" t="s">
        <v>288</v>
      </c>
      <c r="H39" s="50" t="s">
        <v>288</v>
      </c>
      <c r="I39" s="50" t="s">
        <v>288</v>
      </c>
      <c r="J39" s="50" t="s">
        <v>288</v>
      </c>
      <c r="K39" s="50" t="s">
        <v>288</v>
      </c>
    </row>
    <row r="40" spans="1:11" x14ac:dyDescent="0.25">
      <c r="A40" s="50" t="s">
        <v>343</v>
      </c>
      <c r="B40" s="50" t="s">
        <v>285</v>
      </c>
      <c r="C40" s="50" t="s">
        <v>286</v>
      </c>
      <c r="D40" s="50" t="s">
        <v>287</v>
      </c>
      <c r="E40" s="50">
        <v>25.91</v>
      </c>
      <c r="F40" s="50" t="s">
        <v>288</v>
      </c>
      <c r="G40" s="50" t="s">
        <v>288</v>
      </c>
      <c r="H40" s="50" t="s">
        <v>518</v>
      </c>
      <c r="I40" s="50" t="s">
        <v>288</v>
      </c>
      <c r="J40" s="50" t="s">
        <v>288</v>
      </c>
      <c r="K40" s="50" t="s">
        <v>560</v>
      </c>
    </row>
    <row r="41" spans="1:11" x14ac:dyDescent="0.25">
      <c r="A41" s="50" t="s">
        <v>345</v>
      </c>
      <c r="B41" s="50" t="s">
        <v>285</v>
      </c>
      <c r="C41" s="50" t="s">
        <v>286</v>
      </c>
      <c r="D41" s="50" t="s">
        <v>287</v>
      </c>
      <c r="E41" s="50" t="s">
        <v>288</v>
      </c>
      <c r="F41" s="50" t="s">
        <v>288</v>
      </c>
      <c r="G41" s="50" t="s">
        <v>288</v>
      </c>
      <c r="H41" s="50" t="s">
        <v>288</v>
      </c>
      <c r="I41" s="50" t="s">
        <v>288</v>
      </c>
      <c r="J41" s="50" t="s">
        <v>288</v>
      </c>
      <c r="K41" s="50" t="s">
        <v>288</v>
      </c>
    </row>
    <row r="42" spans="1:11" x14ac:dyDescent="0.25">
      <c r="A42" s="50" t="s">
        <v>347</v>
      </c>
      <c r="B42" s="50" t="s">
        <v>285</v>
      </c>
      <c r="C42" s="50" t="s">
        <v>286</v>
      </c>
      <c r="D42" s="50" t="s">
        <v>287</v>
      </c>
      <c r="E42" s="50">
        <v>23.26</v>
      </c>
      <c r="F42" s="50" t="s">
        <v>288</v>
      </c>
      <c r="G42" s="50" t="s">
        <v>288</v>
      </c>
      <c r="H42" s="50" t="s">
        <v>519</v>
      </c>
      <c r="I42" s="50" t="s">
        <v>288</v>
      </c>
      <c r="J42" s="50" t="s">
        <v>288</v>
      </c>
      <c r="K42" s="50" t="s">
        <v>288</v>
      </c>
    </row>
    <row r="43" spans="1:11" x14ac:dyDescent="0.25">
      <c r="A43" s="50" t="s">
        <v>349</v>
      </c>
      <c r="B43" s="50" t="s">
        <v>285</v>
      </c>
      <c r="C43" s="50" t="s">
        <v>286</v>
      </c>
      <c r="D43" s="50" t="s">
        <v>287</v>
      </c>
      <c r="E43" s="50" t="s">
        <v>288</v>
      </c>
      <c r="F43" s="50" t="s">
        <v>288</v>
      </c>
      <c r="G43" s="50" t="s">
        <v>288</v>
      </c>
      <c r="H43" s="50" t="s">
        <v>288</v>
      </c>
      <c r="I43" s="50" t="s">
        <v>288</v>
      </c>
      <c r="J43" s="50" t="s">
        <v>288</v>
      </c>
      <c r="K43" s="50" t="s">
        <v>288</v>
      </c>
    </row>
    <row r="44" spans="1:11" x14ac:dyDescent="0.25">
      <c r="A44" s="50" t="s">
        <v>351</v>
      </c>
      <c r="B44" s="50" t="s">
        <v>285</v>
      </c>
      <c r="C44" s="50" t="s">
        <v>286</v>
      </c>
      <c r="D44" s="50" t="s">
        <v>287</v>
      </c>
      <c r="E44" s="50">
        <v>20.98</v>
      </c>
      <c r="F44" s="50" t="s">
        <v>288</v>
      </c>
      <c r="G44" s="50" t="s">
        <v>288</v>
      </c>
      <c r="H44" s="50" t="s">
        <v>520</v>
      </c>
      <c r="I44" s="50" t="s">
        <v>288</v>
      </c>
      <c r="J44" s="50" t="s">
        <v>288</v>
      </c>
      <c r="K44" s="50" t="s">
        <v>288</v>
      </c>
    </row>
    <row r="45" spans="1:11" x14ac:dyDescent="0.25">
      <c r="A45" s="50" t="s">
        <v>353</v>
      </c>
      <c r="B45" s="50" t="s">
        <v>285</v>
      </c>
      <c r="C45" s="50" t="s">
        <v>286</v>
      </c>
      <c r="D45" s="50" t="s">
        <v>287</v>
      </c>
      <c r="E45" s="50">
        <v>33.770000000000003</v>
      </c>
      <c r="F45" s="50" t="s">
        <v>288</v>
      </c>
      <c r="G45" s="50" t="s">
        <v>288</v>
      </c>
      <c r="H45" s="50" t="s">
        <v>521</v>
      </c>
      <c r="I45" s="50" t="s">
        <v>288</v>
      </c>
      <c r="J45" s="50" t="s">
        <v>288</v>
      </c>
      <c r="K45" s="50" t="s">
        <v>288</v>
      </c>
    </row>
    <row r="46" spans="1:11" x14ac:dyDescent="0.25">
      <c r="A46" s="50" t="s">
        <v>355</v>
      </c>
      <c r="B46" s="50" t="s">
        <v>285</v>
      </c>
      <c r="C46" s="50" t="s">
        <v>286</v>
      </c>
      <c r="D46" s="50" t="s">
        <v>287</v>
      </c>
      <c r="E46" s="50">
        <v>21.33</v>
      </c>
      <c r="F46" s="50" t="s">
        <v>288</v>
      </c>
      <c r="G46" s="50" t="s">
        <v>288</v>
      </c>
      <c r="H46" s="50" t="s">
        <v>336</v>
      </c>
      <c r="I46" s="50" t="s">
        <v>288</v>
      </c>
      <c r="J46" s="50" t="s">
        <v>288</v>
      </c>
      <c r="K46" s="50" t="s">
        <v>288</v>
      </c>
    </row>
    <row r="47" spans="1:11" x14ac:dyDescent="0.25">
      <c r="A47" s="50" t="s">
        <v>357</v>
      </c>
      <c r="B47" s="50" t="s">
        <v>285</v>
      </c>
      <c r="C47" s="50" t="s">
        <v>286</v>
      </c>
      <c r="D47" s="50" t="s">
        <v>287</v>
      </c>
      <c r="E47" s="50">
        <v>31.13</v>
      </c>
      <c r="F47" s="50" t="s">
        <v>288</v>
      </c>
      <c r="G47" s="50" t="s">
        <v>288</v>
      </c>
      <c r="H47" s="50" t="s">
        <v>435</v>
      </c>
      <c r="I47" s="50" t="s">
        <v>288</v>
      </c>
      <c r="J47" s="50" t="s">
        <v>288</v>
      </c>
      <c r="K47" s="50" t="s">
        <v>288</v>
      </c>
    </row>
    <row r="48" spans="1:11" x14ac:dyDescent="0.25">
      <c r="A48" s="50" t="s">
        <v>359</v>
      </c>
      <c r="B48" s="50" t="s">
        <v>285</v>
      </c>
      <c r="C48" s="50" t="s">
        <v>286</v>
      </c>
      <c r="D48" s="50" t="s">
        <v>287</v>
      </c>
      <c r="E48" s="50">
        <v>20.63</v>
      </c>
      <c r="F48" s="50" t="s">
        <v>288</v>
      </c>
      <c r="G48" s="50" t="s">
        <v>288</v>
      </c>
      <c r="H48" s="50" t="s">
        <v>522</v>
      </c>
      <c r="I48" s="50" t="s">
        <v>288</v>
      </c>
      <c r="J48" s="50" t="s">
        <v>288</v>
      </c>
      <c r="K48" s="50" t="s">
        <v>288</v>
      </c>
    </row>
    <row r="49" spans="1:11" x14ac:dyDescent="0.25">
      <c r="A49" s="50" t="s">
        <v>360</v>
      </c>
      <c r="B49" s="50" t="s">
        <v>285</v>
      </c>
      <c r="C49" s="50" t="s">
        <v>286</v>
      </c>
      <c r="D49" s="50" t="s">
        <v>287</v>
      </c>
      <c r="E49" s="50" t="s">
        <v>288</v>
      </c>
      <c r="F49" s="50" t="s">
        <v>288</v>
      </c>
      <c r="G49" s="50" t="s">
        <v>288</v>
      </c>
      <c r="H49" s="50" t="s">
        <v>288</v>
      </c>
      <c r="I49" s="50" t="s">
        <v>288</v>
      </c>
      <c r="J49" s="50" t="s">
        <v>288</v>
      </c>
      <c r="K49" s="50" t="s">
        <v>288</v>
      </c>
    </row>
    <row r="50" spans="1:11" x14ac:dyDescent="0.25">
      <c r="A50" s="50" t="s">
        <v>361</v>
      </c>
      <c r="B50" s="50" t="s">
        <v>285</v>
      </c>
      <c r="C50" s="50" t="s">
        <v>286</v>
      </c>
      <c r="D50" s="50" t="s">
        <v>287</v>
      </c>
      <c r="E50" s="50">
        <v>30.33</v>
      </c>
      <c r="F50" s="50" t="s">
        <v>288</v>
      </c>
      <c r="G50" s="50" t="s">
        <v>288</v>
      </c>
      <c r="H50" s="50" t="s">
        <v>523</v>
      </c>
      <c r="I50" s="50" t="s">
        <v>288</v>
      </c>
      <c r="J50" s="50" t="s">
        <v>288</v>
      </c>
      <c r="K50" s="50" t="s">
        <v>288</v>
      </c>
    </row>
    <row r="51" spans="1:11" x14ac:dyDescent="0.25">
      <c r="A51" s="50" t="s">
        <v>362</v>
      </c>
      <c r="B51" s="50" t="s">
        <v>285</v>
      </c>
      <c r="C51" s="50" t="s">
        <v>286</v>
      </c>
      <c r="D51" s="50" t="s">
        <v>287</v>
      </c>
      <c r="E51" s="50" t="s">
        <v>288</v>
      </c>
      <c r="F51" s="50" t="s">
        <v>288</v>
      </c>
      <c r="G51" s="50" t="s">
        <v>288</v>
      </c>
      <c r="H51" s="50" t="s">
        <v>288</v>
      </c>
      <c r="I51" s="50" t="s">
        <v>288</v>
      </c>
      <c r="J51" s="50" t="s">
        <v>288</v>
      </c>
      <c r="K51" s="50" t="s">
        <v>288</v>
      </c>
    </row>
    <row r="52" spans="1:11" x14ac:dyDescent="0.25">
      <c r="A52" s="50" t="s">
        <v>363</v>
      </c>
      <c r="B52" s="50" t="s">
        <v>285</v>
      </c>
      <c r="C52" s="50" t="s">
        <v>286</v>
      </c>
      <c r="D52" s="50" t="s">
        <v>287</v>
      </c>
      <c r="E52" s="50">
        <v>24.83</v>
      </c>
      <c r="F52" s="50" t="s">
        <v>288</v>
      </c>
      <c r="G52" s="50" t="s">
        <v>288</v>
      </c>
      <c r="H52" s="50" t="s">
        <v>524</v>
      </c>
      <c r="I52" s="50" t="s">
        <v>288</v>
      </c>
      <c r="J52" s="50" t="s">
        <v>288</v>
      </c>
      <c r="K52" s="50" t="s">
        <v>288</v>
      </c>
    </row>
    <row r="53" spans="1:11" x14ac:dyDescent="0.25">
      <c r="A53" s="50" t="s">
        <v>365</v>
      </c>
      <c r="B53" s="50" t="s">
        <v>285</v>
      </c>
      <c r="C53" s="50" t="s">
        <v>286</v>
      </c>
      <c r="D53" s="50" t="s">
        <v>287</v>
      </c>
      <c r="E53" s="50" t="s">
        <v>288</v>
      </c>
      <c r="F53" s="50" t="s">
        <v>288</v>
      </c>
      <c r="G53" s="50" t="s">
        <v>288</v>
      </c>
      <c r="H53" s="50" t="s">
        <v>288</v>
      </c>
      <c r="I53" s="50" t="s">
        <v>288</v>
      </c>
      <c r="J53" s="50" t="s">
        <v>288</v>
      </c>
      <c r="K53" s="50" t="s">
        <v>288</v>
      </c>
    </row>
    <row r="54" spans="1:11" x14ac:dyDescent="0.25">
      <c r="A54" s="50" t="s">
        <v>367</v>
      </c>
      <c r="B54" s="50" t="s">
        <v>285</v>
      </c>
      <c r="C54" s="50" t="s">
        <v>286</v>
      </c>
      <c r="D54" s="50" t="s">
        <v>287</v>
      </c>
      <c r="E54" s="50">
        <v>21.78</v>
      </c>
      <c r="F54" s="50" t="s">
        <v>288</v>
      </c>
      <c r="G54" s="50" t="s">
        <v>288</v>
      </c>
      <c r="H54" s="50" t="s">
        <v>525</v>
      </c>
      <c r="I54" s="50" t="s">
        <v>288</v>
      </c>
      <c r="J54" s="50" t="s">
        <v>288</v>
      </c>
      <c r="K54" s="50" t="s">
        <v>288</v>
      </c>
    </row>
    <row r="55" spans="1:11" x14ac:dyDescent="0.25">
      <c r="A55" s="50" t="s">
        <v>369</v>
      </c>
      <c r="B55" s="50" t="s">
        <v>285</v>
      </c>
      <c r="C55" s="50" t="s">
        <v>286</v>
      </c>
      <c r="D55" s="50" t="s">
        <v>287</v>
      </c>
      <c r="E55" s="50" t="s">
        <v>288</v>
      </c>
      <c r="F55" s="50" t="s">
        <v>288</v>
      </c>
      <c r="G55" s="50" t="s">
        <v>288</v>
      </c>
      <c r="H55" s="50" t="s">
        <v>288</v>
      </c>
      <c r="I55" s="50" t="s">
        <v>288</v>
      </c>
      <c r="J55" s="50" t="s">
        <v>288</v>
      </c>
      <c r="K55" s="50" t="s">
        <v>288</v>
      </c>
    </row>
    <row r="56" spans="1:11" x14ac:dyDescent="0.25">
      <c r="A56" s="50" t="s">
        <v>371</v>
      </c>
      <c r="B56" s="50" t="s">
        <v>285</v>
      </c>
      <c r="C56" s="50" t="s">
        <v>286</v>
      </c>
      <c r="D56" s="50" t="s">
        <v>287</v>
      </c>
      <c r="E56" s="50">
        <v>21.79</v>
      </c>
      <c r="F56" s="50" t="s">
        <v>288</v>
      </c>
      <c r="G56" s="50" t="s">
        <v>288</v>
      </c>
      <c r="H56" s="50" t="s">
        <v>526</v>
      </c>
      <c r="I56" s="50" t="s">
        <v>288</v>
      </c>
      <c r="J56" s="50" t="s">
        <v>288</v>
      </c>
      <c r="K56" s="50" t="s">
        <v>288</v>
      </c>
    </row>
    <row r="57" spans="1:11" x14ac:dyDescent="0.25">
      <c r="A57" s="50" t="s">
        <v>373</v>
      </c>
      <c r="B57" s="50" t="s">
        <v>285</v>
      </c>
      <c r="C57" s="50" t="s">
        <v>286</v>
      </c>
      <c r="D57" s="50" t="s">
        <v>287</v>
      </c>
      <c r="E57" s="50">
        <v>36.46</v>
      </c>
      <c r="F57" s="50" t="s">
        <v>288</v>
      </c>
      <c r="G57" s="50" t="s">
        <v>288</v>
      </c>
      <c r="H57" s="50" t="s">
        <v>527</v>
      </c>
      <c r="I57" s="50" t="s">
        <v>288</v>
      </c>
      <c r="J57" s="50" t="s">
        <v>288</v>
      </c>
      <c r="K57" s="50" t="s">
        <v>288</v>
      </c>
    </row>
    <row r="58" spans="1:11" x14ac:dyDescent="0.25">
      <c r="A58" s="50" t="s">
        <v>375</v>
      </c>
      <c r="B58" s="50" t="s">
        <v>285</v>
      </c>
      <c r="C58" s="50" t="s">
        <v>286</v>
      </c>
      <c r="D58" s="50" t="s">
        <v>287</v>
      </c>
      <c r="E58" s="50">
        <v>20.239999999999998</v>
      </c>
      <c r="F58" s="50" t="s">
        <v>288</v>
      </c>
      <c r="G58" s="50" t="s">
        <v>288</v>
      </c>
      <c r="H58" s="50" t="s">
        <v>528</v>
      </c>
      <c r="I58" s="50" t="s">
        <v>288</v>
      </c>
      <c r="J58" s="50" t="s">
        <v>288</v>
      </c>
      <c r="K58" s="50" t="s">
        <v>288</v>
      </c>
    </row>
    <row r="59" spans="1:11" x14ac:dyDescent="0.25">
      <c r="A59" s="50" t="s">
        <v>377</v>
      </c>
      <c r="B59" s="50" t="s">
        <v>285</v>
      </c>
      <c r="C59" s="50" t="s">
        <v>286</v>
      </c>
      <c r="D59" s="50" t="s">
        <v>287</v>
      </c>
      <c r="E59" s="50">
        <v>32.549999999999997</v>
      </c>
      <c r="F59" s="50" t="s">
        <v>288</v>
      </c>
      <c r="G59" s="50" t="s">
        <v>288</v>
      </c>
      <c r="H59" s="50" t="s">
        <v>529</v>
      </c>
      <c r="I59" s="50" t="s">
        <v>288</v>
      </c>
      <c r="J59" s="50" t="s">
        <v>288</v>
      </c>
      <c r="K59" s="50" t="s">
        <v>288</v>
      </c>
    </row>
    <row r="60" spans="1:11" x14ac:dyDescent="0.25">
      <c r="A60" s="50" t="s">
        <v>379</v>
      </c>
      <c r="B60" s="50" t="s">
        <v>285</v>
      </c>
      <c r="C60" s="50" t="s">
        <v>286</v>
      </c>
      <c r="D60" s="50" t="s">
        <v>287</v>
      </c>
      <c r="E60" s="50">
        <v>19.45</v>
      </c>
      <c r="F60" s="50" t="s">
        <v>288</v>
      </c>
      <c r="G60" s="50" t="s">
        <v>288</v>
      </c>
      <c r="H60" s="50" t="s">
        <v>530</v>
      </c>
      <c r="I60" s="50" t="s">
        <v>288</v>
      </c>
      <c r="J60" s="50" t="s">
        <v>288</v>
      </c>
      <c r="K60" s="50" t="s">
        <v>288</v>
      </c>
    </row>
    <row r="61" spans="1:11" x14ac:dyDescent="0.25">
      <c r="A61" s="50" t="s">
        <v>380</v>
      </c>
      <c r="B61" s="50" t="s">
        <v>285</v>
      </c>
      <c r="C61" s="50" t="s">
        <v>286</v>
      </c>
      <c r="D61" s="50" t="s">
        <v>287</v>
      </c>
      <c r="E61" s="50" t="s">
        <v>288</v>
      </c>
      <c r="F61" s="50" t="s">
        <v>288</v>
      </c>
      <c r="G61" s="50" t="s">
        <v>288</v>
      </c>
      <c r="H61" s="50" t="s">
        <v>288</v>
      </c>
      <c r="I61" s="50" t="s">
        <v>288</v>
      </c>
      <c r="J61" s="50" t="s">
        <v>288</v>
      </c>
      <c r="K61" s="50" t="s">
        <v>288</v>
      </c>
    </row>
    <row r="62" spans="1:11" x14ac:dyDescent="0.25">
      <c r="A62" s="50" t="s">
        <v>381</v>
      </c>
      <c r="B62" s="50" t="s">
        <v>285</v>
      </c>
      <c r="C62" s="50" t="s">
        <v>286</v>
      </c>
      <c r="D62" s="50" t="s">
        <v>287</v>
      </c>
      <c r="E62" s="50">
        <v>29.36</v>
      </c>
      <c r="F62" s="50" t="s">
        <v>288</v>
      </c>
      <c r="G62" s="50" t="s">
        <v>288</v>
      </c>
      <c r="H62" s="50" t="s">
        <v>531</v>
      </c>
      <c r="I62" s="50" t="s">
        <v>288</v>
      </c>
      <c r="J62" s="50" t="s">
        <v>288</v>
      </c>
      <c r="K62" s="50" t="s">
        <v>288</v>
      </c>
    </row>
    <row r="63" spans="1:11" x14ac:dyDescent="0.25">
      <c r="A63" s="50" t="s">
        <v>382</v>
      </c>
      <c r="B63" s="50" t="s">
        <v>285</v>
      </c>
      <c r="C63" s="50" t="s">
        <v>286</v>
      </c>
      <c r="D63" s="50" t="s">
        <v>287</v>
      </c>
      <c r="E63" s="50" t="s">
        <v>288</v>
      </c>
      <c r="F63" s="50" t="s">
        <v>288</v>
      </c>
      <c r="G63" s="50" t="s">
        <v>288</v>
      </c>
      <c r="H63" s="50" t="s">
        <v>288</v>
      </c>
      <c r="I63" s="50" t="s">
        <v>288</v>
      </c>
      <c r="J63" s="50" t="s">
        <v>288</v>
      </c>
      <c r="K63" s="50" t="s">
        <v>288</v>
      </c>
    </row>
    <row r="64" spans="1:11" x14ac:dyDescent="0.25">
      <c r="A64" s="50" t="s">
        <v>383</v>
      </c>
      <c r="B64" s="50" t="s">
        <v>285</v>
      </c>
      <c r="C64" s="50" t="s">
        <v>286</v>
      </c>
      <c r="D64" s="50" t="s">
        <v>287</v>
      </c>
      <c r="E64" s="50">
        <v>23.91</v>
      </c>
      <c r="F64" s="50" t="s">
        <v>288</v>
      </c>
      <c r="G64" s="50" t="s">
        <v>288</v>
      </c>
      <c r="H64" s="50" t="s">
        <v>532</v>
      </c>
      <c r="I64" s="50" t="s">
        <v>288</v>
      </c>
      <c r="J64" s="50" t="s">
        <v>288</v>
      </c>
      <c r="K64" s="50" t="s">
        <v>288</v>
      </c>
    </row>
    <row r="65" spans="1:11" x14ac:dyDescent="0.25">
      <c r="A65" s="50" t="s">
        <v>385</v>
      </c>
      <c r="B65" s="50" t="s">
        <v>285</v>
      </c>
      <c r="C65" s="50" t="s">
        <v>286</v>
      </c>
      <c r="D65" s="50" t="s">
        <v>287</v>
      </c>
      <c r="E65" s="50" t="s">
        <v>288</v>
      </c>
      <c r="F65" s="50" t="s">
        <v>288</v>
      </c>
      <c r="G65" s="50" t="s">
        <v>288</v>
      </c>
      <c r="H65" s="50" t="s">
        <v>288</v>
      </c>
      <c r="I65" s="50" t="s">
        <v>288</v>
      </c>
      <c r="J65" s="50" t="s">
        <v>288</v>
      </c>
      <c r="K65" s="50" t="s">
        <v>288</v>
      </c>
    </row>
    <row r="66" spans="1:11" x14ac:dyDescent="0.25">
      <c r="A66" s="50" t="s">
        <v>387</v>
      </c>
      <c r="B66" s="50" t="s">
        <v>285</v>
      </c>
      <c r="C66" s="50" t="s">
        <v>286</v>
      </c>
      <c r="D66" s="50" t="s">
        <v>287</v>
      </c>
      <c r="E66" s="50">
        <v>24.62</v>
      </c>
      <c r="F66" s="50" t="s">
        <v>288</v>
      </c>
      <c r="G66" s="50" t="s">
        <v>288</v>
      </c>
      <c r="H66" s="50" t="s">
        <v>533</v>
      </c>
      <c r="I66" s="50" t="s">
        <v>288</v>
      </c>
      <c r="J66" s="50" t="s">
        <v>288</v>
      </c>
      <c r="K66" s="50" t="s">
        <v>288</v>
      </c>
    </row>
    <row r="67" spans="1:11" x14ac:dyDescent="0.25">
      <c r="A67" s="50" t="s">
        <v>389</v>
      </c>
      <c r="B67" s="50" t="s">
        <v>285</v>
      </c>
      <c r="C67" s="50" t="s">
        <v>286</v>
      </c>
      <c r="D67" s="50" t="s">
        <v>287</v>
      </c>
      <c r="E67" s="50">
        <v>22.2</v>
      </c>
      <c r="F67" s="50" t="s">
        <v>288</v>
      </c>
      <c r="G67" s="50" t="s">
        <v>288</v>
      </c>
      <c r="H67" s="50" t="s">
        <v>534</v>
      </c>
      <c r="I67" s="50" t="s">
        <v>288</v>
      </c>
      <c r="J67" s="50" t="s">
        <v>288</v>
      </c>
      <c r="K67" s="50" t="s">
        <v>288</v>
      </c>
    </row>
    <row r="68" spans="1:11" x14ac:dyDescent="0.25">
      <c r="A68" s="50" t="s">
        <v>391</v>
      </c>
      <c r="B68" s="50" t="s">
        <v>285</v>
      </c>
      <c r="C68" s="50" t="s">
        <v>286</v>
      </c>
      <c r="D68" s="50" t="s">
        <v>287</v>
      </c>
      <c r="E68" s="50">
        <v>20.86</v>
      </c>
      <c r="F68" s="50" t="s">
        <v>288</v>
      </c>
      <c r="G68" s="50" t="s">
        <v>288</v>
      </c>
      <c r="H68" s="50" t="s">
        <v>535</v>
      </c>
      <c r="I68" s="50" t="s">
        <v>288</v>
      </c>
      <c r="J68" s="50" t="s">
        <v>288</v>
      </c>
      <c r="K68" s="50" t="s">
        <v>288</v>
      </c>
    </row>
    <row r="69" spans="1:11" x14ac:dyDescent="0.25">
      <c r="A69" s="50" t="s">
        <v>393</v>
      </c>
      <c r="B69" s="50" t="s">
        <v>285</v>
      </c>
      <c r="C69" s="50" t="s">
        <v>286</v>
      </c>
      <c r="D69" s="50" t="s">
        <v>287</v>
      </c>
      <c r="E69" s="50">
        <v>34.44</v>
      </c>
      <c r="F69" s="50" t="s">
        <v>288</v>
      </c>
      <c r="G69" s="50" t="s">
        <v>288</v>
      </c>
      <c r="H69" s="50" t="s">
        <v>536</v>
      </c>
      <c r="I69" s="50" t="s">
        <v>288</v>
      </c>
      <c r="J69" s="50" t="s">
        <v>288</v>
      </c>
      <c r="K69" s="50" t="s">
        <v>288</v>
      </c>
    </row>
    <row r="70" spans="1:11" x14ac:dyDescent="0.25">
      <c r="A70" s="50" t="s">
        <v>395</v>
      </c>
      <c r="B70" s="50" t="s">
        <v>285</v>
      </c>
      <c r="C70" s="50" t="s">
        <v>286</v>
      </c>
      <c r="D70" s="50" t="s">
        <v>287</v>
      </c>
      <c r="E70" s="50">
        <v>19.05</v>
      </c>
      <c r="F70" s="50" t="s">
        <v>288</v>
      </c>
      <c r="G70" s="50" t="s">
        <v>288</v>
      </c>
      <c r="H70" s="50" t="s">
        <v>537</v>
      </c>
      <c r="I70" s="50" t="s">
        <v>288</v>
      </c>
      <c r="J70" s="50" t="s">
        <v>288</v>
      </c>
      <c r="K70" s="50" t="s">
        <v>288</v>
      </c>
    </row>
    <row r="71" spans="1:11" x14ac:dyDescent="0.25">
      <c r="A71" s="50" t="s">
        <v>397</v>
      </c>
      <c r="B71" s="50" t="s">
        <v>285</v>
      </c>
      <c r="C71" s="50" t="s">
        <v>286</v>
      </c>
      <c r="D71" s="50" t="s">
        <v>287</v>
      </c>
      <c r="E71" s="50">
        <v>22.61</v>
      </c>
      <c r="F71" s="50" t="s">
        <v>288</v>
      </c>
      <c r="G71" s="50" t="s">
        <v>288</v>
      </c>
      <c r="H71" s="50" t="s">
        <v>538</v>
      </c>
      <c r="I71" s="50" t="s">
        <v>288</v>
      </c>
      <c r="J71" s="50" t="s">
        <v>288</v>
      </c>
      <c r="K71" s="50" t="s">
        <v>288</v>
      </c>
    </row>
    <row r="72" spans="1:11" x14ac:dyDescent="0.25">
      <c r="A72" s="50" t="s">
        <v>399</v>
      </c>
      <c r="B72" s="50" t="s">
        <v>285</v>
      </c>
      <c r="C72" s="50" t="s">
        <v>286</v>
      </c>
      <c r="D72" s="50" t="s">
        <v>287</v>
      </c>
      <c r="E72" s="50">
        <v>18.690000000000001</v>
      </c>
      <c r="F72" s="50" t="s">
        <v>288</v>
      </c>
      <c r="G72" s="50" t="s">
        <v>288</v>
      </c>
      <c r="H72" s="50" t="s">
        <v>539</v>
      </c>
      <c r="I72" s="50" t="s">
        <v>288</v>
      </c>
      <c r="J72" s="50" t="s">
        <v>288</v>
      </c>
      <c r="K72" s="50" t="s">
        <v>288</v>
      </c>
    </row>
    <row r="73" spans="1:11" x14ac:dyDescent="0.25">
      <c r="A73" s="50" t="s">
        <v>400</v>
      </c>
      <c r="B73" s="50" t="s">
        <v>285</v>
      </c>
      <c r="C73" s="50" t="s">
        <v>286</v>
      </c>
      <c r="D73" s="50" t="s">
        <v>287</v>
      </c>
      <c r="E73" s="50">
        <v>37.799999999999997</v>
      </c>
      <c r="F73" s="50" t="s">
        <v>288</v>
      </c>
      <c r="G73" s="50" t="s">
        <v>288</v>
      </c>
      <c r="H73" s="50" t="s">
        <v>540</v>
      </c>
      <c r="I73" s="50" t="s">
        <v>288</v>
      </c>
      <c r="J73" s="50" t="s">
        <v>288</v>
      </c>
      <c r="K73" s="50" t="s">
        <v>288</v>
      </c>
    </row>
    <row r="74" spans="1:11" x14ac:dyDescent="0.25">
      <c r="A74" s="50" t="s">
        <v>401</v>
      </c>
      <c r="B74" s="50" t="s">
        <v>285</v>
      </c>
      <c r="C74" s="50" t="s">
        <v>402</v>
      </c>
      <c r="D74" s="50" t="s">
        <v>287</v>
      </c>
      <c r="E74" s="50" t="s">
        <v>288</v>
      </c>
      <c r="F74" s="50">
        <v>0</v>
      </c>
      <c r="G74" s="50">
        <v>0</v>
      </c>
      <c r="H74" s="50" t="s">
        <v>288</v>
      </c>
      <c r="I74" s="50" t="s">
        <v>288</v>
      </c>
      <c r="J74" s="50" t="s">
        <v>288</v>
      </c>
      <c r="K74" s="50" t="s">
        <v>288</v>
      </c>
    </row>
    <row r="75" spans="1:11" x14ac:dyDescent="0.25">
      <c r="A75" s="50" t="s">
        <v>403</v>
      </c>
      <c r="B75" s="50" t="s">
        <v>285</v>
      </c>
      <c r="C75" s="50" t="s">
        <v>402</v>
      </c>
      <c r="D75" s="50" t="s">
        <v>287</v>
      </c>
      <c r="E75" s="50" t="s">
        <v>288</v>
      </c>
      <c r="F75" s="50">
        <v>0</v>
      </c>
      <c r="G75" s="50">
        <v>0</v>
      </c>
      <c r="H75" s="50" t="s">
        <v>288</v>
      </c>
      <c r="I75" s="50" t="s">
        <v>288</v>
      </c>
      <c r="J75" s="50" t="s">
        <v>288</v>
      </c>
      <c r="K75" s="50" t="s">
        <v>288</v>
      </c>
    </row>
    <row r="76" spans="1:11" x14ac:dyDescent="0.25">
      <c r="A76" s="50" t="s">
        <v>404</v>
      </c>
      <c r="B76" s="50" t="s">
        <v>285</v>
      </c>
      <c r="C76" s="50" t="s">
        <v>402</v>
      </c>
      <c r="D76" s="50" t="s">
        <v>287</v>
      </c>
      <c r="E76" s="50" t="s">
        <v>288</v>
      </c>
      <c r="F76" s="50">
        <v>0</v>
      </c>
      <c r="G76" s="50">
        <v>0</v>
      </c>
      <c r="H76" s="50" t="s">
        <v>288</v>
      </c>
      <c r="I76" s="50" t="s">
        <v>288</v>
      </c>
      <c r="J76" s="50" t="s">
        <v>288</v>
      </c>
      <c r="K76" s="50" t="s">
        <v>288</v>
      </c>
    </row>
    <row r="77" spans="1:11" x14ac:dyDescent="0.25">
      <c r="A77" s="50" t="s">
        <v>405</v>
      </c>
      <c r="B77" s="50" t="s">
        <v>285</v>
      </c>
      <c r="C77" s="50" t="s">
        <v>402</v>
      </c>
      <c r="D77" s="50" t="s">
        <v>287</v>
      </c>
      <c r="E77" s="50">
        <v>10.84</v>
      </c>
      <c r="F77" s="50">
        <v>10.83</v>
      </c>
      <c r="G77" s="50">
        <v>0.23</v>
      </c>
      <c r="H77" s="50" t="s">
        <v>541</v>
      </c>
      <c r="I77" s="50">
        <v>933.16</v>
      </c>
      <c r="J77" s="50">
        <v>119.89</v>
      </c>
      <c r="K77" s="50" t="s">
        <v>288</v>
      </c>
    </row>
    <row r="78" spans="1:11" x14ac:dyDescent="0.25">
      <c r="A78" s="50" t="s">
        <v>407</v>
      </c>
      <c r="B78" s="50" t="s">
        <v>285</v>
      </c>
      <c r="C78" s="50" t="s">
        <v>402</v>
      </c>
      <c r="D78" s="50" t="s">
        <v>287</v>
      </c>
      <c r="E78" s="50">
        <v>11.06</v>
      </c>
      <c r="F78" s="50">
        <v>10.83</v>
      </c>
      <c r="G78" s="50">
        <v>0.23</v>
      </c>
      <c r="H78" s="50" t="s">
        <v>542</v>
      </c>
      <c r="I78" s="50">
        <v>933.16</v>
      </c>
      <c r="J78" s="50">
        <v>119.89</v>
      </c>
      <c r="K78" s="50" t="s">
        <v>288</v>
      </c>
    </row>
    <row r="79" spans="1:11" x14ac:dyDescent="0.25">
      <c r="A79" s="50" t="s">
        <v>409</v>
      </c>
      <c r="B79" s="50" t="s">
        <v>285</v>
      </c>
      <c r="C79" s="50" t="s">
        <v>402</v>
      </c>
      <c r="D79" s="50" t="s">
        <v>287</v>
      </c>
      <c r="E79" s="50">
        <v>10.59</v>
      </c>
      <c r="F79" s="50">
        <v>10.83</v>
      </c>
      <c r="G79" s="50">
        <v>0.23</v>
      </c>
      <c r="H79" s="50" t="s">
        <v>543</v>
      </c>
      <c r="I79" s="50">
        <v>933.16</v>
      </c>
      <c r="J79" s="50">
        <v>119.89</v>
      </c>
      <c r="K79" s="50" t="s">
        <v>288</v>
      </c>
    </row>
    <row r="80" spans="1:11" x14ac:dyDescent="0.25">
      <c r="A80" s="50" t="s">
        <v>411</v>
      </c>
      <c r="B80" s="50" t="s">
        <v>285</v>
      </c>
      <c r="C80" s="50" t="s">
        <v>402</v>
      </c>
      <c r="D80" s="50" t="s">
        <v>287</v>
      </c>
      <c r="E80" s="50">
        <v>14.72</v>
      </c>
      <c r="F80" s="50">
        <v>14.87</v>
      </c>
      <c r="G80" s="50">
        <v>0.13</v>
      </c>
      <c r="H80" s="50" t="s">
        <v>544</v>
      </c>
      <c r="I80" s="50">
        <v>101.3</v>
      </c>
      <c r="J80" s="50">
        <v>7.26</v>
      </c>
      <c r="K80" s="50" t="s">
        <v>288</v>
      </c>
    </row>
    <row r="81" spans="1:11" x14ac:dyDescent="0.25">
      <c r="A81" s="50" t="s">
        <v>413</v>
      </c>
      <c r="B81" s="50" t="s">
        <v>285</v>
      </c>
      <c r="C81" s="50" t="s">
        <v>402</v>
      </c>
      <c r="D81" s="50" t="s">
        <v>287</v>
      </c>
      <c r="E81" s="50">
        <v>14.94</v>
      </c>
      <c r="F81" s="50">
        <v>14.87</v>
      </c>
      <c r="G81" s="50">
        <v>0.13</v>
      </c>
      <c r="H81" s="50" t="s">
        <v>545</v>
      </c>
      <c r="I81" s="50">
        <v>101.3</v>
      </c>
      <c r="J81" s="50">
        <v>7.26</v>
      </c>
      <c r="K81" s="50" t="s">
        <v>288</v>
      </c>
    </row>
    <row r="82" spans="1:11" x14ac:dyDescent="0.25">
      <c r="A82" s="50" t="s">
        <v>415</v>
      </c>
      <c r="B82" s="50" t="s">
        <v>285</v>
      </c>
      <c r="C82" s="50" t="s">
        <v>402</v>
      </c>
      <c r="D82" s="50" t="s">
        <v>287</v>
      </c>
      <c r="E82" s="50">
        <v>14.94</v>
      </c>
      <c r="F82" s="50">
        <v>14.87</v>
      </c>
      <c r="G82" s="50">
        <v>0.13</v>
      </c>
      <c r="H82" s="50" t="s">
        <v>545</v>
      </c>
      <c r="I82" s="50">
        <v>101.3</v>
      </c>
      <c r="J82" s="50">
        <v>7.26</v>
      </c>
      <c r="K82" s="50" t="s">
        <v>288</v>
      </c>
    </row>
    <row r="83" spans="1:11" x14ac:dyDescent="0.25">
      <c r="A83" s="50" t="s">
        <v>417</v>
      </c>
      <c r="B83" s="50" t="s">
        <v>285</v>
      </c>
      <c r="C83" s="50" t="s">
        <v>402</v>
      </c>
      <c r="D83" s="50" t="s">
        <v>287</v>
      </c>
      <c r="E83" s="50">
        <v>18.93</v>
      </c>
      <c r="F83" s="50">
        <v>19.149999999999999</v>
      </c>
      <c r="G83" s="50">
        <v>0.32</v>
      </c>
      <c r="H83" s="50" t="s">
        <v>358</v>
      </c>
      <c r="I83" s="50">
        <v>9.7799999999999994</v>
      </c>
      <c r="J83" s="50">
        <v>1.65</v>
      </c>
      <c r="K83" s="50" t="s">
        <v>288</v>
      </c>
    </row>
    <row r="84" spans="1:11" x14ac:dyDescent="0.25">
      <c r="A84" s="50" t="s">
        <v>419</v>
      </c>
      <c r="B84" s="50" t="s">
        <v>285</v>
      </c>
      <c r="C84" s="50" t="s">
        <v>402</v>
      </c>
      <c r="D84" s="50" t="s">
        <v>287</v>
      </c>
      <c r="E84" s="50">
        <v>19.52</v>
      </c>
      <c r="F84" s="50">
        <v>19.149999999999999</v>
      </c>
      <c r="G84" s="50">
        <v>0.32</v>
      </c>
      <c r="H84" s="50" t="s">
        <v>546</v>
      </c>
      <c r="I84" s="50">
        <v>9.7799999999999994</v>
      </c>
      <c r="J84" s="50">
        <v>1.65</v>
      </c>
      <c r="K84" s="50" t="s">
        <v>288</v>
      </c>
    </row>
    <row r="85" spans="1:11" x14ac:dyDescent="0.25">
      <c r="A85" s="50" t="s">
        <v>421</v>
      </c>
      <c r="B85" s="50" t="s">
        <v>285</v>
      </c>
      <c r="C85" s="50" t="s">
        <v>402</v>
      </c>
      <c r="D85" s="50" t="s">
        <v>287</v>
      </c>
      <c r="E85" s="50">
        <v>18.989999999999998</v>
      </c>
      <c r="F85" s="50">
        <v>19.149999999999999</v>
      </c>
      <c r="G85" s="50">
        <v>0.32</v>
      </c>
      <c r="H85" s="50" t="s">
        <v>547</v>
      </c>
      <c r="I85" s="50">
        <v>9.7799999999999994</v>
      </c>
      <c r="J85" s="50">
        <v>1.65</v>
      </c>
      <c r="K85" s="50" t="s">
        <v>288</v>
      </c>
    </row>
    <row r="86" spans="1:11" x14ac:dyDescent="0.25">
      <c r="A86" s="50" t="s">
        <v>423</v>
      </c>
      <c r="B86" s="50" t="s">
        <v>285</v>
      </c>
      <c r="C86" s="50" t="s">
        <v>402</v>
      </c>
      <c r="D86" s="50" t="s">
        <v>287</v>
      </c>
      <c r="E86" s="50">
        <v>22.73</v>
      </c>
      <c r="F86" s="50">
        <v>22.71</v>
      </c>
      <c r="G86" s="50">
        <v>0.11</v>
      </c>
      <c r="H86" s="50" t="s">
        <v>548</v>
      </c>
      <c r="I86" s="50">
        <v>1.38</v>
      </c>
      <c r="J86" s="50">
        <v>0.09</v>
      </c>
      <c r="K86" s="50" t="s">
        <v>288</v>
      </c>
    </row>
    <row r="87" spans="1:11" x14ac:dyDescent="0.25">
      <c r="A87" s="50" t="s">
        <v>425</v>
      </c>
      <c r="B87" s="50" t="s">
        <v>285</v>
      </c>
      <c r="C87" s="50" t="s">
        <v>402</v>
      </c>
      <c r="D87" s="50" t="s">
        <v>287</v>
      </c>
      <c r="E87" s="50">
        <v>22.58</v>
      </c>
      <c r="F87" s="50">
        <v>22.71</v>
      </c>
      <c r="G87" s="50">
        <v>0.11</v>
      </c>
      <c r="H87" s="50" t="s">
        <v>549</v>
      </c>
      <c r="I87" s="50">
        <v>1.38</v>
      </c>
      <c r="J87" s="50">
        <v>0.09</v>
      </c>
      <c r="K87" s="50" t="s">
        <v>288</v>
      </c>
    </row>
    <row r="88" spans="1:11" x14ac:dyDescent="0.25">
      <c r="A88" s="50" t="s">
        <v>427</v>
      </c>
      <c r="B88" s="50" t="s">
        <v>285</v>
      </c>
      <c r="C88" s="50" t="s">
        <v>402</v>
      </c>
      <c r="D88" s="50" t="s">
        <v>287</v>
      </c>
      <c r="E88" s="50">
        <v>22.81</v>
      </c>
      <c r="F88" s="50">
        <v>22.71</v>
      </c>
      <c r="G88" s="50">
        <v>0.11</v>
      </c>
      <c r="H88" s="50" t="s">
        <v>550</v>
      </c>
      <c r="I88" s="50">
        <v>1.38</v>
      </c>
      <c r="J88" s="50">
        <v>0.09</v>
      </c>
      <c r="K88" s="50" t="s">
        <v>288</v>
      </c>
    </row>
    <row r="89" spans="1:11" x14ac:dyDescent="0.25">
      <c r="A89" s="50" t="s">
        <v>429</v>
      </c>
      <c r="B89" s="50" t="s">
        <v>285</v>
      </c>
      <c r="C89" s="50" t="s">
        <v>402</v>
      </c>
      <c r="D89" s="50" t="s">
        <v>287</v>
      </c>
      <c r="E89" s="50">
        <v>27.81</v>
      </c>
      <c r="F89" s="50">
        <v>27.86</v>
      </c>
      <c r="G89" s="50">
        <v>0.06</v>
      </c>
      <c r="H89" s="50" t="s">
        <v>551</v>
      </c>
      <c r="I89" s="50">
        <v>0.08</v>
      </c>
      <c r="J89" s="50">
        <v>0</v>
      </c>
      <c r="K89" s="50" t="s">
        <v>288</v>
      </c>
    </row>
    <row r="90" spans="1:11" x14ac:dyDescent="0.25">
      <c r="A90" s="50" t="s">
        <v>431</v>
      </c>
      <c r="B90" s="50" t="s">
        <v>285</v>
      </c>
      <c r="C90" s="50" t="s">
        <v>402</v>
      </c>
      <c r="D90" s="50" t="s">
        <v>287</v>
      </c>
      <c r="E90" s="50">
        <v>27.93</v>
      </c>
      <c r="F90" s="50">
        <v>27.86</v>
      </c>
      <c r="G90" s="50">
        <v>0.06</v>
      </c>
      <c r="H90" s="50" t="s">
        <v>552</v>
      </c>
      <c r="I90" s="50">
        <v>0.08</v>
      </c>
      <c r="J90" s="50">
        <v>0</v>
      </c>
      <c r="K90" s="50" t="s">
        <v>288</v>
      </c>
    </row>
    <row r="91" spans="1:11" x14ac:dyDescent="0.25">
      <c r="A91" s="50" t="s">
        <v>432</v>
      </c>
      <c r="B91" s="50" t="s">
        <v>285</v>
      </c>
      <c r="C91" s="50" t="s">
        <v>402</v>
      </c>
      <c r="D91" s="50" t="s">
        <v>287</v>
      </c>
      <c r="E91" s="50">
        <v>27.84</v>
      </c>
      <c r="F91" s="50">
        <v>27.86</v>
      </c>
      <c r="G91" s="50">
        <v>0.06</v>
      </c>
      <c r="H91" s="50" t="s">
        <v>553</v>
      </c>
      <c r="I91" s="50">
        <v>0.08</v>
      </c>
      <c r="J91" s="50">
        <v>0</v>
      </c>
      <c r="K91" s="50" t="s">
        <v>288</v>
      </c>
    </row>
    <row r="92" spans="1:11" x14ac:dyDescent="0.25">
      <c r="A92" s="50" t="s">
        <v>434</v>
      </c>
      <c r="B92" s="50" t="s">
        <v>285</v>
      </c>
      <c r="C92" s="50" t="s">
        <v>402</v>
      </c>
      <c r="D92" s="50" t="s">
        <v>287</v>
      </c>
      <c r="E92" s="50">
        <v>31.44</v>
      </c>
      <c r="F92" s="50">
        <v>31.7</v>
      </c>
      <c r="G92" s="50">
        <v>0.3</v>
      </c>
      <c r="H92" s="50" t="s">
        <v>554</v>
      </c>
      <c r="I92" s="50">
        <v>0.01</v>
      </c>
      <c r="J92" s="50">
        <v>0</v>
      </c>
      <c r="K92" s="50" t="s">
        <v>288</v>
      </c>
    </row>
    <row r="93" spans="1:11" x14ac:dyDescent="0.25">
      <c r="A93" s="50" t="s">
        <v>436</v>
      </c>
      <c r="B93" s="50" t="s">
        <v>285</v>
      </c>
      <c r="C93" s="50" t="s">
        <v>402</v>
      </c>
      <c r="D93" s="50" t="s">
        <v>287</v>
      </c>
      <c r="E93" s="50">
        <v>31.63</v>
      </c>
      <c r="F93" s="50">
        <v>31.7</v>
      </c>
      <c r="G93" s="50">
        <v>0.3</v>
      </c>
      <c r="H93" s="50" t="s">
        <v>555</v>
      </c>
      <c r="I93" s="50">
        <v>0.01</v>
      </c>
      <c r="J93" s="50">
        <v>0</v>
      </c>
      <c r="K93" s="50" t="s">
        <v>288</v>
      </c>
    </row>
    <row r="94" spans="1:11" x14ac:dyDescent="0.25">
      <c r="A94" s="50" t="s">
        <v>438</v>
      </c>
      <c r="B94" s="50" t="s">
        <v>285</v>
      </c>
      <c r="C94" s="50" t="s">
        <v>402</v>
      </c>
      <c r="D94" s="50" t="s">
        <v>287</v>
      </c>
      <c r="E94" s="50">
        <v>32.03</v>
      </c>
      <c r="F94" s="50">
        <v>31.7</v>
      </c>
      <c r="G94" s="50">
        <v>0.3</v>
      </c>
      <c r="H94" s="50" t="s">
        <v>556</v>
      </c>
      <c r="I94" s="50">
        <v>0.01</v>
      </c>
      <c r="J94" s="50">
        <v>0</v>
      </c>
      <c r="K94" s="50" t="s">
        <v>288</v>
      </c>
    </row>
    <row r="95" spans="1:11" x14ac:dyDescent="0.25">
      <c r="A95" s="50" t="s">
        <v>440</v>
      </c>
      <c r="B95" s="50" t="s">
        <v>285</v>
      </c>
      <c r="C95" s="50" t="s">
        <v>441</v>
      </c>
      <c r="D95" s="50" t="s">
        <v>287</v>
      </c>
      <c r="E95" s="50">
        <v>30.54</v>
      </c>
      <c r="F95" s="50" t="s">
        <v>288</v>
      </c>
      <c r="G95" s="50" t="s">
        <v>288</v>
      </c>
      <c r="H95" s="50" t="s">
        <v>557</v>
      </c>
      <c r="I95" s="50" t="s">
        <v>288</v>
      </c>
      <c r="J95" s="50" t="s">
        <v>288</v>
      </c>
      <c r="K95" s="50" t="s">
        <v>288</v>
      </c>
    </row>
    <row r="96" spans="1:11" x14ac:dyDescent="0.25">
      <c r="A96" s="50" t="s">
        <v>442</v>
      </c>
      <c r="B96" s="50" t="s">
        <v>285</v>
      </c>
      <c r="C96" s="50" t="s">
        <v>441</v>
      </c>
      <c r="D96" s="50" t="s">
        <v>287</v>
      </c>
      <c r="E96" s="50">
        <v>30.61</v>
      </c>
      <c r="F96" s="50" t="s">
        <v>288</v>
      </c>
      <c r="G96" s="50" t="s">
        <v>288</v>
      </c>
      <c r="H96" s="50" t="s">
        <v>558</v>
      </c>
      <c r="I96" s="50" t="s">
        <v>288</v>
      </c>
      <c r="J96" s="50" t="s">
        <v>288</v>
      </c>
      <c r="K96" s="50" t="s">
        <v>288</v>
      </c>
    </row>
    <row r="97" spans="1:11" x14ac:dyDescent="0.25">
      <c r="A97" s="50" t="s">
        <v>443</v>
      </c>
      <c r="B97" s="50" t="s">
        <v>285</v>
      </c>
      <c r="C97" s="50" t="s">
        <v>441</v>
      </c>
      <c r="D97" s="50" t="s">
        <v>287</v>
      </c>
      <c r="E97" s="50">
        <v>30.72</v>
      </c>
      <c r="F97" s="50" t="s">
        <v>288</v>
      </c>
      <c r="G97" s="50" t="s">
        <v>288</v>
      </c>
      <c r="H97" s="50" t="s">
        <v>559</v>
      </c>
      <c r="I97" s="50" t="s">
        <v>288</v>
      </c>
      <c r="J97" s="50" t="s">
        <v>288</v>
      </c>
      <c r="K97" s="50" t="s">
        <v>288</v>
      </c>
    </row>
  </sheetData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BC852-B99E-403B-9B7F-08EB952DF349}">
  <sheetPr codeName="Sheet6">
    <outlinePr summaryBelow="0" summaryRight="0"/>
    <pageSetUpPr autoPageBreaks="0" fitToPage="1"/>
  </sheetPr>
  <dimension ref="A1:AM172"/>
  <sheetViews>
    <sheetView topLeftCell="T78" zoomScale="115" zoomScaleNormal="115" workbookViewId="0">
      <selection activeCell="AC2" sqref="AC2"/>
    </sheetView>
  </sheetViews>
  <sheetFormatPr defaultColWidth="8.77734375" defaultRowHeight="13.2" x14ac:dyDescent="0.25"/>
  <cols>
    <col min="1" max="24" width="8.77734375" style="50"/>
    <col min="25" max="25" width="12.21875" style="50" bestFit="1" customWidth="1"/>
    <col min="26" max="27" width="8.77734375" style="50" bestFit="1" customWidth="1"/>
    <col min="28" max="28" width="12" style="50" bestFit="1" customWidth="1"/>
    <col min="29" max="29" width="8.77734375" style="50" bestFit="1" customWidth="1"/>
    <col min="30" max="30" width="8.77734375" style="50"/>
    <col min="31" max="32" width="8.77734375" style="50" bestFit="1" customWidth="1"/>
    <col min="33" max="33" width="8.77734375" style="50"/>
    <col min="34" max="34" width="10.5546875" style="50" bestFit="1" customWidth="1"/>
    <col min="35" max="35" width="8.77734375" style="50"/>
    <col min="36" max="36" width="12" style="50" bestFit="1" customWidth="1"/>
    <col min="37" max="16384" width="8.77734375" style="50"/>
  </cols>
  <sheetData>
    <row r="1" spans="1:36" x14ac:dyDescent="0.25">
      <c r="A1" s="50" t="s">
        <v>273</v>
      </c>
      <c r="B1" s="50" t="s">
        <v>274</v>
      </c>
      <c r="C1" s="50" t="s">
        <v>275</v>
      </c>
      <c r="D1" s="50" t="s">
        <v>276</v>
      </c>
      <c r="E1" s="50" t="s">
        <v>277</v>
      </c>
      <c r="F1" s="50" t="s">
        <v>278</v>
      </c>
      <c r="G1" s="50" t="s">
        <v>279</v>
      </c>
      <c r="H1" s="50" t="s">
        <v>280</v>
      </c>
      <c r="I1" s="50" t="s">
        <v>281</v>
      </c>
      <c r="J1" s="50" t="s">
        <v>282</v>
      </c>
      <c r="K1" s="50" t="s">
        <v>283</v>
      </c>
      <c r="L1" s="50" t="s">
        <v>273</v>
      </c>
      <c r="M1" s="50" t="s">
        <v>274</v>
      </c>
      <c r="N1" s="50" t="s">
        <v>275</v>
      </c>
      <c r="O1" s="50" t="s">
        <v>276</v>
      </c>
      <c r="P1" s="50" t="s">
        <v>277</v>
      </c>
      <c r="Q1" s="50" t="s">
        <v>655</v>
      </c>
      <c r="R1" s="50" t="s">
        <v>654</v>
      </c>
      <c r="T1" s="50" t="s">
        <v>655</v>
      </c>
      <c r="U1" s="50" t="s">
        <v>654</v>
      </c>
      <c r="W1" s="50" t="s">
        <v>692</v>
      </c>
      <c r="X1" s="50" t="s">
        <v>654</v>
      </c>
      <c r="Z1" s="50" t="s">
        <v>739</v>
      </c>
      <c r="AA1" s="50" t="s">
        <v>740</v>
      </c>
      <c r="AB1" s="50" t="s">
        <v>654</v>
      </c>
      <c r="AC1" s="50" t="s">
        <v>741</v>
      </c>
      <c r="AD1" s="50" t="s">
        <v>765</v>
      </c>
      <c r="AE1" s="50" t="s">
        <v>739</v>
      </c>
      <c r="AF1" s="50" t="s">
        <v>740</v>
      </c>
      <c r="AG1" s="50" t="str">
        <f>AE1&amp;"_"&amp;AF1</f>
        <v>[F]_[R]</v>
      </c>
      <c r="AH1" s="50" t="s">
        <v>654</v>
      </c>
      <c r="AI1" s="50" t="s">
        <v>741</v>
      </c>
      <c r="AJ1" s="50" t="s">
        <v>765</v>
      </c>
    </row>
    <row r="2" spans="1:36" x14ac:dyDescent="0.25">
      <c r="A2" s="50" t="s">
        <v>284</v>
      </c>
      <c r="B2" s="50" t="s">
        <v>285</v>
      </c>
      <c r="C2" s="50" t="s">
        <v>286</v>
      </c>
      <c r="D2" s="50" t="s">
        <v>287</v>
      </c>
      <c r="E2" s="50" t="s">
        <v>288</v>
      </c>
      <c r="F2" s="50" t="e">
        <f>AVERAGE(E2:E3)</f>
        <v>#DIV/0!</v>
      </c>
      <c r="G2" s="50" t="s">
        <v>288</v>
      </c>
      <c r="H2" s="50" t="s">
        <v>288</v>
      </c>
      <c r="I2" s="50" t="s">
        <v>288</v>
      </c>
      <c r="J2" s="50" t="s">
        <v>288</v>
      </c>
      <c r="K2" s="50" t="s">
        <v>288</v>
      </c>
      <c r="L2" s="50" t="s">
        <v>284</v>
      </c>
      <c r="M2" s="50" t="s">
        <v>285</v>
      </c>
      <c r="N2" s="50" t="s">
        <v>286</v>
      </c>
      <c r="O2" s="50" t="s">
        <v>287</v>
      </c>
      <c r="P2" s="50" t="s">
        <v>288</v>
      </c>
      <c r="Q2" s="50" t="str">
        <f>L2&amp;"+"&amp;L3</f>
        <v>A01+A02</v>
      </c>
      <c r="R2" s="51" t="e">
        <f>AVERAGE(P2:P3)</f>
        <v>#DIV/0!</v>
      </c>
      <c r="T2" s="50" t="s">
        <v>656</v>
      </c>
      <c r="U2" s="50">
        <v>0</v>
      </c>
      <c r="W2" s="50" t="s">
        <v>693</v>
      </c>
      <c r="X2" s="50">
        <v>0</v>
      </c>
      <c r="Z2" s="50">
        <v>50</v>
      </c>
      <c r="AA2" s="50">
        <v>50</v>
      </c>
      <c r="AB2" s="50">
        <v>0</v>
      </c>
      <c r="AC2" s="51">
        <f>AVERAGE(AB4:AB7)</f>
        <v>30.563749999999999</v>
      </c>
      <c r="AD2" s="51">
        <f>STDEV(AB4:AB7)</f>
        <v>1.437853579703672</v>
      </c>
      <c r="AE2" s="50">
        <v>50</v>
      </c>
      <c r="AF2" s="50">
        <v>50</v>
      </c>
      <c r="AG2" s="50" t="str">
        <f t="shared" ref="AG2:AG37" si="0">AE2&amp;"_"&amp;AF2</f>
        <v>50_50</v>
      </c>
      <c r="AH2" s="50">
        <v>0</v>
      </c>
      <c r="AI2" s="51">
        <f>AVERAGE(AH4:AH7)</f>
        <v>33.543750000000003</v>
      </c>
      <c r="AJ2" s="50">
        <f>STDEV(AH4:AH7)</f>
        <v>1.9785827208720224</v>
      </c>
    </row>
    <row r="3" spans="1:36" x14ac:dyDescent="0.25">
      <c r="A3" s="50" t="s">
        <v>289</v>
      </c>
      <c r="B3" s="50" t="s">
        <v>285</v>
      </c>
      <c r="C3" s="50" t="s">
        <v>286</v>
      </c>
      <c r="D3" s="50" t="s">
        <v>287</v>
      </c>
      <c r="E3" s="50" t="s">
        <v>288</v>
      </c>
      <c r="F3" s="50" t="s">
        <v>288</v>
      </c>
      <c r="G3" s="50" t="s">
        <v>288</v>
      </c>
      <c r="H3" s="50" t="s">
        <v>288</v>
      </c>
      <c r="I3" s="50" t="s">
        <v>288</v>
      </c>
      <c r="J3" s="50" t="s">
        <v>288</v>
      </c>
      <c r="K3" s="50" t="s">
        <v>288</v>
      </c>
      <c r="L3" s="50" t="s">
        <v>289</v>
      </c>
      <c r="M3" s="50" t="s">
        <v>285</v>
      </c>
      <c r="N3" s="50" t="s">
        <v>286</v>
      </c>
      <c r="O3" s="50" t="s">
        <v>287</v>
      </c>
      <c r="P3" s="50" t="s">
        <v>288</v>
      </c>
      <c r="R3" s="51"/>
      <c r="T3" s="50" t="s">
        <v>657</v>
      </c>
      <c r="U3" s="50">
        <v>0</v>
      </c>
      <c r="W3" s="50" t="s">
        <v>694</v>
      </c>
      <c r="X3" s="50">
        <v>0</v>
      </c>
      <c r="Z3" s="50">
        <v>100</v>
      </c>
      <c r="AA3" s="50">
        <v>50</v>
      </c>
      <c r="AB3" s="50">
        <v>0</v>
      </c>
      <c r="AC3" s="51"/>
      <c r="AD3" s="51"/>
      <c r="AE3" s="50">
        <v>50</v>
      </c>
      <c r="AF3" s="50">
        <v>100</v>
      </c>
      <c r="AG3" s="50" t="str">
        <f t="shared" si="0"/>
        <v>50_100</v>
      </c>
      <c r="AH3" s="50">
        <v>0</v>
      </c>
      <c r="AI3" s="51"/>
    </row>
    <row r="4" spans="1:36" x14ac:dyDescent="0.25">
      <c r="A4" s="50" t="s">
        <v>290</v>
      </c>
      <c r="B4" s="50" t="s">
        <v>285</v>
      </c>
      <c r="C4" s="50" t="s">
        <v>286</v>
      </c>
      <c r="D4" s="50" t="s">
        <v>287</v>
      </c>
      <c r="E4" s="50" t="s">
        <v>288</v>
      </c>
      <c r="F4" s="50">
        <f>AVERAGE(E4:E5)</f>
        <v>38.909999999999997</v>
      </c>
      <c r="G4" s="50" t="s">
        <v>288</v>
      </c>
      <c r="H4" s="50" t="s">
        <v>288</v>
      </c>
      <c r="I4" s="50" t="s">
        <v>288</v>
      </c>
      <c r="J4" s="50" t="s">
        <v>288</v>
      </c>
      <c r="K4" s="50" t="s">
        <v>288</v>
      </c>
      <c r="L4" s="50" t="s">
        <v>290</v>
      </c>
      <c r="M4" s="50" t="s">
        <v>285</v>
      </c>
      <c r="N4" s="50" t="s">
        <v>286</v>
      </c>
      <c r="O4" s="50" t="s">
        <v>287</v>
      </c>
      <c r="P4" s="50" t="s">
        <v>288</v>
      </c>
      <c r="Q4" s="50" t="str">
        <f>L4&amp;"+"&amp;L5</f>
        <v>A03+A04</v>
      </c>
      <c r="R4" s="51"/>
      <c r="T4" s="50" t="s">
        <v>658</v>
      </c>
      <c r="U4" s="50">
        <v>32.72</v>
      </c>
      <c r="W4" s="50" t="s">
        <v>695</v>
      </c>
      <c r="X4" s="50">
        <v>32.72</v>
      </c>
      <c r="Z4" s="50">
        <v>200</v>
      </c>
      <c r="AA4" s="50">
        <v>50</v>
      </c>
      <c r="AB4" s="50">
        <v>32.72</v>
      </c>
      <c r="AC4" s="51"/>
      <c r="AD4" s="51"/>
      <c r="AE4" s="50">
        <v>50</v>
      </c>
      <c r="AF4" s="50">
        <v>200</v>
      </c>
      <c r="AG4" s="50" t="str">
        <f t="shared" si="0"/>
        <v>50_200</v>
      </c>
      <c r="AH4" s="50">
        <v>36.31</v>
      </c>
      <c r="AI4" s="51"/>
    </row>
    <row r="5" spans="1:36" x14ac:dyDescent="0.25">
      <c r="A5" s="50" t="s">
        <v>291</v>
      </c>
      <c r="B5" s="50" t="s">
        <v>285</v>
      </c>
      <c r="C5" s="50" t="s">
        <v>286</v>
      </c>
      <c r="D5" s="50" t="s">
        <v>287</v>
      </c>
      <c r="E5" s="50">
        <v>38.909999999999997</v>
      </c>
      <c r="F5" s="50" t="s">
        <v>288</v>
      </c>
      <c r="G5" s="50" t="s">
        <v>288</v>
      </c>
      <c r="H5" s="50" t="s">
        <v>561</v>
      </c>
      <c r="I5" s="50" t="s">
        <v>288</v>
      </c>
      <c r="J5" s="50" t="s">
        <v>288</v>
      </c>
      <c r="K5" s="50" t="s">
        <v>288</v>
      </c>
      <c r="L5" s="50" t="s">
        <v>291</v>
      </c>
      <c r="M5" s="50" t="s">
        <v>285</v>
      </c>
      <c r="N5" s="50" t="s">
        <v>286</v>
      </c>
      <c r="O5" s="50" t="s">
        <v>287</v>
      </c>
      <c r="P5" s="50">
        <v>38.909999999999997</v>
      </c>
      <c r="R5" s="51"/>
      <c r="T5" s="50" t="s">
        <v>659</v>
      </c>
      <c r="U5" s="50">
        <v>29.89</v>
      </c>
      <c r="W5" s="50" t="s">
        <v>696</v>
      </c>
      <c r="X5" s="50">
        <v>29.89</v>
      </c>
      <c r="Z5" s="50">
        <v>400</v>
      </c>
      <c r="AA5" s="50">
        <v>50</v>
      </c>
      <c r="AB5" s="50">
        <v>29.89</v>
      </c>
      <c r="AC5" s="51"/>
      <c r="AD5" s="51"/>
      <c r="AE5" s="50">
        <v>50</v>
      </c>
      <c r="AF5" s="50">
        <v>400</v>
      </c>
      <c r="AG5" s="50" t="str">
        <f t="shared" si="0"/>
        <v>50_400</v>
      </c>
      <c r="AH5" s="50">
        <v>31.67</v>
      </c>
      <c r="AI5" s="51"/>
    </row>
    <row r="6" spans="1:36" x14ac:dyDescent="0.25">
      <c r="A6" s="50" t="s">
        <v>292</v>
      </c>
      <c r="B6" s="50" t="s">
        <v>285</v>
      </c>
      <c r="C6" s="50" t="s">
        <v>286</v>
      </c>
      <c r="D6" s="50" t="s">
        <v>287</v>
      </c>
      <c r="E6" s="50">
        <v>32.380000000000003</v>
      </c>
      <c r="F6" s="50">
        <f>AVERAGE(E6:E7)</f>
        <v>32.72</v>
      </c>
      <c r="G6" s="50" t="s">
        <v>288</v>
      </c>
      <c r="H6" s="50" t="s">
        <v>562</v>
      </c>
      <c r="I6" s="50" t="s">
        <v>288</v>
      </c>
      <c r="J6" s="50" t="s">
        <v>288</v>
      </c>
      <c r="K6" s="50" t="s">
        <v>288</v>
      </c>
      <c r="L6" s="50" t="s">
        <v>292</v>
      </c>
      <c r="M6" s="50" t="s">
        <v>285</v>
      </c>
      <c r="N6" s="50" t="s">
        <v>286</v>
      </c>
      <c r="O6" s="50" t="s">
        <v>287</v>
      </c>
      <c r="P6" s="50">
        <v>32.380000000000003</v>
      </c>
      <c r="Q6" s="50" t="str">
        <f>L6&amp;"+"&amp;L7</f>
        <v>A05+A06</v>
      </c>
      <c r="R6" s="51">
        <f>AVERAGE(P6:P7)</f>
        <v>32.72</v>
      </c>
      <c r="T6" s="50" t="s">
        <v>660</v>
      </c>
      <c r="U6" s="50">
        <v>29.825000000000003</v>
      </c>
      <c r="W6" s="50" t="s">
        <v>697</v>
      </c>
      <c r="X6" s="50">
        <v>29.825000000000003</v>
      </c>
      <c r="Z6" s="50">
        <v>600</v>
      </c>
      <c r="AA6" s="50">
        <v>50</v>
      </c>
      <c r="AB6" s="50">
        <v>29.825000000000003</v>
      </c>
      <c r="AC6" s="51"/>
      <c r="AD6" s="51"/>
      <c r="AE6" s="50">
        <v>50</v>
      </c>
      <c r="AF6" s="50">
        <v>600</v>
      </c>
      <c r="AG6" s="50" t="str">
        <f t="shared" si="0"/>
        <v>50_600</v>
      </c>
      <c r="AH6" s="50">
        <v>32.795000000000002</v>
      </c>
      <c r="AI6" s="51"/>
    </row>
    <row r="7" spans="1:36" x14ac:dyDescent="0.25">
      <c r="A7" s="50" t="s">
        <v>293</v>
      </c>
      <c r="B7" s="50" t="s">
        <v>285</v>
      </c>
      <c r="C7" s="50" t="s">
        <v>286</v>
      </c>
      <c r="D7" s="50" t="s">
        <v>287</v>
      </c>
      <c r="E7" s="50">
        <v>33.06</v>
      </c>
      <c r="F7" s="50" t="s">
        <v>288</v>
      </c>
      <c r="G7" s="50" t="s">
        <v>288</v>
      </c>
      <c r="H7" s="50" t="s">
        <v>563</v>
      </c>
      <c r="I7" s="50" t="s">
        <v>288</v>
      </c>
      <c r="J7" s="50" t="s">
        <v>288</v>
      </c>
      <c r="K7" s="50" t="s">
        <v>288</v>
      </c>
      <c r="L7" s="50" t="s">
        <v>293</v>
      </c>
      <c r="M7" s="50" t="s">
        <v>285</v>
      </c>
      <c r="N7" s="50" t="s">
        <v>286</v>
      </c>
      <c r="O7" s="50" t="s">
        <v>287</v>
      </c>
      <c r="P7" s="50">
        <v>33.06</v>
      </c>
      <c r="R7" s="51"/>
      <c r="T7" s="50" t="s">
        <v>661</v>
      </c>
      <c r="U7" s="50">
        <v>29.82</v>
      </c>
      <c r="W7" s="50" t="s">
        <v>698</v>
      </c>
      <c r="X7" s="50">
        <v>29.82</v>
      </c>
      <c r="Z7" s="50">
        <v>800</v>
      </c>
      <c r="AA7" s="50">
        <v>50</v>
      </c>
      <c r="AB7" s="50">
        <v>29.82</v>
      </c>
      <c r="AC7" s="51"/>
      <c r="AD7" s="51"/>
      <c r="AE7" s="50">
        <v>50</v>
      </c>
      <c r="AF7" s="50">
        <v>800</v>
      </c>
      <c r="AG7" s="50" t="str">
        <f t="shared" si="0"/>
        <v>50_800</v>
      </c>
      <c r="AH7" s="50">
        <v>33.4</v>
      </c>
      <c r="AI7" s="51"/>
    </row>
    <row r="8" spans="1:36" x14ac:dyDescent="0.25">
      <c r="A8" s="50" t="s">
        <v>294</v>
      </c>
      <c r="B8" s="50" t="s">
        <v>285</v>
      </c>
      <c r="C8" s="50" t="s">
        <v>286</v>
      </c>
      <c r="D8" s="50" t="s">
        <v>287</v>
      </c>
      <c r="E8" s="50">
        <v>28.81</v>
      </c>
      <c r="F8" s="50">
        <f>AVERAGE(E8:E9)</f>
        <v>29.89</v>
      </c>
      <c r="G8" s="50" t="s">
        <v>288</v>
      </c>
      <c r="H8" s="50" t="s">
        <v>564</v>
      </c>
      <c r="I8" s="50" t="s">
        <v>288</v>
      </c>
      <c r="J8" s="50" t="s">
        <v>288</v>
      </c>
      <c r="K8" s="50" t="s">
        <v>288</v>
      </c>
      <c r="L8" s="50" t="s">
        <v>294</v>
      </c>
      <c r="M8" s="50" t="s">
        <v>285</v>
      </c>
      <c r="N8" s="50" t="s">
        <v>286</v>
      </c>
      <c r="O8" s="50" t="s">
        <v>287</v>
      </c>
      <c r="P8" s="50">
        <v>28.81</v>
      </c>
      <c r="Q8" s="50" t="str">
        <f>L8&amp;"+"&amp;L9</f>
        <v>A07+A08</v>
      </c>
      <c r="R8" s="51">
        <f>AVERAGE(P8:P9)</f>
        <v>29.89</v>
      </c>
      <c r="T8" s="50" t="s">
        <v>662</v>
      </c>
      <c r="U8" s="50">
        <v>0</v>
      </c>
      <c r="W8" s="50" t="s">
        <v>699</v>
      </c>
      <c r="X8" s="50">
        <v>0</v>
      </c>
      <c r="Z8" s="50">
        <v>50</v>
      </c>
      <c r="AA8" s="50">
        <v>100</v>
      </c>
      <c r="AB8" s="50">
        <v>0</v>
      </c>
      <c r="AC8" s="51">
        <f>AVERAGE(AB9:AB13)</f>
        <v>28.806000000000001</v>
      </c>
      <c r="AD8" s="51">
        <f>STDEV(AB9:AB13)</f>
        <v>5.0313782902898501</v>
      </c>
      <c r="AE8" s="50">
        <v>100</v>
      </c>
      <c r="AF8" s="50">
        <v>50</v>
      </c>
      <c r="AG8" s="50" t="str">
        <f t="shared" si="0"/>
        <v>100_50</v>
      </c>
      <c r="AH8" s="50">
        <v>0</v>
      </c>
      <c r="AI8" s="51">
        <f>AVERAGE(AH9:AH13)</f>
        <v>29.352999999999998</v>
      </c>
      <c r="AJ8" s="50">
        <f>STDEV(AH9:AH13)</f>
        <v>5.1213555334501244</v>
      </c>
    </row>
    <row r="9" spans="1:36" x14ac:dyDescent="0.25">
      <c r="A9" s="50" t="s">
        <v>296</v>
      </c>
      <c r="B9" s="50" t="s">
        <v>285</v>
      </c>
      <c r="C9" s="50" t="s">
        <v>286</v>
      </c>
      <c r="D9" s="50" t="s">
        <v>287</v>
      </c>
      <c r="E9" s="50">
        <v>30.97</v>
      </c>
      <c r="F9" s="50" t="s">
        <v>288</v>
      </c>
      <c r="G9" s="50" t="s">
        <v>288</v>
      </c>
      <c r="H9" s="50" t="s">
        <v>565</v>
      </c>
      <c r="I9" s="50" t="s">
        <v>288</v>
      </c>
      <c r="J9" s="50" t="s">
        <v>288</v>
      </c>
      <c r="K9" s="50" t="s">
        <v>288</v>
      </c>
      <c r="L9" s="50" t="s">
        <v>296</v>
      </c>
      <c r="M9" s="50" t="s">
        <v>285</v>
      </c>
      <c r="N9" s="50" t="s">
        <v>286</v>
      </c>
      <c r="O9" s="50" t="s">
        <v>287</v>
      </c>
      <c r="P9" s="50">
        <v>30.97</v>
      </c>
      <c r="R9" s="51"/>
      <c r="T9" s="50" t="s">
        <v>663</v>
      </c>
      <c r="U9" s="50">
        <v>37.32</v>
      </c>
      <c r="W9" s="50" t="s">
        <v>700</v>
      </c>
      <c r="X9" s="50">
        <v>37.32</v>
      </c>
      <c r="Z9" s="50">
        <v>100</v>
      </c>
      <c r="AA9" s="50">
        <v>100</v>
      </c>
      <c r="AB9" s="50">
        <v>37.32</v>
      </c>
      <c r="AC9" s="51"/>
      <c r="AD9" s="51"/>
      <c r="AE9" s="50">
        <v>100</v>
      </c>
      <c r="AF9" s="50">
        <v>100</v>
      </c>
      <c r="AG9" s="50" t="str">
        <f t="shared" si="0"/>
        <v>100_100</v>
      </c>
      <c r="AH9" s="50">
        <v>37.32</v>
      </c>
      <c r="AI9" s="51"/>
    </row>
    <row r="10" spans="1:36" x14ac:dyDescent="0.25">
      <c r="A10" s="50" t="s">
        <v>298</v>
      </c>
      <c r="B10" s="50" t="s">
        <v>285</v>
      </c>
      <c r="C10" s="50" t="s">
        <v>286</v>
      </c>
      <c r="D10" s="50" t="s">
        <v>287</v>
      </c>
      <c r="E10" s="50">
        <v>28.8</v>
      </c>
      <c r="F10" s="50">
        <f>AVERAGE(E10:E11)</f>
        <v>29.825000000000003</v>
      </c>
      <c r="G10" s="50" t="s">
        <v>288</v>
      </c>
      <c r="H10" s="50" t="s">
        <v>566</v>
      </c>
      <c r="I10" s="50" t="s">
        <v>288</v>
      </c>
      <c r="J10" s="50" t="s">
        <v>288</v>
      </c>
      <c r="K10" s="50" t="s">
        <v>288</v>
      </c>
      <c r="L10" s="50" t="s">
        <v>298</v>
      </c>
      <c r="M10" s="50" t="s">
        <v>285</v>
      </c>
      <c r="N10" s="50" t="s">
        <v>286</v>
      </c>
      <c r="O10" s="50" t="s">
        <v>287</v>
      </c>
      <c r="P10" s="50">
        <v>28.8</v>
      </c>
      <c r="Q10" s="50" t="str">
        <f>L10&amp;"+"&amp;L11</f>
        <v>A09+A10</v>
      </c>
      <c r="R10" s="51">
        <f>AVERAGE(P10:P11)</f>
        <v>29.825000000000003</v>
      </c>
      <c r="T10" s="50" t="s">
        <v>664</v>
      </c>
      <c r="U10" s="50">
        <v>29.005000000000003</v>
      </c>
      <c r="W10" s="50" t="s">
        <v>701</v>
      </c>
      <c r="X10" s="50">
        <v>29.005000000000003</v>
      </c>
      <c r="Z10" s="50">
        <v>200</v>
      </c>
      <c r="AA10" s="50">
        <v>100</v>
      </c>
      <c r="AB10" s="50">
        <v>29.005000000000003</v>
      </c>
      <c r="AC10" s="51"/>
      <c r="AD10" s="51"/>
      <c r="AE10" s="50">
        <v>100</v>
      </c>
      <c r="AF10" s="50">
        <v>200</v>
      </c>
      <c r="AG10" s="50" t="str">
        <f t="shared" si="0"/>
        <v>100_200</v>
      </c>
      <c r="AH10" s="50">
        <v>31.25</v>
      </c>
      <c r="AI10" s="51"/>
    </row>
    <row r="11" spans="1:36" x14ac:dyDescent="0.25">
      <c r="A11" s="50" t="s">
        <v>300</v>
      </c>
      <c r="B11" s="50" t="s">
        <v>285</v>
      </c>
      <c r="C11" s="50" t="s">
        <v>286</v>
      </c>
      <c r="D11" s="50" t="s">
        <v>287</v>
      </c>
      <c r="E11" s="50">
        <v>30.85</v>
      </c>
      <c r="F11" s="50" t="s">
        <v>288</v>
      </c>
      <c r="G11" s="50" t="s">
        <v>288</v>
      </c>
      <c r="H11" s="50" t="s">
        <v>567</v>
      </c>
      <c r="I11" s="50" t="s">
        <v>288</v>
      </c>
      <c r="J11" s="50" t="s">
        <v>288</v>
      </c>
      <c r="K11" s="50" t="s">
        <v>288</v>
      </c>
      <c r="L11" s="50" t="s">
        <v>300</v>
      </c>
      <c r="M11" s="50" t="s">
        <v>285</v>
      </c>
      <c r="N11" s="50" t="s">
        <v>286</v>
      </c>
      <c r="O11" s="50" t="s">
        <v>287</v>
      </c>
      <c r="P11" s="50">
        <v>30.85</v>
      </c>
      <c r="R11" s="51"/>
      <c r="T11" s="50" t="s">
        <v>665</v>
      </c>
      <c r="U11" s="50">
        <v>26.965</v>
      </c>
      <c r="W11" s="50" t="s">
        <v>702</v>
      </c>
      <c r="X11" s="50">
        <v>26.965</v>
      </c>
      <c r="Z11" s="50">
        <v>400</v>
      </c>
      <c r="AA11" s="50">
        <v>100</v>
      </c>
      <c r="AB11" s="50">
        <v>26.965</v>
      </c>
      <c r="AC11" s="51"/>
      <c r="AD11" s="51"/>
      <c r="AE11" s="50">
        <v>100</v>
      </c>
      <c r="AF11" s="50">
        <v>400</v>
      </c>
      <c r="AG11" s="50" t="str">
        <f t="shared" si="0"/>
        <v>100_400</v>
      </c>
      <c r="AH11" s="50">
        <v>27.634999999999998</v>
      </c>
      <c r="AI11" s="51"/>
    </row>
    <row r="12" spans="1:36" x14ac:dyDescent="0.25">
      <c r="A12" s="50" t="s">
        <v>302</v>
      </c>
      <c r="B12" s="50" t="s">
        <v>285</v>
      </c>
      <c r="C12" s="50" t="s">
        <v>286</v>
      </c>
      <c r="D12" s="50" t="s">
        <v>287</v>
      </c>
      <c r="E12" s="50">
        <v>29.64</v>
      </c>
      <c r="F12" s="50">
        <f>AVERAGE(E12:E13)</f>
        <v>29.82</v>
      </c>
      <c r="G12" s="50" t="s">
        <v>288</v>
      </c>
      <c r="H12" s="50" t="s">
        <v>568</v>
      </c>
      <c r="I12" s="50" t="s">
        <v>288</v>
      </c>
      <c r="J12" s="50" t="s">
        <v>288</v>
      </c>
      <c r="K12" s="50" t="s">
        <v>288</v>
      </c>
      <c r="L12" s="50" t="s">
        <v>302</v>
      </c>
      <c r="M12" s="50" t="s">
        <v>285</v>
      </c>
      <c r="N12" s="50" t="s">
        <v>286</v>
      </c>
      <c r="O12" s="50" t="s">
        <v>287</v>
      </c>
      <c r="P12" s="50">
        <v>29.64</v>
      </c>
      <c r="Q12" s="50" t="str">
        <f>L12&amp;"+"&amp;L13</f>
        <v>A11+A12</v>
      </c>
      <c r="R12" s="51">
        <f>AVERAGE(P12:P13)</f>
        <v>29.82</v>
      </c>
      <c r="T12" s="50" t="s">
        <v>666</v>
      </c>
      <c r="U12" s="50">
        <v>26.299999999999997</v>
      </c>
      <c r="W12" s="50" t="s">
        <v>703</v>
      </c>
      <c r="X12" s="50">
        <v>26.299999999999997</v>
      </c>
      <c r="Z12" s="50">
        <v>600</v>
      </c>
      <c r="AA12" s="50">
        <v>100</v>
      </c>
      <c r="AB12" s="50">
        <v>26.299999999999997</v>
      </c>
      <c r="AC12" s="51"/>
      <c r="AD12" s="51"/>
      <c r="AE12" s="50">
        <v>100</v>
      </c>
      <c r="AF12" s="50">
        <v>600</v>
      </c>
      <c r="AG12" s="50" t="str">
        <f t="shared" si="0"/>
        <v>100_600</v>
      </c>
      <c r="AH12" s="50">
        <v>26.204999999999998</v>
      </c>
      <c r="AI12" s="51"/>
    </row>
    <row r="13" spans="1:36" x14ac:dyDescent="0.25">
      <c r="A13" s="50" t="s">
        <v>303</v>
      </c>
      <c r="B13" s="50" t="s">
        <v>285</v>
      </c>
      <c r="C13" s="50" t="s">
        <v>286</v>
      </c>
      <c r="D13" s="50" t="s">
        <v>287</v>
      </c>
      <c r="E13" s="50">
        <v>30</v>
      </c>
      <c r="F13" s="50" t="s">
        <v>288</v>
      </c>
      <c r="G13" s="50" t="s">
        <v>288</v>
      </c>
      <c r="H13" s="50" t="s">
        <v>569</v>
      </c>
      <c r="I13" s="50" t="s">
        <v>288</v>
      </c>
      <c r="J13" s="50" t="s">
        <v>288</v>
      </c>
      <c r="K13" s="50" t="s">
        <v>288</v>
      </c>
      <c r="L13" s="50" t="s">
        <v>303</v>
      </c>
      <c r="M13" s="50" t="s">
        <v>285</v>
      </c>
      <c r="N13" s="50" t="s">
        <v>286</v>
      </c>
      <c r="O13" s="50" t="s">
        <v>287</v>
      </c>
      <c r="P13" s="50">
        <v>30</v>
      </c>
      <c r="R13" s="51"/>
      <c r="T13" s="50" t="s">
        <v>667</v>
      </c>
      <c r="U13" s="50">
        <v>24.439999999999998</v>
      </c>
      <c r="W13" s="50" t="s">
        <v>704</v>
      </c>
      <c r="X13" s="50">
        <v>24.439999999999998</v>
      </c>
      <c r="Z13" s="50">
        <v>800</v>
      </c>
      <c r="AA13" s="50">
        <v>100</v>
      </c>
      <c r="AB13" s="50">
        <v>24.439999999999998</v>
      </c>
      <c r="AC13" s="51"/>
      <c r="AD13" s="51"/>
      <c r="AE13" s="50">
        <v>100</v>
      </c>
      <c r="AF13" s="50">
        <v>800</v>
      </c>
      <c r="AG13" s="50" t="str">
        <f t="shared" si="0"/>
        <v>100_800</v>
      </c>
      <c r="AH13" s="50">
        <v>24.355</v>
      </c>
      <c r="AI13" s="51"/>
    </row>
    <row r="14" spans="1:36" x14ac:dyDescent="0.25">
      <c r="A14" s="50" t="s">
        <v>304</v>
      </c>
      <c r="B14" s="50" t="s">
        <v>285</v>
      </c>
      <c r="C14" s="50" t="s">
        <v>286</v>
      </c>
      <c r="D14" s="50" t="s">
        <v>287</v>
      </c>
      <c r="E14" s="50" t="s">
        <v>288</v>
      </c>
      <c r="F14" s="50" t="s">
        <v>288</v>
      </c>
      <c r="G14" s="50" t="s">
        <v>288</v>
      </c>
      <c r="H14" s="50" t="s">
        <v>288</v>
      </c>
      <c r="I14" s="50" t="s">
        <v>288</v>
      </c>
      <c r="J14" s="50" t="s">
        <v>288</v>
      </c>
      <c r="K14" s="50" t="s">
        <v>288</v>
      </c>
      <c r="L14" s="50" t="s">
        <v>304</v>
      </c>
      <c r="M14" s="50" t="s">
        <v>285</v>
      </c>
      <c r="N14" s="50" t="s">
        <v>286</v>
      </c>
      <c r="O14" s="50" t="s">
        <v>287</v>
      </c>
      <c r="P14" s="50" t="s">
        <v>288</v>
      </c>
      <c r="Q14" s="50" t="str">
        <f>L14&amp;"+"&amp;L15</f>
        <v>B01+B02</v>
      </c>
      <c r="R14" s="51"/>
      <c r="T14" s="50" t="s">
        <v>668</v>
      </c>
      <c r="U14" s="50">
        <v>36.31</v>
      </c>
      <c r="W14" s="50" t="s">
        <v>705</v>
      </c>
      <c r="X14" s="50">
        <v>36.31</v>
      </c>
      <c r="Z14" s="50">
        <v>50</v>
      </c>
      <c r="AA14" s="50">
        <v>200</v>
      </c>
      <c r="AB14" s="50">
        <v>36.31</v>
      </c>
      <c r="AC14" s="51">
        <f>AVERAGE(AB14:AB19)</f>
        <v>27.046666666666667</v>
      </c>
      <c r="AD14" s="51">
        <f>STDEV(AB14:AB19)</f>
        <v>5.5444076930423138</v>
      </c>
      <c r="AE14" s="50">
        <v>200</v>
      </c>
      <c r="AF14" s="50">
        <v>50</v>
      </c>
      <c r="AG14" s="50" t="str">
        <f t="shared" si="0"/>
        <v>200_50</v>
      </c>
      <c r="AH14" s="50">
        <v>32.72</v>
      </c>
      <c r="AI14" s="51">
        <f>AVERAGE(AH14:AH19)</f>
        <v>25.69916666666667</v>
      </c>
      <c r="AJ14" s="50">
        <f>STDEV(AH14:AH19)</f>
        <v>4.3216448450406499</v>
      </c>
    </row>
    <row r="15" spans="1:36" x14ac:dyDescent="0.25">
      <c r="A15" s="50" t="s">
        <v>305</v>
      </c>
      <c r="B15" s="50" t="s">
        <v>285</v>
      </c>
      <c r="C15" s="50" t="s">
        <v>286</v>
      </c>
      <c r="D15" s="50" t="s">
        <v>287</v>
      </c>
      <c r="E15" s="50" t="s">
        <v>288</v>
      </c>
      <c r="F15" s="50" t="s">
        <v>288</v>
      </c>
      <c r="G15" s="50" t="s">
        <v>288</v>
      </c>
      <c r="H15" s="50" t="s">
        <v>288</v>
      </c>
      <c r="I15" s="50" t="s">
        <v>288</v>
      </c>
      <c r="J15" s="50" t="s">
        <v>288</v>
      </c>
      <c r="K15" s="50" t="s">
        <v>288</v>
      </c>
      <c r="L15" s="50" t="s">
        <v>305</v>
      </c>
      <c r="M15" s="50" t="s">
        <v>285</v>
      </c>
      <c r="N15" s="50" t="s">
        <v>286</v>
      </c>
      <c r="O15" s="50" t="s">
        <v>287</v>
      </c>
      <c r="P15" s="50" t="s">
        <v>288</v>
      </c>
      <c r="R15" s="51"/>
      <c r="T15" s="50" t="s">
        <v>669</v>
      </c>
      <c r="U15" s="50">
        <v>31.25</v>
      </c>
      <c r="W15" s="50" t="s">
        <v>706</v>
      </c>
      <c r="X15" s="50">
        <v>31.25</v>
      </c>
      <c r="Z15" s="50">
        <v>100</v>
      </c>
      <c r="AA15" s="50">
        <v>200</v>
      </c>
      <c r="AB15" s="50">
        <v>31.25</v>
      </c>
      <c r="AC15" s="51"/>
      <c r="AD15" s="51"/>
      <c r="AE15" s="50">
        <v>200</v>
      </c>
      <c r="AF15" s="50">
        <v>100</v>
      </c>
      <c r="AG15" s="50" t="str">
        <f t="shared" si="0"/>
        <v>200_100</v>
      </c>
      <c r="AH15" s="50">
        <v>29.005000000000003</v>
      </c>
      <c r="AI15" s="51"/>
    </row>
    <row r="16" spans="1:36" x14ac:dyDescent="0.25">
      <c r="A16" s="50" t="s">
        <v>306</v>
      </c>
      <c r="B16" s="50" t="s">
        <v>285</v>
      </c>
      <c r="C16" s="50" t="s">
        <v>286</v>
      </c>
      <c r="D16" s="50" t="s">
        <v>287</v>
      </c>
      <c r="E16" s="50">
        <v>35.03</v>
      </c>
      <c r="F16" s="50" t="s">
        <v>288</v>
      </c>
      <c r="G16" s="50" t="s">
        <v>288</v>
      </c>
      <c r="H16" s="50" t="s">
        <v>570</v>
      </c>
      <c r="I16" s="50" t="s">
        <v>288</v>
      </c>
      <c r="J16" s="50" t="s">
        <v>288</v>
      </c>
      <c r="K16" s="50" t="s">
        <v>288</v>
      </c>
      <c r="L16" s="50" t="s">
        <v>306</v>
      </c>
      <c r="M16" s="50" t="s">
        <v>285</v>
      </c>
      <c r="N16" s="50" t="s">
        <v>286</v>
      </c>
      <c r="O16" s="50" t="s">
        <v>287</v>
      </c>
      <c r="P16" s="50">
        <v>35.03</v>
      </c>
      <c r="Q16" s="50" t="str">
        <f>L16&amp;"+"&amp;L17</f>
        <v>B03+B04</v>
      </c>
      <c r="R16" s="51">
        <f>AVERAGE(P16:P17)</f>
        <v>37.32</v>
      </c>
      <c r="T16" s="50" t="s">
        <v>670</v>
      </c>
      <c r="U16" s="50">
        <v>25.21</v>
      </c>
      <c r="W16" s="50" t="s">
        <v>707</v>
      </c>
      <c r="X16" s="50">
        <v>25.21</v>
      </c>
      <c r="Z16" s="50">
        <v>200</v>
      </c>
      <c r="AA16" s="50">
        <v>200</v>
      </c>
      <c r="AB16" s="50">
        <v>25.21</v>
      </c>
      <c r="AC16" s="51"/>
      <c r="AD16" s="51"/>
      <c r="AE16" s="50">
        <v>200</v>
      </c>
      <c r="AF16" s="50">
        <v>200</v>
      </c>
      <c r="AG16" s="50" t="str">
        <f t="shared" si="0"/>
        <v>200_200</v>
      </c>
      <c r="AH16" s="50">
        <v>25.21</v>
      </c>
      <c r="AI16" s="51"/>
    </row>
    <row r="17" spans="1:36" x14ac:dyDescent="0.25">
      <c r="A17" s="50" t="s">
        <v>307</v>
      </c>
      <c r="B17" s="50" t="s">
        <v>285</v>
      </c>
      <c r="C17" s="50" t="s">
        <v>286</v>
      </c>
      <c r="D17" s="50" t="s">
        <v>287</v>
      </c>
      <c r="E17" s="50">
        <v>39.61</v>
      </c>
      <c r="F17" s="50" t="s">
        <v>288</v>
      </c>
      <c r="G17" s="50" t="s">
        <v>288</v>
      </c>
      <c r="H17" s="50" t="s">
        <v>571</v>
      </c>
      <c r="I17" s="50" t="s">
        <v>288</v>
      </c>
      <c r="J17" s="50" t="s">
        <v>288</v>
      </c>
      <c r="K17" s="50" t="s">
        <v>288</v>
      </c>
      <c r="L17" s="50" t="s">
        <v>307</v>
      </c>
      <c r="M17" s="50" t="s">
        <v>285</v>
      </c>
      <c r="N17" s="50" t="s">
        <v>286</v>
      </c>
      <c r="O17" s="50" t="s">
        <v>287</v>
      </c>
      <c r="P17" s="50">
        <v>39.61</v>
      </c>
      <c r="R17" s="51"/>
      <c r="T17" s="50" t="s">
        <v>671</v>
      </c>
      <c r="U17" s="50">
        <v>24.255000000000003</v>
      </c>
      <c r="W17" s="50" t="s">
        <v>708</v>
      </c>
      <c r="X17" s="50">
        <v>24.255000000000003</v>
      </c>
      <c r="Z17" s="50">
        <v>400</v>
      </c>
      <c r="AA17" s="50">
        <v>200</v>
      </c>
      <c r="AB17" s="50">
        <v>24.255000000000003</v>
      </c>
      <c r="AC17" s="51"/>
      <c r="AD17" s="51"/>
      <c r="AE17" s="50">
        <v>200</v>
      </c>
      <c r="AF17" s="50">
        <v>400</v>
      </c>
      <c r="AG17" s="50" t="str">
        <f t="shared" si="0"/>
        <v>200_400</v>
      </c>
      <c r="AH17" s="50">
        <v>23.055</v>
      </c>
      <c r="AI17" s="51"/>
    </row>
    <row r="18" spans="1:36" x14ac:dyDescent="0.25">
      <c r="A18" s="50" t="s">
        <v>308</v>
      </c>
      <c r="B18" s="50" t="s">
        <v>285</v>
      </c>
      <c r="C18" s="50" t="s">
        <v>286</v>
      </c>
      <c r="D18" s="50" t="s">
        <v>287</v>
      </c>
      <c r="E18" s="50">
        <v>28.39</v>
      </c>
      <c r="F18" s="50" t="s">
        <v>288</v>
      </c>
      <c r="G18" s="50" t="s">
        <v>288</v>
      </c>
      <c r="H18" s="50" t="s">
        <v>572</v>
      </c>
      <c r="I18" s="50" t="s">
        <v>288</v>
      </c>
      <c r="J18" s="50" t="s">
        <v>288</v>
      </c>
      <c r="K18" s="50" t="s">
        <v>288</v>
      </c>
      <c r="L18" s="50" t="s">
        <v>308</v>
      </c>
      <c r="M18" s="50" t="s">
        <v>285</v>
      </c>
      <c r="N18" s="50" t="s">
        <v>286</v>
      </c>
      <c r="O18" s="50" t="s">
        <v>287</v>
      </c>
      <c r="P18" s="50">
        <v>28.39</v>
      </c>
      <c r="Q18" s="50" t="str">
        <f>L18&amp;"+"&amp;L19</f>
        <v>B05+B06</v>
      </c>
      <c r="R18" s="51">
        <f>AVERAGE(P18:P19)</f>
        <v>29.005000000000003</v>
      </c>
      <c r="T18" s="50" t="s">
        <v>672</v>
      </c>
      <c r="U18" s="50">
        <v>22.62</v>
      </c>
      <c r="W18" s="50" t="s">
        <v>709</v>
      </c>
      <c r="X18" s="50">
        <v>22.62</v>
      </c>
      <c r="Z18" s="50">
        <v>600</v>
      </c>
      <c r="AA18" s="50">
        <v>200</v>
      </c>
      <c r="AB18" s="50">
        <v>22.62</v>
      </c>
      <c r="AC18" s="51"/>
      <c r="AD18" s="51"/>
      <c r="AE18" s="50">
        <v>200</v>
      </c>
      <c r="AF18" s="50">
        <v>600</v>
      </c>
      <c r="AG18" s="50" t="str">
        <f t="shared" si="0"/>
        <v>200_600</v>
      </c>
      <c r="AH18" s="50">
        <v>21.93</v>
      </c>
      <c r="AI18" s="51"/>
    </row>
    <row r="19" spans="1:36" x14ac:dyDescent="0.25">
      <c r="A19" s="50" t="s">
        <v>310</v>
      </c>
      <c r="B19" s="50" t="s">
        <v>285</v>
      </c>
      <c r="C19" s="50" t="s">
        <v>286</v>
      </c>
      <c r="D19" s="50" t="s">
        <v>287</v>
      </c>
      <c r="E19" s="50">
        <v>29.62</v>
      </c>
      <c r="F19" s="50" t="s">
        <v>288</v>
      </c>
      <c r="G19" s="50" t="s">
        <v>288</v>
      </c>
      <c r="H19" s="50" t="s">
        <v>573</v>
      </c>
      <c r="I19" s="50" t="s">
        <v>288</v>
      </c>
      <c r="J19" s="50" t="s">
        <v>288</v>
      </c>
      <c r="K19" s="50" t="s">
        <v>288</v>
      </c>
      <c r="L19" s="50" t="s">
        <v>310</v>
      </c>
      <c r="M19" s="50" t="s">
        <v>285</v>
      </c>
      <c r="N19" s="50" t="s">
        <v>286</v>
      </c>
      <c r="O19" s="50" t="s">
        <v>287</v>
      </c>
      <c r="P19" s="50">
        <v>29.62</v>
      </c>
      <c r="R19" s="51"/>
      <c r="T19" s="50" t="s">
        <v>673</v>
      </c>
      <c r="U19" s="50">
        <v>22.634999999999998</v>
      </c>
      <c r="W19" s="50" t="s">
        <v>710</v>
      </c>
      <c r="X19" s="50">
        <v>22.634999999999998</v>
      </c>
      <c r="Z19" s="50">
        <v>800</v>
      </c>
      <c r="AA19" s="50">
        <v>200</v>
      </c>
      <c r="AB19" s="50">
        <v>22.634999999999998</v>
      </c>
      <c r="AC19" s="51"/>
      <c r="AD19" s="51"/>
      <c r="AE19" s="50">
        <v>200</v>
      </c>
      <c r="AF19" s="50">
        <v>800</v>
      </c>
      <c r="AG19" s="50" t="str">
        <f t="shared" si="0"/>
        <v>200_800</v>
      </c>
      <c r="AH19" s="50">
        <v>22.274999999999999</v>
      </c>
      <c r="AI19" s="51"/>
    </row>
    <row r="20" spans="1:36" x14ac:dyDescent="0.25">
      <c r="A20" s="50" t="s">
        <v>312</v>
      </c>
      <c r="B20" s="50" t="s">
        <v>285</v>
      </c>
      <c r="C20" s="50" t="s">
        <v>286</v>
      </c>
      <c r="D20" s="50" t="s">
        <v>287</v>
      </c>
      <c r="E20" s="50">
        <v>25.66</v>
      </c>
      <c r="F20" s="50" t="s">
        <v>288</v>
      </c>
      <c r="G20" s="50" t="s">
        <v>288</v>
      </c>
      <c r="H20" s="50" t="s">
        <v>574</v>
      </c>
      <c r="I20" s="50" t="s">
        <v>288</v>
      </c>
      <c r="J20" s="50" t="s">
        <v>288</v>
      </c>
      <c r="K20" s="50" t="s">
        <v>288</v>
      </c>
      <c r="L20" s="50" t="s">
        <v>312</v>
      </c>
      <c r="M20" s="50" t="s">
        <v>285</v>
      </c>
      <c r="N20" s="50" t="s">
        <v>286</v>
      </c>
      <c r="O20" s="50" t="s">
        <v>287</v>
      </c>
      <c r="P20" s="50">
        <v>25.66</v>
      </c>
      <c r="Q20" s="50" t="str">
        <f>L20&amp;"+"&amp;L21</f>
        <v>B07+B08</v>
      </c>
      <c r="R20" s="51">
        <f>AVERAGE(P20:P21)</f>
        <v>26.965</v>
      </c>
      <c r="T20" s="50" t="s">
        <v>674</v>
      </c>
      <c r="U20" s="50">
        <v>31.67</v>
      </c>
      <c r="W20" s="50" t="s">
        <v>711</v>
      </c>
      <c r="X20" s="50">
        <v>31.67</v>
      </c>
      <c r="Z20" s="50">
        <v>50</v>
      </c>
      <c r="AA20" s="50">
        <v>400</v>
      </c>
      <c r="AB20" s="50">
        <v>31.67</v>
      </c>
      <c r="AC20" s="51">
        <f>AVERAGE(AB20:AB25)</f>
        <v>24.286666666666665</v>
      </c>
      <c r="AD20" s="51">
        <f>STDEV(AB20:AB25)</f>
        <v>4.4136398433341428</v>
      </c>
      <c r="AE20" s="50">
        <v>400</v>
      </c>
      <c r="AF20" s="50">
        <v>50</v>
      </c>
      <c r="AG20" s="50" t="str">
        <f t="shared" si="0"/>
        <v>400_50</v>
      </c>
      <c r="AH20" s="50">
        <v>29.89</v>
      </c>
      <c r="AI20" s="51">
        <f>AVERAGE(AH20:AH25)</f>
        <v>23.913333333333338</v>
      </c>
      <c r="AJ20" s="50">
        <f>STDEV(AH20:AH25)</f>
        <v>3.9770085072408965</v>
      </c>
    </row>
    <row r="21" spans="1:36" x14ac:dyDescent="0.25">
      <c r="A21" s="50" t="s">
        <v>314</v>
      </c>
      <c r="B21" s="50" t="s">
        <v>285</v>
      </c>
      <c r="C21" s="50" t="s">
        <v>286</v>
      </c>
      <c r="D21" s="50" t="s">
        <v>287</v>
      </c>
      <c r="E21" s="50">
        <v>28.27</v>
      </c>
      <c r="F21" s="50" t="s">
        <v>288</v>
      </c>
      <c r="G21" s="50" t="s">
        <v>288</v>
      </c>
      <c r="H21" s="50" t="s">
        <v>575</v>
      </c>
      <c r="I21" s="50" t="s">
        <v>288</v>
      </c>
      <c r="J21" s="50" t="s">
        <v>288</v>
      </c>
      <c r="K21" s="50" t="s">
        <v>288</v>
      </c>
      <c r="L21" s="50" t="s">
        <v>314</v>
      </c>
      <c r="M21" s="50" t="s">
        <v>285</v>
      </c>
      <c r="N21" s="50" t="s">
        <v>286</v>
      </c>
      <c r="O21" s="50" t="s">
        <v>287</v>
      </c>
      <c r="P21" s="50">
        <v>28.27</v>
      </c>
      <c r="R21" s="51"/>
      <c r="T21" s="50" t="s">
        <v>675</v>
      </c>
      <c r="U21" s="50">
        <v>27.634999999999998</v>
      </c>
      <c r="W21" s="50" t="s">
        <v>712</v>
      </c>
      <c r="X21" s="50">
        <v>27.634999999999998</v>
      </c>
      <c r="Z21" s="50">
        <v>100</v>
      </c>
      <c r="AA21" s="50">
        <v>400</v>
      </c>
      <c r="AB21" s="50">
        <v>27.634999999999998</v>
      </c>
      <c r="AC21" s="51"/>
      <c r="AD21" s="51"/>
      <c r="AE21" s="50">
        <v>400</v>
      </c>
      <c r="AF21" s="50">
        <v>100</v>
      </c>
      <c r="AG21" s="50" t="str">
        <f t="shared" si="0"/>
        <v>400_100</v>
      </c>
      <c r="AH21" s="50">
        <v>26.965</v>
      </c>
      <c r="AI21" s="51"/>
    </row>
    <row r="22" spans="1:36" x14ac:dyDescent="0.25">
      <c r="A22" s="50" t="s">
        <v>316</v>
      </c>
      <c r="B22" s="50" t="s">
        <v>285</v>
      </c>
      <c r="C22" s="50" t="s">
        <v>286</v>
      </c>
      <c r="D22" s="50" t="s">
        <v>287</v>
      </c>
      <c r="E22" s="50">
        <v>26.63</v>
      </c>
      <c r="F22" s="50" t="s">
        <v>288</v>
      </c>
      <c r="G22" s="50" t="s">
        <v>288</v>
      </c>
      <c r="H22" s="50" t="s">
        <v>576</v>
      </c>
      <c r="I22" s="50" t="s">
        <v>288</v>
      </c>
      <c r="J22" s="50" t="s">
        <v>288</v>
      </c>
      <c r="K22" s="50" t="s">
        <v>288</v>
      </c>
      <c r="L22" s="50" t="s">
        <v>316</v>
      </c>
      <c r="M22" s="50" t="s">
        <v>285</v>
      </c>
      <c r="N22" s="50" t="s">
        <v>286</v>
      </c>
      <c r="O22" s="50" t="s">
        <v>287</v>
      </c>
      <c r="P22" s="50">
        <v>26.63</v>
      </c>
      <c r="Q22" s="50" t="str">
        <f>L22&amp;"+"&amp;L23</f>
        <v>B09+B10</v>
      </c>
      <c r="R22" s="51">
        <f>AVERAGE(P22:P23)</f>
        <v>26.299999999999997</v>
      </c>
      <c r="T22" s="50" t="s">
        <v>676</v>
      </c>
      <c r="U22" s="50">
        <v>23.055</v>
      </c>
      <c r="W22" s="50" t="s">
        <v>713</v>
      </c>
      <c r="X22" s="50">
        <v>23.055</v>
      </c>
      <c r="Z22" s="50">
        <v>200</v>
      </c>
      <c r="AA22" s="50">
        <v>400</v>
      </c>
      <c r="AB22" s="50">
        <v>23.055</v>
      </c>
      <c r="AC22" s="51"/>
      <c r="AD22" s="51"/>
      <c r="AE22" s="50">
        <v>400</v>
      </c>
      <c r="AF22" s="50">
        <v>200</v>
      </c>
      <c r="AG22" s="50" t="str">
        <f t="shared" si="0"/>
        <v>400_200</v>
      </c>
      <c r="AH22" s="50">
        <v>24.255000000000003</v>
      </c>
      <c r="AI22" s="51"/>
    </row>
    <row r="23" spans="1:36" x14ac:dyDescent="0.25">
      <c r="A23" s="50" t="s">
        <v>318</v>
      </c>
      <c r="B23" s="50" t="s">
        <v>285</v>
      </c>
      <c r="C23" s="50" t="s">
        <v>286</v>
      </c>
      <c r="D23" s="50" t="s">
        <v>287</v>
      </c>
      <c r="E23" s="50">
        <v>25.97</v>
      </c>
      <c r="F23" s="50" t="s">
        <v>288</v>
      </c>
      <c r="G23" s="50" t="s">
        <v>288</v>
      </c>
      <c r="H23" s="50" t="s">
        <v>577</v>
      </c>
      <c r="I23" s="50" t="s">
        <v>288</v>
      </c>
      <c r="J23" s="50" t="s">
        <v>288</v>
      </c>
      <c r="K23" s="50" t="s">
        <v>288</v>
      </c>
      <c r="L23" s="50" t="s">
        <v>318</v>
      </c>
      <c r="M23" s="50" t="s">
        <v>285</v>
      </c>
      <c r="N23" s="50" t="s">
        <v>286</v>
      </c>
      <c r="O23" s="50" t="s">
        <v>287</v>
      </c>
      <c r="P23" s="50">
        <v>25.97</v>
      </c>
      <c r="R23" s="51"/>
      <c r="T23" s="50" t="s">
        <v>677</v>
      </c>
      <c r="U23" s="50">
        <v>21.270000000000003</v>
      </c>
      <c r="W23" s="50" t="s">
        <v>714</v>
      </c>
      <c r="X23" s="50">
        <v>21.270000000000003</v>
      </c>
      <c r="Z23" s="50">
        <v>400</v>
      </c>
      <c r="AA23" s="50">
        <v>400</v>
      </c>
      <c r="AB23" s="50">
        <v>21.270000000000003</v>
      </c>
      <c r="AC23" s="51"/>
      <c r="AD23" s="51"/>
      <c r="AE23" s="50">
        <v>400</v>
      </c>
      <c r="AF23" s="50">
        <v>400</v>
      </c>
      <c r="AG23" s="50" t="str">
        <f t="shared" si="0"/>
        <v>400_400</v>
      </c>
      <c r="AH23" s="50">
        <v>21.270000000000003</v>
      </c>
      <c r="AI23" s="51"/>
    </row>
    <row r="24" spans="1:36" x14ac:dyDescent="0.25">
      <c r="A24" s="50" t="s">
        <v>320</v>
      </c>
      <c r="B24" s="50" t="s">
        <v>285</v>
      </c>
      <c r="C24" s="50" t="s">
        <v>286</v>
      </c>
      <c r="D24" s="50" t="s">
        <v>287</v>
      </c>
      <c r="E24" s="50">
        <v>24.65</v>
      </c>
      <c r="F24" s="50" t="s">
        <v>288</v>
      </c>
      <c r="G24" s="50" t="s">
        <v>288</v>
      </c>
      <c r="H24" s="50" t="s">
        <v>578</v>
      </c>
      <c r="I24" s="50" t="s">
        <v>288</v>
      </c>
      <c r="J24" s="50" t="s">
        <v>288</v>
      </c>
      <c r="K24" s="50" t="s">
        <v>288</v>
      </c>
      <c r="L24" s="50" t="s">
        <v>320</v>
      </c>
      <c r="M24" s="50" t="s">
        <v>285</v>
      </c>
      <c r="N24" s="50" t="s">
        <v>286</v>
      </c>
      <c r="O24" s="50" t="s">
        <v>287</v>
      </c>
      <c r="P24" s="50">
        <v>24.65</v>
      </c>
      <c r="Q24" s="50" t="str">
        <f>L24&amp;"+"&amp;L25</f>
        <v>B11+B12</v>
      </c>
      <c r="R24" s="51">
        <f>AVERAGE(P24:P25)</f>
        <v>24.439999999999998</v>
      </c>
      <c r="T24" s="50" t="s">
        <v>678</v>
      </c>
      <c r="U24" s="50">
        <v>21.189999999999998</v>
      </c>
      <c r="W24" s="50" t="s">
        <v>715</v>
      </c>
      <c r="X24" s="50">
        <v>21.189999999999998</v>
      </c>
      <c r="Z24" s="50">
        <v>600</v>
      </c>
      <c r="AA24" s="50">
        <v>400</v>
      </c>
      <c r="AB24" s="50">
        <v>21.189999999999998</v>
      </c>
      <c r="AC24" s="51"/>
      <c r="AD24" s="51"/>
      <c r="AE24" s="50">
        <v>400</v>
      </c>
      <c r="AF24" s="50">
        <v>600</v>
      </c>
      <c r="AG24" s="50" t="str">
        <f t="shared" si="0"/>
        <v>400_600</v>
      </c>
      <c r="AH24" s="50">
        <v>22.020000000000003</v>
      </c>
      <c r="AI24" s="51"/>
    </row>
    <row r="25" spans="1:36" x14ac:dyDescent="0.25">
      <c r="A25" s="50" t="s">
        <v>321</v>
      </c>
      <c r="B25" s="50" t="s">
        <v>285</v>
      </c>
      <c r="C25" s="50" t="s">
        <v>286</v>
      </c>
      <c r="D25" s="50" t="s">
        <v>287</v>
      </c>
      <c r="E25" s="50">
        <v>24.23</v>
      </c>
      <c r="F25" s="50" t="s">
        <v>288</v>
      </c>
      <c r="G25" s="50" t="s">
        <v>288</v>
      </c>
      <c r="H25" s="50" t="s">
        <v>579</v>
      </c>
      <c r="I25" s="50" t="s">
        <v>288</v>
      </c>
      <c r="J25" s="50" t="s">
        <v>288</v>
      </c>
      <c r="K25" s="50" t="s">
        <v>288</v>
      </c>
      <c r="L25" s="50" t="s">
        <v>321</v>
      </c>
      <c r="M25" s="50" t="s">
        <v>285</v>
      </c>
      <c r="N25" s="50" t="s">
        <v>286</v>
      </c>
      <c r="O25" s="50" t="s">
        <v>287</v>
      </c>
      <c r="P25" s="50">
        <v>24.23</v>
      </c>
      <c r="R25" s="51"/>
      <c r="T25" s="50" t="s">
        <v>679</v>
      </c>
      <c r="U25" s="50">
        <v>20.9</v>
      </c>
      <c r="W25" s="50" t="s">
        <v>716</v>
      </c>
      <c r="X25" s="50">
        <v>20.9</v>
      </c>
      <c r="Z25" s="50">
        <v>800</v>
      </c>
      <c r="AA25" s="50">
        <v>400</v>
      </c>
      <c r="AB25" s="50">
        <v>20.9</v>
      </c>
      <c r="AC25" s="51"/>
      <c r="AD25" s="51"/>
      <c r="AE25" s="50">
        <v>400</v>
      </c>
      <c r="AF25" s="50">
        <v>800</v>
      </c>
      <c r="AG25" s="50" t="str">
        <f t="shared" si="0"/>
        <v>400_800</v>
      </c>
      <c r="AH25" s="50">
        <v>19.079999999999998</v>
      </c>
      <c r="AI25" s="51"/>
    </row>
    <row r="26" spans="1:36" x14ac:dyDescent="0.25">
      <c r="A26" s="50" t="s">
        <v>322</v>
      </c>
      <c r="B26" s="50" t="s">
        <v>285</v>
      </c>
      <c r="C26" s="50" t="s">
        <v>286</v>
      </c>
      <c r="D26" s="50" t="s">
        <v>287</v>
      </c>
      <c r="E26" s="50">
        <v>34.380000000000003</v>
      </c>
      <c r="F26" s="50" t="s">
        <v>288</v>
      </c>
      <c r="G26" s="50" t="s">
        <v>288</v>
      </c>
      <c r="H26" s="50" t="s">
        <v>580</v>
      </c>
      <c r="I26" s="50" t="s">
        <v>288</v>
      </c>
      <c r="J26" s="50" t="s">
        <v>288</v>
      </c>
      <c r="K26" s="50" t="s">
        <v>288</v>
      </c>
      <c r="L26" s="50" t="s">
        <v>322</v>
      </c>
      <c r="M26" s="50" t="s">
        <v>285</v>
      </c>
      <c r="N26" s="50" t="s">
        <v>286</v>
      </c>
      <c r="O26" s="50" t="s">
        <v>287</v>
      </c>
      <c r="P26" s="50">
        <v>34.380000000000003</v>
      </c>
      <c r="Q26" s="50" t="str">
        <f>L26&amp;"+"&amp;L27</f>
        <v>C01+C02</v>
      </c>
      <c r="R26" s="51">
        <f>AVERAGE(P26:P27)</f>
        <v>36.31</v>
      </c>
      <c r="T26" s="50" t="s">
        <v>680</v>
      </c>
      <c r="U26" s="50">
        <v>32.795000000000002</v>
      </c>
      <c r="W26" s="50" t="s">
        <v>717</v>
      </c>
      <c r="X26" s="50">
        <v>32.795000000000002</v>
      </c>
      <c r="Z26" s="50">
        <v>50</v>
      </c>
      <c r="AA26" s="50">
        <v>600</v>
      </c>
      <c r="AB26" s="50">
        <v>32.795000000000002</v>
      </c>
      <c r="AC26" s="51">
        <f>AVERAGE(AB26:AB31)</f>
        <v>23.959166666666665</v>
      </c>
      <c r="AD26" s="51">
        <f>STDEV(AB26:AB32)</f>
        <v>5.6679352921668533</v>
      </c>
      <c r="AE26" s="50">
        <v>600</v>
      </c>
      <c r="AF26" s="50">
        <v>50</v>
      </c>
      <c r="AG26" s="50" t="str">
        <f t="shared" si="0"/>
        <v>600_50</v>
      </c>
      <c r="AH26" s="50">
        <v>29.825000000000003</v>
      </c>
      <c r="AI26" s="51">
        <f>AVERAGE(AH26:AH31)</f>
        <v>23.194999999999997</v>
      </c>
      <c r="AJ26" s="50">
        <f>STDEV(AH26:AH31)</f>
        <v>4.1056960433037624</v>
      </c>
    </row>
    <row r="27" spans="1:36" x14ac:dyDescent="0.25">
      <c r="A27" s="50" t="s">
        <v>323</v>
      </c>
      <c r="B27" s="50" t="s">
        <v>285</v>
      </c>
      <c r="C27" s="50" t="s">
        <v>286</v>
      </c>
      <c r="D27" s="50" t="s">
        <v>287</v>
      </c>
      <c r="E27" s="50">
        <v>38.24</v>
      </c>
      <c r="F27" s="50" t="s">
        <v>288</v>
      </c>
      <c r="G27" s="50" t="s">
        <v>288</v>
      </c>
      <c r="H27" s="50" t="s">
        <v>581</v>
      </c>
      <c r="I27" s="50" t="s">
        <v>288</v>
      </c>
      <c r="J27" s="50" t="s">
        <v>288</v>
      </c>
      <c r="K27" s="50" t="s">
        <v>288</v>
      </c>
      <c r="L27" s="50" t="s">
        <v>323</v>
      </c>
      <c r="M27" s="50" t="s">
        <v>285</v>
      </c>
      <c r="N27" s="50" t="s">
        <v>286</v>
      </c>
      <c r="O27" s="50" t="s">
        <v>287</v>
      </c>
      <c r="P27" s="50">
        <v>38.24</v>
      </c>
      <c r="R27" s="51"/>
      <c r="T27" s="50" t="s">
        <v>681</v>
      </c>
      <c r="U27" s="50">
        <v>26.204999999999998</v>
      </c>
      <c r="W27" s="50" t="s">
        <v>718</v>
      </c>
      <c r="X27" s="50">
        <v>26.204999999999998</v>
      </c>
      <c r="Z27" s="50">
        <v>100</v>
      </c>
      <c r="AA27" s="50">
        <v>600</v>
      </c>
      <c r="AB27" s="50">
        <v>26.204999999999998</v>
      </c>
      <c r="AC27" s="51"/>
      <c r="AD27" s="51"/>
      <c r="AE27" s="50">
        <v>600</v>
      </c>
      <c r="AF27" s="50">
        <v>100</v>
      </c>
      <c r="AG27" s="50" t="str">
        <f t="shared" si="0"/>
        <v>600_100</v>
      </c>
      <c r="AH27" s="50">
        <v>26.299999999999997</v>
      </c>
      <c r="AI27" s="51"/>
    </row>
    <row r="28" spans="1:36" x14ac:dyDescent="0.25">
      <c r="A28" s="50" t="s">
        <v>324</v>
      </c>
      <c r="B28" s="50" t="s">
        <v>285</v>
      </c>
      <c r="C28" s="50" t="s">
        <v>286</v>
      </c>
      <c r="D28" s="50" t="s">
        <v>287</v>
      </c>
      <c r="E28" s="50">
        <v>28.98</v>
      </c>
      <c r="F28" s="50" t="s">
        <v>288</v>
      </c>
      <c r="G28" s="50" t="s">
        <v>288</v>
      </c>
      <c r="H28" s="50" t="s">
        <v>435</v>
      </c>
      <c r="I28" s="50" t="s">
        <v>288</v>
      </c>
      <c r="J28" s="50" t="s">
        <v>288</v>
      </c>
      <c r="K28" s="50" t="s">
        <v>288</v>
      </c>
      <c r="L28" s="50" t="s">
        <v>324</v>
      </c>
      <c r="M28" s="50" t="s">
        <v>285</v>
      </c>
      <c r="N28" s="50" t="s">
        <v>286</v>
      </c>
      <c r="O28" s="50" t="s">
        <v>287</v>
      </c>
      <c r="P28" s="50">
        <v>28.98</v>
      </c>
      <c r="Q28" s="50" t="str">
        <f>L28&amp;"+"&amp;L29</f>
        <v>C03+C04</v>
      </c>
      <c r="R28" s="51">
        <f>AVERAGE(P28:P29)</f>
        <v>31.25</v>
      </c>
      <c r="T28" s="50" t="s">
        <v>682</v>
      </c>
      <c r="U28" s="50">
        <v>21.93</v>
      </c>
      <c r="W28" s="50" t="s">
        <v>719</v>
      </c>
      <c r="X28" s="50">
        <v>21.93</v>
      </c>
      <c r="Z28" s="50">
        <v>200</v>
      </c>
      <c r="AA28" s="50">
        <v>600</v>
      </c>
      <c r="AB28" s="50">
        <v>21.93</v>
      </c>
      <c r="AC28" s="51"/>
      <c r="AD28" s="51"/>
      <c r="AE28" s="50">
        <v>600</v>
      </c>
      <c r="AF28" s="50">
        <v>200</v>
      </c>
      <c r="AG28" s="50" t="str">
        <f t="shared" si="0"/>
        <v>600_200</v>
      </c>
      <c r="AH28" s="50">
        <v>22.62</v>
      </c>
      <c r="AI28" s="51"/>
    </row>
    <row r="29" spans="1:36" x14ac:dyDescent="0.25">
      <c r="A29" s="50" t="s">
        <v>326</v>
      </c>
      <c r="B29" s="50" t="s">
        <v>285</v>
      </c>
      <c r="C29" s="50" t="s">
        <v>286</v>
      </c>
      <c r="D29" s="50" t="s">
        <v>287</v>
      </c>
      <c r="E29" s="50">
        <v>33.520000000000003</v>
      </c>
      <c r="F29" s="50" t="s">
        <v>288</v>
      </c>
      <c r="G29" s="50" t="s">
        <v>288</v>
      </c>
      <c r="H29" s="50" t="s">
        <v>582</v>
      </c>
      <c r="I29" s="50" t="s">
        <v>288</v>
      </c>
      <c r="J29" s="50" t="s">
        <v>288</v>
      </c>
      <c r="K29" s="50" t="s">
        <v>288</v>
      </c>
      <c r="L29" s="50" t="s">
        <v>326</v>
      </c>
      <c r="M29" s="50" t="s">
        <v>285</v>
      </c>
      <c r="N29" s="50" t="s">
        <v>286</v>
      </c>
      <c r="O29" s="50" t="s">
        <v>287</v>
      </c>
      <c r="P29" s="50">
        <v>33.520000000000003</v>
      </c>
      <c r="R29" s="51"/>
      <c r="T29" s="50" t="s">
        <v>683</v>
      </c>
      <c r="U29" s="50">
        <v>22.020000000000003</v>
      </c>
      <c r="W29" s="50" t="s">
        <v>720</v>
      </c>
      <c r="X29" s="50">
        <v>22.020000000000003</v>
      </c>
      <c r="Z29" s="50">
        <v>400</v>
      </c>
      <c r="AA29" s="50">
        <v>600</v>
      </c>
      <c r="AB29" s="50">
        <v>22.020000000000003</v>
      </c>
      <c r="AC29" s="51"/>
      <c r="AD29" s="51"/>
      <c r="AE29" s="50">
        <v>600</v>
      </c>
      <c r="AF29" s="50">
        <v>400</v>
      </c>
      <c r="AG29" s="50" t="str">
        <f t="shared" si="0"/>
        <v>600_400</v>
      </c>
      <c r="AH29" s="50">
        <v>21.189999999999998</v>
      </c>
      <c r="AI29" s="51"/>
    </row>
    <row r="30" spans="1:36" x14ac:dyDescent="0.25">
      <c r="A30" s="50" t="s">
        <v>327</v>
      </c>
      <c r="B30" s="50" t="s">
        <v>285</v>
      </c>
      <c r="C30" s="50" t="s">
        <v>286</v>
      </c>
      <c r="D30" s="50" t="s">
        <v>287</v>
      </c>
      <c r="E30" s="50">
        <v>24.57</v>
      </c>
      <c r="F30" s="50" t="s">
        <v>288</v>
      </c>
      <c r="G30" s="50" t="s">
        <v>288</v>
      </c>
      <c r="H30" s="50" t="s">
        <v>583</v>
      </c>
      <c r="I30" s="50" t="s">
        <v>288</v>
      </c>
      <c r="J30" s="50" t="s">
        <v>288</v>
      </c>
      <c r="K30" s="50" t="s">
        <v>288</v>
      </c>
      <c r="L30" s="50" t="s">
        <v>327</v>
      </c>
      <c r="M30" s="50" t="s">
        <v>285</v>
      </c>
      <c r="N30" s="50" t="s">
        <v>286</v>
      </c>
      <c r="O30" s="50" t="s">
        <v>287</v>
      </c>
      <c r="P30" s="50">
        <v>24.57</v>
      </c>
      <c r="Q30" s="50" t="str">
        <f>L30&amp;"+"&amp;L31</f>
        <v>C05+C06</v>
      </c>
      <c r="R30" s="51">
        <f>AVERAGE(P30:P31)</f>
        <v>25.21</v>
      </c>
      <c r="T30" s="50" t="s">
        <v>684</v>
      </c>
      <c r="U30" s="50">
        <v>20.225000000000001</v>
      </c>
      <c r="W30" s="50" t="s">
        <v>715</v>
      </c>
      <c r="X30" s="50">
        <v>20.225000000000001</v>
      </c>
      <c r="Z30" s="50">
        <v>600</v>
      </c>
      <c r="AA30" s="50">
        <v>600</v>
      </c>
      <c r="AB30" s="50">
        <v>20.225000000000001</v>
      </c>
      <c r="AC30" s="51"/>
      <c r="AD30" s="51"/>
      <c r="AE30" s="50">
        <v>600</v>
      </c>
      <c r="AF30" s="50">
        <v>600</v>
      </c>
      <c r="AG30" s="50" t="str">
        <f t="shared" si="0"/>
        <v>600_600</v>
      </c>
      <c r="AH30" s="50">
        <v>20.225000000000001</v>
      </c>
      <c r="AI30" s="51"/>
    </row>
    <row r="31" spans="1:36" x14ac:dyDescent="0.25">
      <c r="A31" s="50" t="s">
        <v>329</v>
      </c>
      <c r="B31" s="50" t="s">
        <v>285</v>
      </c>
      <c r="C31" s="50" t="s">
        <v>286</v>
      </c>
      <c r="D31" s="50" t="s">
        <v>287</v>
      </c>
      <c r="E31" s="50">
        <v>25.85</v>
      </c>
      <c r="F31" s="50" t="s">
        <v>288</v>
      </c>
      <c r="G31" s="50" t="s">
        <v>288</v>
      </c>
      <c r="H31" s="50" t="s">
        <v>584</v>
      </c>
      <c r="I31" s="50" t="s">
        <v>288</v>
      </c>
      <c r="J31" s="50" t="s">
        <v>288</v>
      </c>
      <c r="K31" s="50" t="s">
        <v>288</v>
      </c>
      <c r="L31" s="50" t="s">
        <v>329</v>
      </c>
      <c r="M31" s="50" t="s">
        <v>285</v>
      </c>
      <c r="N31" s="50" t="s">
        <v>286</v>
      </c>
      <c r="O31" s="50" t="s">
        <v>287</v>
      </c>
      <c r="P31" s="50">
        <v>25.85</v>
      </c>
      <c r="R31" s="51"/>
      <c r="T31" s="50" t="s">
        <v>685</v>
      </c>
      <c r="U31" s="50">
        <v>20.58</v>
      </c>
      <c r="W31" s="50" t="s">
        <v>716</v>
      </c>
      <c r="X31" s="50">
        <v>20.58</v>
      </c>
      <c r="Z31" s="50">
        <v>800</v>
      </c>
      <c r="AA31" s="50">
        <v>600</v>
      </c>
      <c r="AB31" s="50">
        <v>20.58</v>
      </c>
      <c r="AC31" s="51"/>
      <c r="AD31" s="51"/>
      <c r="AE31" s="50">
        <v>600</v>
      </c>
      <c r="AF31" s="50">
        <v>800</v>
      </c>
      <c r="AG31" s="50" t="str">
        <f t="shared" si="0"/>
        <v>600_800</v>
      </c>
      <c r="AH31" s="50">
        <v>19.009999999999998</v>
      </c>
      <c r="AI31" s="51"/>
    </row>
    <row r="32" spans="1:36" x14ac:dyDescent="0.25">
      <c r="A32" s="50" t="s">
        <v>331</v>
      </c>
      <c r="B32" s="50" t="s">
        <v>285</v>
      </c>
      <c r="C32" s="50" t="s">
        <v>286</v>
      </c>
      <c r="D32" s="50" t="s">
        <v>287</v>
      </c>
      <c r="E32" s="50">
        <v>22.53</v>
      </c>
      <c r="F32" s="50" t="s">
        <v>288</v>
      </c>
      <c r="G32" s="50" t="s">
        <v>288</v>
      </c>
      <c r="H32" s="50" t="s">
        <v>585</v>
      </c>
      <c r="I32" s="50" t="s">
        <v>288</v>
      </c>
      <c r="J32" s="50" t="s">
        <v>288</v>
      </c>
      <c r="K32" s="50" t="s">
        <v>288</v>
      </c>
      <c r="L32" s="50" t="s">
        <v>331</v>
      </c>
      <c r="M32" s="50" t="s">
        <v>285</v>
      </c>
      <c r="N32" s="50" t="s">
        <v>286</v>
      </c>
      <c r="O32" s="50" t="s">
        <v>287</v>
      </c>
      <c r="P32" s="50">
        <v>22.53</v>
      </c>
      <c r="Q32" s="50" t="str">
        <f>L32&amp;"+"&amp;L33</f>
        <v>C07+C08</v>
      </c>
      <c r="R32" s="51">
        <f>AVERAGE(P32:P33)</f>
        <v>24.255000000000003</v>
      </c>
      <c r="T32" s="50" t="s">
        <v>686</v>
      </c>
      <c r="U32" s="50">
        <v>33.4</v>
      </c>
      <c r="W32" s="50" t="s">
        <v>721</v>
      </c>
      <c r="X32" s="50">
        <v>33.4</v>
      </c>
      <c r="Z32" s="50">
        <v>50</v>
      </c>
      <c r="AA32" s="50">
        <v>800</v>
      </c>
      <c r="AB32" s="50">
        <v>33.4</v>
      </c>
      <c r="AC32" s="51">
        <f>AVERAGE(AB32:AB37)</f>
        <v>22.821666666666669</v>
      </c>
      <c r="AD32" s="51">
        <f>STDEV(AB32:AB37)</f>
        <v>5.6422235569557584</v>
      </c>
      <c r="AE32" s="50">
        <v>800</v>
      </c>
      <c r="AF32" s="50">
        <v>50</v>
      </c>
      <c r="AG32" s="50" t="str">
        <f t="shared" si="0"/>
        <v>800_50</v>
      </c>
      <c r="AH32" s="50">
        <v>29.82</v>
      </c>
      <c r="AI32" s="51">
        <f>AVERAGE(AH32:AH37)</f>
        <v>22.864166666666666</v>
      </c>
      <c r="AJ32" s="50">
        <f>STDEV(AH32:AH37)</f>
        <v>3.9097575585535402</v>
      </c>
    </row>
    <row r="33" spans="1:35" x14ac:dyDescent="0.25">
      <c r="A33" s="50" t="s">
        <v>333</v>
      </c>
      <c r="B33" s="50" t="s">
        <v>285</v>
      </c>
      <c r="C33" s="50" t="s">
        <v>286</v>
      </c>
      <c r="D33" s="50" t="s">
        <v>287</v>
      </c>
      <c r="E33" s="50">
        <v>25.98</v>
      </c>
      <c r="F33" s="50" t="s">
        <v>288</v>
      </c>
      <c r="G33" s="50" t="s">
        <v>288</v>
      </c>
      <c r="H33" s="50" t="s">
        <v>586</v>
      </c>
      <c r="I33" s="50" t="s">
        <v>288</v>
      </c>
      <c r="J33" s="50" t="s">
        <v>288</v>
      </c>
      <c r="K33" s="50" t="s">
        <v>288</v>
      </c>
      <c r="L33" s="50" t="s">
        <v>333</v>
      </c>
      <c r="M33" s="50" t="s">
        <v>285</v>
      </c>
      <c r="N33" s="50" t="s">
        <v>286</v>
      </c>
      <c r="O33" s="50" t="s">
        <v>287</v>
      </c>
      <c r="P33" s="50">
        <v>25.98</v>
      </c>
      <c r="R33" s="51"/>
      <c r="T33" s="50" t="s">
        <v>687</v>
      </c>
      <c r="U33" s="50">
        <v>24.355</v>
      </c>
      <c r="W33" s="50" t="s">
        <v>722</v>
      </c>
      <c r="X33" s="50">
        <v>24.355</v>
      </c>
      <c r="Z33" s="50">
        <v>100</v>
      </c>
      <c r="AA33" s="50">
        <v>800</v>
      </c>
      <c r="AB33" s="50">
        <v>24.355</v>
      </c>
      <c r="AC33" s="51"/>
      <c r="AD33" s="51"/>
      <c r="AE33" s="50">
        <v>800</v>
      </c>
      <c r="AF33" s="50">
        <v>100</v>
      </c>
      <c r="AG33" s="50" t="str">
        <f t="shared" si="0"/>
        <v>800_100</v>
      </c>
      <c r="AH33" s="50">
        <v>24.439999999999998</v>
      </c>
      <c r="AI33" s="51"/>
    </row>
    <row r="34" spans="1:35" x14ac:dyDescent="0.25">
      <c r="A34" s="50" t="s">
        <v>335</v>
      </c>
      <c r="B34" s="50" t="s">
        <v>285</v>
      </c>
      <c r="C34" s="50" t="s">
        <v>286</v>
      </c>
      <c r="D34" s="50" t="s">
        <v>287</v>
      </c>
      <c r="E34" s="50">
        <v>22.71</v>
      </c>
      <c r="F34" s="50" t="s">
        <v>288</v>
      </c>
      <c r="G34" s="50" t="s">
        <v>288</v>
      </c>
      <c r="H34" s="50" t="s">
        <v>587</v>
      </c>
      <c r="I34" s="50" t="s">
        <v>288</v>
      </c>
      <c r="J34" s="50" t="s">
        <v>288</v>
      </c>
      <c r="K34" s="50" t="s">
        <v>288</v>
      </c>
      <c r="L34" s="50" t="s">
        <v>335</v>
      </c>
      <c r="M34" s="50" t="s">
        <v>285</v>
      </c>
      <c r="N34" s="50" t="s">
        <v>286</v>
      </c>
      <c r="O34" s="50" t="s">
        <v>287</v>
      </c>
      <c r="P34" s="50">
        <v>22.71</v>
      </c>
      <c r="Q34" s="50" t="str">
        <f>L34&amp;"+"&amp;L35</f>
        <v>C09+C10</v>
      </c>
      <c r="R34" s="51">
        <f>AVERAGE(P34:P35)</f>
        <v>22.62</v>
      </c>
      <c r="T34" s="50" t="s">
        <v>688</v>
      </c>
      <c r="U34" s="50">
        <v>22.274999999999999</v>
      </c>
      <c r="W34" s="50" t="s">
        <v>723</v>
      </c>
      <c r="X34" s="50">
        <v>22.274999999999999</v>
      </c>
      <c r="Z34" s="50">
        <v>200</v>
      </c>
      <c r="AA34" s="50">
        <v>800</v>
      </c>
      <c r="AB34" s="50">
        <v>22.274999999999999</v>
      </c>
      <c r="AC34" s="51"/>
      <c r="AD34" s="51"/>
      <c r="AE34" s="50">
        <v>800</v>
      </c>
      <c r="AF34" s="50">
        <v>200</v>
      </c>
      <c r="AG34" s="50" t="str">
        <f t="shared" si="0"/>
        <v>800_200</v>
      </c>
      <c r="AH34" s="50">
        <v>22.634999999999998</v>
      </c>
      <c r="AI34" s="51"/>
    </row>
    <row r="35" spans="1:35" x14ac:dyDescent="0.25">
      <c r="A35" s="50" t="s">
        <v>337</v>
      </c>
      <c r="B35" s="50" t="s">
        <v>285</v>
      </c>
      <c r="C35" s="50" t="s">
        <v>286</v>
      </c>
      <c r="D35" s="50" t="s">
        <v>287</v>
      </c>
      <c r="E35" s="50">
        <v>22.53</v>
      </c>
      <c r="F35" s="50" t="s">
        <v>288</v>
      </c>
      <c r="G35" s="50" t="s">
        <v>288</v>
      </c>
      <c r="H35" s="50" t="s">
        <v>588</v>
      </c>
      <c r="I35" s="50" t="s">
        <v>288</v>
      </c>
      <c r="J35" s="50" t="s">
        <v>288</v>
      </c>
      <c r="K35" s="50" t="s">
        <v>288</v>
      </c>
      <c r="L35" s="50" t="s">
        <v>337</v>
      </c>
      <c r="M35" s="50" t="s">
        <v>285</v>
      </c>
      <c r="N35" s="50" t="s">
        <v>286</v>
      </c>
      <c r="O35" s="50" t="s">
        <v>287</v>
      </c>
      <c r="P35" s="50">
        <v>22.53</v>
      </c>
      <c r="R35" s="51"/>
      <c r="T35" s="50" t="s">
        <v>689</v>
      </c>
      <c r="U35" s="50">
        <v>19.079999999999998</v>
      </c>
      <c r="W35" s="50" t="s">
        <v>724</v>
      </c>
      <c r="X35" s="50">
        <v>19.079999999999998</v>
      </c>
      <c r="Z35" s="50">
        <v>400</v>
      </c>
      <c r="AA35" s="50">
        <v>800</v>
      </c>
      <c r="AB35" s="50">
        <v>19.079999999999998</v>
      </c>
      <c r="AC35" s="51"/>
      <c r="AD35" s="51"/>
      <c r="AE35" s="50">
        <v>800</v>
      </c>
      <c r="AF35" s="50">
        <v>400</v>
      </c>
      <c r="AG35" s="50" t="str">
        <f t="shared" si="0"/>
        <v>800_400</v>
      </c>
      <c r="AH35" s="50">
        <v>20.9</v>
      </c>
      <c r="AI35" s="51"/>
    </row>
    <row r="36" spans="1:35" x14ac:dyDescent="0.25">
      <c r="A36" s="50" t="s">
        <v>339</v>
      </c>
      <c r="B36" s="50" t="s">
        <v>285</v>
      </c>
      <c r="C36" s="50" t="s">
        <v>286</v>
      </c>
      <c r="D36" s="50" t="s">
        <v>287</v>
      </c>
      <c r="E36" s="50">
        <v>23.09</v>
      </c>
      <c r="F36" s="50" t="s">
        <v>288</v>
      </c>
      <c r="G36" s="50" t="s">
        <v>288</v>
      </c>
      <c r="H36" s="50" t="s">
        <v>524</v>
      </c>
      <c r="I36" s="50" t="s">
        <v>288</v>
      </c>
      <c r="J36" s="50" t="s">
        <v>288</v>
      </c>
      <c r="K36" s="50" t="s">
        <v>288</v>
      </c>
      <c r="L36" s="50" t="s">
        <v>339</v>
      </c>
      <c r="M36" s="50" t="s">
        <v>285</v>
      </c>
      <c r="N36" s="50" t="s">
        <v>286</v>
      </c>
      <c r="O36" s="50" t="s">
        <v>287</v>
      </c>
      <c r="P36" s="50">
        <v>23.09</v>
      </c>
      <c r="Q36" s="50" t="str">
        <f>L36&amp;"+"&amp;L37</f>
        <v>C11+C12</v>
      </c>
      <c r="R36" s="51">
        <f>AVERAGE(P36:P37)</f>
        <v>22.634999999999998</v>
      </c>
      <c r="T36" s="50" t="s">
        <v>690</v>
      </c>
      <c r="U36" s="50">
        <v>19.009999999999998</v>
      </c>
      <c r="W36" s="50" t="s">
        <v>725</v>
      </c>
      <c r="X36" s="50">
        <v>19.009999999999998</v>
      </c>
      <c r="Z36" s="50">
        <v>600</v>
      </c>
      <c r="AA36" s="50">
        <v>800</v>
      </c>
      <c r="AB36" s="50">
        <v>19.009999999999998</v>
      </c>
      <c r="AC36" s="51"/>
      <c r="AD36" s="51"/>
      <c r="AE36" s="50">
        <v>800</v>
      </c>
      <c r="AF36" s="50">
        <v>600</v>
      </c>
      <c r="AG36" s="50" t="str">
        <f t="shared" si="0"/>
        <v>800_600</v>
      </c>
      <c r="AH36" s="50">
        <v>20.58</v>
      </c>
      <c r="AI36" s="51"/>
    </row>
    <row r="37" spans="1:35" x14ac:dyDescent="0.25">
      <c r="A37" s="50" t="s">
        <v>340</v>
      </c>
      <c r="B37" s="50" t="s">
        <v>285</v>
      </c>
      <c r="C37" s="50" t="s">
        <v>286</v>
      </c>
      <c r="D37" s="50" t="s">
        <v>287</v>
      </c>
      <c r="E37" s="50">
        <v>22.18</v>
      </c>
      <c r="F37" s="50" t="s">
        <v>288</v>
      </c>
      <c r="G37" s="50" t="s">
        <v>288</v>
      </c>
      <c r="H37" s="50" t="s">
        <v>589</v>
      </c>
      <c r="I37" s="50" t="s">
        <v>288</v>
      </c>
      <c r="J37" s="50" t="s">
        <v>288</v>
      </c>
      <c r="K37" s="50" t="s">
        <v>288</v>
      </c>
      <c r="L37" s="50" t="s">
        <v>340</v>
      </c>
      <c r="M37" s="50" t="s">
        <v>285</v>
      </c>
      <c r="N37" s="50" t="s">
        <v>286</v>
      </c>
      <c r="O37" s="50" t="s">
        <v>287</v>
      </c>
      <c r="P37" s="50">
        <v>22.18</v>
      </c>
      <c r="R37" s="51"/>
      <c r="T37" s="50" t="s">
        <v>691</v>
      </c>
      <c r="U37" s="50">
        <v>18.810000000000002</v>
      </c>
      <c r="W37" s="50" t="s">
        <v>726</v>
      </c>
      <c r="X37" s="50">
        <v>18.810000000000002</v>
      </c>
      <c r="Z37" s="50">
        <v>800</v>
      </c>
      <c r="AA37" s="50">
        <v>800</v>
      </c>
      <c r="AB37" s="50">
        <v>18.810000000000002</v>
      </c>
      <c r="AC37" s="51"/>
      <c r="AD37" s="51"/>
      <c r="AE37" s="50">
        <v>800</v>
      </c>
      <c r="AF37" s="50">
        <v>800</v>
      </c>
      <c r="AG37" s="50" t="str">
        <f t="shared" si="0"/>
        <v>800_800</v>
      </c>
      <c r="AH37" s="50">
        <v>18.810000000000002</v>
      </c>
      <c r="AI37" s="51"/>
    </row>
    <row r="38" spans="1:35" x14ac:dyDescent="0.25">
      <c r="A38" s="50" t="s">
        <v>341</v>
      </c>
      <c r="B38" s="50" t="s">
        <v>285</v>
      </c>
      <c r="C38" s="50" t="s">
        <v>286</v>
      </c>
      <c r="D38" s="50" t="s">
        <v>287</v>
      </c>
      <c r="E38" s="50">
        <v>31.67</v>
      </c>
      <c r="F38" s="50" t="s">
        <v>288</v>
      </c>
      <c r="G38" s="50" t="s">
        <v>288</v>
      </c>
      <c r="H38" s="50" t="s">
        <v>590</v>
      </c>
      <c r="I38" s="50" t="s">
        <v>288</v>
      </c>
      <c r="J38" s="50" t="s">
        <v>288</v>
      </c>
      <c r="K38" s="50" t="s">
        <v>288</v>
      </c>
      <c r="L38" s="50" t="s">
        <v>341</v>
      </c>
      <c r="M38" s="50" t="s">
        <v>285</v>
      </c>
      <c r="N38" s="50" t="s">
        <v>286</v>
      </c>
      <c r="O38" s="50" t="s">
        <v>287</v>
      </c>
      <c r="P38" s="50">
        <v>31.67</v>
      </c>
      <c r="Q38" s="50" t="str">
        <f>L38&amp;"+"&amp;L39</f>
        <v>D01+D02</v>
      </c>
      <c r="R38" s="51">
        <f>AVERAGE(P38:P39)</f>
        <v>31.67</v>
      </c>
    </row>
    <row r="39" spans="1:35" x14ac:dyDescent="0.25">
      <c r="A39" s="50" t="s">
        <v>342</v>
      </c>
      <c r="B39" s="50" t="s">
        <v>285</v>
      </c>
      <c r="C39" s="50" t="s">
        <v>286</v>
      </c>
      <c r="D39" s="50" t="s">
        <v>287</v>
      </c>
      <c r="E39" s="50" t="s">
        <v>288</v>
      </c>
      <c r="F39" s="50" t="s">
        <v>288</v>
      </c>
      <c r="G39" s="50" t="s">
        <v>288</v>
      </c>
      <c r="H39" s="50" t="s">
        <v>288</v>
      </c>
      <c r="I39" s="50" t="s">
        <v>288</v>
      </c>
      <c r="J39" s="50" t="s">
        <v>288</v>
      </c>
      <c r="K39" s="50" t="s">
        <v>288</v>
      </c>
      <c r="L39" s="50" t="s">
        <v>342</v>
      </c>
      <c r="M39" s="50" t="s">
        <v>285</v>
      </c>
      <c r="N39" s="50" t="s">
        <v>286</v>
      </c>
      <c r="O39" s="50" t="s">
        <v>287</v>
      </c>
      <c r="P39" s="50" t="s">
        <v>288</v>
      </c>
      <c r="R39" s="51"/>
    </row>
    <row r="40" spans="1:35" x14ac:dyDescent="0.25">
      <c r="A40" s="50" t="s">
        <v>343</v>
      </c>
      <c r="B40" s="50" t="s">
        <v>285</v>
      </c>
      <c r="C40" s="50" t="s">
        <v>286</v>
      </c>
      <c r="D40" s="50" t="s">
        <v>287</v>
      </c>
      <c r="E40" s="50">
        <v>24.72</v>
      </c>
      <c r="F40" s="50" t="s">
        <v>288</v>
      </c>
      <c r="G40" s="50" t="s">
        <v>288</v>
      </c>
      <c r="H40" s="50" t="s">
        <v>591</v>
      </c>
      <c r="I40" s="50" t="s">
        <v>288</v>
      </c>
      <c r="J40" s="50" t="s">
        <v>288</v>
      </c>
      <c r="K40" s="50" t="s">
        <v>288</v>
      </c>
      <c r="L40" s="50" t="s">
        <v>343</v>
      </c>
      <c r="M40" s="50" t="s">
        <v>285</v>
      </c>
      <c r="N40" s="50" t="s">
        <v>286</v>
      </c>
      <c r="O40" s="50" t="s">
        <v>287</v>
      </c>
      <c r="P40" s="50">
        <v>24.72</v>
      </c>
      <c r="Q40" s="50" t="str">
        <f>L40&amp;"+"&amp;L41</f>
        <v>D03+D04</v>
      </c>
      <c r="R40" s="51">
        <f>AVERAGE(P40:P41)</f>
        <v>27.634999999999998</v>
      </c>
    </row>
    <row r="41" spans="1:35" x14ac:dyDescent="0.25">
      <c r="A41" s="50" t="s">
        <v>345</v>
      </c>
      <c r="B41" s="50" t="s">
        <v>285</v>
      </c>
      <c r="C41" s="50" t="s">
        <v>286</v>
      </c>
      <c r="D41" s="50" t="s">
        <v>287</v>
      </c>
      <c r="E41" s="50">
        <v>30.55</v>
      </c>
      <c r="F41" s="50" t="s">
        <v>288</v>
      </c>
      <c r="G41" s="50" t="s">
        <v>288</v>
      </c>
      <c r="H41" s="50" t="s">
        <v>592</v>
      </c>
      <c r="I41" s="50" t="s">
        <v>288</v>
      </c>
      <c r="J41" s="50" t="s">
        <v>288</v>
      </c>
      <c r="K41" s="50" t="s">
        <v>288</v>
      </c>
      <c r="L41" s="50" t="s">
        <v>345</v>
      </c>
      <c r="M41" s="50" t="s">
        <v>285</v>
      </c>
      <c r="N41" s="50" t="s">
        <v>286</v>
      </c>
      <c r="O41" s="50" t="s">
        <v>287</v>
      </c>
      <c r="P41" s="50">
        <v>30.55</v>
      </c>
      <c r="R41" s="51"/>
    </row>
    <row r="42" spans="1:35" x14ac:dyDescent="0.25">
      <c r="A42" s="50" t="s">
        <v>347</v>
      </c>
      <c r="B42" s="50" t="s">
        <v>285</v>
      </c>
      <c r="C42" s="50" t="s">
        <v>286</v>
      </c>
      <c r="D42" s="50" t="s">
        <v>287</v>
      </c>
      <c r="E42" s="50">
        <v>22.51</v>
      </c>
      <c r="F42" s="50" t="s">
        <v>288</v>
      </c>
      <c r="G42" s="50" t="s">
        <v>288</v>
      </c>
      <c r="H42" s="50" t="s">
        <v>593</v>
      </c>
      <c r="I42" s="50" t="s">
        <v>288</v>
      </c>
      <c r="J42" s="50" t="s">
        <v>288</v>
      </c>
      <c r="K42" s="50" t="s">
        <v>288</v>
      </c>
      <c r="L42" s="50" t="s">
        <v>347</v>
      </c>
      <c r="M42" s="50" t="s">
        <v>285</v>
      </c>
      <c r="N42" s="50" t="s">
        <v>286</v>
      </c>
      <c r="O42" s="50" t="s">
        <v>287</v>
      </c>
      <c r="P42" s="50">
        <v>22.51</v>
      </c>
      <c r="Q42" s="50" t="str">
        <f>L42&amp;"+"&amp;L43</f>
        <v>D05+D06</v>
      </c>
      <c r="R42" s="51">
        <f>AVERAGE(P42:P43)</f>
        <v>23.055</v>
      </c>
    </row>
    <row r="43" spans="1:35" x14ac:dyDescent="0.25">
      <c r="A43" s="50" t="s">
        <v>349</v>
      </c>
      <c r="B43" s="50" t="s">
        <v>285</v>
      </c>
      <c r="C43" s="50" t="s">
        <v>286</v>
      </c>
      <c r="D43" s="50" t="s">
        <v>287</v>
      </c>
      <c r="E43" s="50">
        <v>23.6</v>
      </c>
      <c r="F43" s="50" t="s">
        <v>288</v>
      </c>
      <c r="G43" s="50" t="s">
        <v>288</v>
      </c>
      <c r="H43" s="50" t="s">
        <v>594</v>
      </c>
      <c r="I43" s="50" t="s">
        <v>288</v>
      </c>
      <c r="J43" s="50" t="s">
        <v>288</v>
      </c>
      <c r="K43" s="50" t="s">
        <v>288</v>
      </c>
      <c r="L43" s="50" t="s">
        <v>349</v>
      </c>
      <c r="M43" s="50" t="s">
        <v>285</v>
      </c>
      <c r="N43" s="50" t="s">
        <v>286</v>
      </c>
      <c r="O43" s="50" t="s">
        <v>287</v>
      </c>
      <c r="P43" s="50">
        <v>23.6</v>
      </c>
      <c r="R43" s="51"/>
    </row>
    <row r="44" spans="1:35" x14ac:dyDescent="0.25">
      <c r="A44" s="50" t="s">
        <v>351</v>
      </c>
      <c r="B44" s="50" t="s">
        <v>285</v>
      </c>
      <c r="C44" s="50" t="s">
        <v>286</v>
      </c>
      <c r="D44" s="50" t="s">
        <v>287</v>
      </c>
      <c r="E44" s="50">
        <v>21.26</v>
      </c>
      <c r="F44" s="50" t="s">
        <v>288</v>
      </c>
      <c r="G44" s="50" t="s">
        <v>288</v>
      </c>
      <c r="H44" s="50" t="s">
        <v>595</v>
      </c>
      <c r="I44" s="50" t="s">
        <v>288</v>
      </c>
      <c r="J44" s="50" t="s">
        <v>288</v>
      </c>
      <c r="K44" s="50" t="s">
        <v>288</v>
      </c>
      <c r="L44" s="50" t="s">
        <v>351</v>
      </c>
      <c r="M44" s="50" t="s">
        <v>285</v>
      </c>
      <c r="N44" s="50" t="s">
        <v>286</v>
      </c>
      <c r="O44" s="50" t="s">
        <v>287</v>
      </c>
      <c r="P44" s="50">
        <v>21.26</v>
      </c>
      <c r="Q44" s="50" t="str">
        <f>L44&amp;"+"&amp;L45</f>
        <v>D07+D08</v>
      </c>
      <c r="R44" s="51">
        <f>AVERAGE(P44:P45)</f>
        <v>21.270000000000003</v>
      </c>
    </row>
    <row r="45" spans="1:35" x14ac:dyDescent="0.25">
      <c r="A45" s="50" t="s">
        <v>353</v>
      </c>
      <c r="B45" s="50" t="s">
        <v>285</v>
      </c>
      <c r="C45" s="50" t="s">
        <v>286</v>
      </c>
      <c r="D45" s="50" t="s">
        <v>287</v>
      </c>
      <c r="E45" s="50">
        <v>21.28</v>
      </c>
      <c r="F45" s="50" t="s">
        <v>288</v>
      </c>
      <c r="G45" s="50" t="s">
        <v>288</v>
      </c>
      <c r="H45" s="50" t="s">
        <v>596</v>
      </c>
      <c r="I45" s="50" t="s">
        <v>288</v>
      </c>
      <c r="J45" s="50" t="s">
        <v>288</v>
      </c>
      <c r="K45" s="50" t="s">
        <v>288</v>
      </c>
      <c r="L45" s="50" t="s">
        <v>353</v>
      </c>
      <c r="M45" s="50" t="s">
        <v>285</v>
      </c>
      <c r="N45" s="50" t="s">
        <v>286</v>
      </c>
      <c r="O45" s="50" t="s">
        <v>287</v>
      </c>
      <c r="P45" s="50">
        <v>21.28</v>
      </c>
      <c r="R45" s="51"/>
    </row>
    <row r="46" spans="1:35" x14ac:dyDescent="0.25">
      <c r="A46" s="50" t="s">
        <v>355</v>
      </c>
      <c r="B46" s="50" t="s">
        <v>285</v>
      </c>
      <c r="C46" s="50" t="s">
        <v>286</v>
      </c>
      <c r="D46" s="50" t="s">
        <v>287</v>
      </c>
      <c r="E46" s="50">
        <v>21.31</v>
      </c>
      <c r="F46" s="50" t="s">
        <v>288</v>
      </c>
      <c r="G46" s="50" t="s">
        <v>288</v>
      </c>
      <c r="H46" s="50" t="s">
        <v>597</v>
      </c>
      <c r="I46" s="50" t="s">
        <v>288</v>
      </c>
      <c r="J46" s="50" t="s">
        <v>288</v>
      </c>
      <c r="K46" s="50" t="s">
        <v>288</v>
      </c>
      <c r="L46" s="50" t="s">
        <v>355</v>
      </c>
      <c r="M46" s="50" t="s">
        <v>285</v>
      </c>
      <c r="N46" s="50" t="s">
        <v>286</v>
      </c>
      <c r="O46" s="50" t="s">
        <v>287</v>
      </c>
      <c r="P46" s="50">
        <v>21.31</v>
      </c>
      <c r="Q46" s="50" t="str">
        <f>L46&amp;"+"&amp;L47</f>
        <v>D09+D10</v>
      </c>
      <c r="R46" s="51">
        <f>AVERAGE(P46:P47)</f>
        <v>21.189999999999998</v>
      </c>
    </row>
    <row r="47" spans="1:35" x14ac:dyDescent="0.25">
      <c r="A47" s="50" t="s">
        <v>357</v>
      </c>
      <c r="B47" s="50" t="s">
        <v>285</v>
      </c>
      <c r="C47" s="50" t="s">
        <v>286</v>
      </c>
      <c r="D47" s="50" t="s">
        <v>287</v>
      </c>
      <c r="E47" s="50">
        <v>21.07</v>
      </c>
      <c r="F47" s="50" t="s">
        <v>288</v>
      </c>
      <c r="G47" s="50" t="s">
        <v>288</v>
      </c>
      <c r="H47" s="50" t="s">
        <v>598</v>
      </c>
      <c r="I47" s="50" t="s">
        <v>288</v>
      </c>
      <c r="J47" s="50" t="s">
        <v>288</v>
      </c>
      <c r="K47" s="50" t="s">
        <v>288</v>
      </c>
      <c r="L47" s="50" t="s">
        <v>357</v>
      </c>
      <c r="M47" s="50" t="s">
        <v>285</v>
      </c>
      <c r="N47" s="50" t="s">
        <v>286</v>
      </c>
      <c r="O47" s="50" t="s">
        <v>287</v>
      </c>
      <c r="P47" s="50">
        <v>21.07</v>
      </c>
      <c r="R47" s="51"/>
    </row>
    <row r="48" spans="1:35" x14ac:dyDescent="0.25">
      <c r="A48" s="50" t="s">
        <v>359</v>
      </c>
      <c r="B48" s="50" t="s">
        <v>285</v>
      </c>
      <c r="C48" s="50" t="s">
        <v>286</v>
      </c>
      <c r="D48" s="50" t="s">
        <v>287</v>
      </c>
      <c r="E48" s="50">
        <v>20.87</v>
      </c>
      <c r="F48" s="50" t="s">
        <v>288</v>
      </c>
      <c r="G48" s="50" t="s">
        <v>288</v>
      </c>
      <c r="H48" s="50" t="s">
        <v>599</v>
      </c>
      <c r="I48" s="50" t="s">
        <v>288</v>
      </c>
      <c r="J48" s="50" t="s">
        <v>288</v>
      </c>
      <c r="K48" s="50" t="s">
        <v>288</v>
      </c>
      <c r="L48" s="50" t="s">
        <v>359</v>
      </c>
      <c r="M48" s="50" t="s">
        <v>285</v>
      </c>
      <c r="N48" s="50" t="s">
        <v>286</v>
      </c>
      <c r="O48" s="50" t="s">
        <v>287</v>
      </c>
      <c r="P48" s="50">
        <v>20.87</v>
      </c>
      <c r="Q48" s="50" t="str">
        <f>L48&amp;"+"&amp;L49</f>
        <v>D11+D12</v>
      </c>
      <c r="R48" s="51">
        <f>AVERAGE(P48:P49)</f>
        <v>20.9</v>
      </c>
    </row>
    <row r="49" spans="1:26" x14ac:dyDescent="0.25">
      <c r="A49" s="50" t="s">
        <v>360</v>
      </c>
      <c r="B49" s="50" t="s">
        <v>285</v>
      </c>
      <c r="C49" s="50" t="s">
        <v>286</v>
      </c>
      <c r="D49" s="50" t="s">
        <v>287</v>
      </c>
      <c r="E49" s="50">
        <v>20.93</v>
      </c>
      <c r="F49" s="50" t="s">
        <v>288</v>
      </c>
      <c r="G49" s="50" t="s">
        <v>288</v>
      </c>
      <c r="H49" s="50" t="s">
        <v>600</v>
      </c>
      <c r="I49" s="50" t="s">
        <v>288</v>
      </c>
      <c r="J49" s="50" t="s">
        <v>288</v>
      </c>
      <c r="K49" s="50" t="s">
        <v>288</v>
      </c>
      <c r="L49" s="50" t="s">
        <v>360</v>
      </c>
      <c r="M49" s="50" t="s">
        <v>285</v>
      </c>
      <c r="N49" s="50" t="s">
        <v>286</v>
      </c>
      <c r="O49" s="50" t="s">
        <v>287</v>
      </c>
      <c r="P49" s="50">
        <v>20.93</v>
      </c>
      <c r="R49" s="51"/>
    </row>
    <row r="50" spans="1:26" x14ac:dyDescent="0.25">
      <c r="A50" s="50" t="s">
        <v>361</v>
      </c>
      <c r="B50" s="50" t="s">
        <v>285</v>
      </c>
      <c r="C50" s="50" t="s">
        <v>286</v>
      </c>
      <c r="D50" s="50" t="s">
        <v>287</v>
      </c>
      <c r="E50" s="50">
        <v>29.93</v>
      </c>
      <c r="F50" s="50" t="s">
        <v>288</v>
      </c>
      <c r="G50" s="50" t="s">
        <v>288</v>
      </c>
      <c r="H50" s="50" t="s">
        <v>601</v>
      </c>
      <c r="I50" s="50" t="s">
        <v>288</v>
      </c>
      <c r="J50" s="50" t="s">
        <v>288</v>
      </c>
      <c r="K50" s="50" t="s">
        <v>288</v>
      </c>
      <c r="L50" s="50" t="s">
        <v>361</v>
      </c>
      <c r="M50" s="50" t="s">
        <v>285</v>
      </c>
      <c r="N50" s="50" t="s">
        <v>286</v>
      </c>
      <c r="O50" s="50" t="s">
        <v>287</v>
      </c>
      <c r="P50" s="50">
        <v>29.93</v>
      </c>
      <c r="Q50" s="50" t="str">
        <f>L50&amp;"+"&amp;L51</f>
        <v>E01+E02</v>
      </c>
      <c r="R50" s="51">
        <f>AVERAGE(P50:P51)</f>
        <v>32.795000000000002</v>
      </c>
    </row>
    <row r="51" spans="1:26" x14ac:dyDescent="0.25">
      <c r="A51" s="50" t="s">
        <v>362</v>
      </c>
      <c r="B51" s="50" t="s">
        <v>285</v>
      </c>
      <c r="C51" s="50" t="s">
        <v>286</v>
      </c>
      <c r="D51" s="50" t="s">
        <v>287</v>
      </c>
      <c r="E51" s="50">
        <v>35.659999999999997</v>
      </c>
      <c r="F51" s="50" t="s">
        <v>288</v>
      </c>
      <c r="G51" s="50" t="s">
        <v>288</v>
      </c>
      <c r="H51" s="50" t="s">
        <v>602</v>
      </c>
      <c r="I51" s="50" t="s">
        <v>288</v>
      </c>
      <c r="J51" s="50" t="s">
        <v>288</v>
      </c>
      <c r="K51" s="50" t="s">
        <v>288</v>
      </c>
      <c r="L51" s="50" t="s">
        <v>362</v>
      </c>
      <c r="M51" s="50" t="s">
        <v>285</v>
      </c>
      <c r="N51" s="50" t="s">
        <v>286</v>
      </c>
      <c r="O51" s="50" t="s">
        <v>287</v>
      </c>
      <c r="P51" s="50">
        <v>35.659999999999997</v>
      </c>
      <c r="R51" s="51"/>
    </row>
    <row r="52" spans="1:26" x14ac:dyDescent="0.25">
      <c r="A52" s="50" t="s">
        <v>363</v>
      </c>
      <c r="B52" s="50" t="s">
        <v>285</v>
      </c>
      <c r="C52" s="50" t="s">
        <v>286</v>
      </c>
      <c r="D52" s="50" t="s">
        <v>287</v>
      </c>
      <c r="E52" s="50">
        <v>24.54</v>
      </c>
      <c r="F52" s="50" t="s">
        <v>288</v>
      </c>
      <c r="G52" s="50" t="s">
        <v>288</v>
      </c>
      <c r="H52" s="50" t="s">
        <v>603</v>
      </c>
      <c r="I52" s="50" t="s">
        <v>288</v>
      </c>
      <c r="J52" s="50" t="s">
        <v>288</v>
      </c>
      <c r="K52" s="50" t="s">
        <v>288</v>
      </c>
      <c r="L52" s="50" t="s">
        <v>363</v>
      </c>
      <c r="M52" s="50" t="s">
        <v>285</v>
      </c>
      <c r="N52" s="50" t="s">
        <v>286</v>
      </c>
      <c r="O52" s="50" t="s">
        <v>287</v>
      </c>
      <c r="P52" s="50">
        <v>24.54</v>
      </c>
      <c r="Q52" s="50" t="str">
        <f>L52&amp;"+"&amp;L53</f>
        <v>E03+E04</v>
      </c>
      <c r="R52" s="51">
        <f>AVERAGE(P52:P53)</f>
        <v>26.204999999999998</v>
      </c>
    </row>
    <row r="53" spans="1:26" x14ac:dyDescent="0.25">
      <c r="A53" s="50" t="s">
        <v>365</v>
      </c>
      <c r="B53" s="50" t="s">
        <v>285</v>
      </c>
      <c r="C53" s="50" t="s">
        <v>286</v>
      </c>
      <c r="D53" s="50" t="s">
        <v>287</v>
      </c>
      <c r="E53" s="50">
        <v>27.87</v>
      </c>
      <c r="F53" s="50" t="s">
        <v>288</v>
      </c>
      <c r="G53" s="50" t="s">
        <v>288</v>
      </c>
      <c r="H53" s="50" t="s">
        <v>604</v>
      </c>
      <c r="I53" s="50" t="s">
        <v>288</v>
      </c>
      <c r="J53" s="50" t="s">
        <v>288</v>
      </c>
      <c r="K53" s="50" t="s">
        <v>288</v>
      </c>
      <c r="L53" s="50" t="s">
        <v>365</v>
      </c>
      <c r="M53" s="50" t="s">
        <v>285</v>
      </c>
      <c r="N53" s="50" t="s">
        <v>286</v>
      </c>
      <c r="O53" s="50" t="s">
        <v>287</v>
      </c>
      <c r="P53" s="50">
        <v>27.87</v>
      </c>
      <c r="R53" s="51"/>
    </row>
    <row r="54" spans="1:26" x14ac:dyDescent="0.25">
      <c r="A54" s="50" t="s">
        <v>367</v>
      </c>
      <c r="B54" s="50" t="s">
        <v>285</v>
      </c>
      <c r="C54" s="50" t="s">
        <v>286</v>
      </c>
      <c r="D54" s="50" t="s">
        <v>287</v>
      </c>
      <c r="E54" s="50">
        <v>21.31</v>
      </c>
      <c r="F54" s="50" t="s">
        <v>288</v>
      </c>
      <c r="G54" s="50" t="s">
        <v>288</v>
      </c>
      <c r="H54" s="50" t="s">
        <v>597</v>
      </c>
      <c r="I54" s="50" t="s">
        <v>288</v>
      </c>
      <c r="J54" s="50" t="s">
        <v>288</v>
      </c>
      <c r="K54" s="50" t="s">
        <v>288</v>
      </c>
      <c r="L54" s="50" t="s">
        <v>367</v>
      </c>
      <c r="M54" s="50" t="s">
        <v>285</v>
      </c>
      <c r="N54" s="50" t="s">
        <v>286</v>
      </c>
      <c r="O54" s="50" t="s">
        <v>287</v>
      </c>
      <c r="P54" s="50">
        <v>21.31</v>
      </c>
      <c r="Q54" s="50" t="str">
        <f>L54&amp;"+"&amp;L55</f>
        <v>E05+E06</v>
      </c>
      <c r="R54" s="51">
        <f>AVERAGE(P54:P55)</f>
        <v>21.93</v>
      </c>
    </row>
    <row r="55" spans="1:26" x14ac:dyDescent="0.25">
      <c r="A55" s="50" t="s">
        <v>369</v>
      </c>
      <c r="B55" s="50" t="s">
        <v>285</v>
      </c>
      <c r="C55" s="50" t="s">
        <v>286</v>
      </c>
      <c r="D55" s="50" t="s">
        <v>287</v>
      </c>
      <c r="E55" s="50">
        <v>22.55</v>
      </c>
      <c r="F55" s="50" t="s">
        <v>288</v>
      </c>
      <c r="G55" s="50" t="s">
        <v>288</v>
      </c>
      <c r="H55" s="50" t="s">
        <v>605</v>
      </c>
      <c r="I55" s="50" t="s">
        <v>288</v>
      </c>
      <c r="J55" s="50" t="s">
        <v>288</v>
      </c>
      <c r="K55" s="50" t="s">
        <v>288</v>
      </c>
      <c r="L55" s="50" t="s">
        <v>369</v>
      </c>
      <c r="M55" s="50" t="s">
        <v>285</v>
      </c>
      <c r="N55" s="50" t="s">
        <v>286</v>
      </c>
      <c r="O55" s="50" t="s">
        <v>287</v>
      </c>
      <c r="P55" s="50">
        <v>22.55</v>
      </c>
      <c r="R55" s="51"/>
    </row>
    <row r="56" spans="1:26" x14ac:dyDescent="0.25">
      <c r="A56" s="50" t="s">
        <v>371</v>
      </c>
      <c r="B56" s="50" t="s">
        <v>285</v>
      </c>
      <c r="C56" s="50" t="s">
        <v>286</v>
      </c>
      <c r="D56" s="50" t="s">
        <v>287</v>
      </c>
      <c r="E56" s="50">
        <v>23.26</v>
      </c>
      <c r="F56" s="50" t="s">
        <v>288</v>
      </c>
      <c r="G56" s="50" t="s">
        <v>288</v>
      </c>
      <c r="H56" s="50" t="s">
        <v>606</v>
      </c>
      <c r="I56" s="50" t="s">
        <v>288</v>
      </c>
      <c r="J56" s="50" t="s">
        <v>288</v>
      </c>
      <c r="K56" s="50" t="s">
        <v>288</v>
      </c>
      <c r="L56" s="50" t="s">
        <v>371</v>
      </c>
      <c r="M56" s="50" t="s">
        <v>285</v>
      </c>
      <c r="N56" s="50" t="s">
        <v>286</v>
      </c>
      <c r="O56" s="50" t="s">
        <v>287</v>
      </c>
      <c r="P56" s="50">
        <v>23.26</v>
      </c>
      <c r="Q56" s="50" t="str">
        <f>L56&amp;"+"&amp;L57</f>
        <v>E07+E08</v>
      </c>
      <c r="R56" s="51">
        <f>AVERAGE(P56:P57)</f>
        <v>22.020000000000003</v>
      </c>
    </row>
    <row r="57" spans="1:26" x14ac:dyDescent="0.25">
      <c r="A57" s="50" t="s">
        <v>373</v>
      </c>
      <c r="B57" s="50" t="s">
        <v>285</v>
      </c>
      <c r="C57" s="50" t="s">
        <v>286</v>
      </c>
      <c r="D57" s="50" t="s">
        <v>287</v>
      </c>
      <c r="E57" s="50">
        <v>20.78</v>
      </c>
      <c r="F57" s="50" t="s">
        <v>288</v>
      </c>
      <c r="G57" s="50" t="s">
        <v>288</v>
      </c>
      <c r="H57" s="50" t="s">
        <v>607</v>
      </c>
      <c r="I57" s="50" t="s">
        <v>288</v>
      </c>
      <c r="J57" s="50" t="s">
        <v>288</v>
      </c>
      <c r="K57" s="50" t="s">
        <v>288</v>
      </c>
      <c r="L57" s="50" t="s">
        <v>373</v>
      </c>
      <c r="M57" s="50" t="s">
        <v>285</v>
      </c>
      <c r="N57" s="50" t="s">
        <v>286</v>
      </c>
      <c r="O57" s="50" t="s">
        <v>287</v>
      </c>
      <c r="P57" s="50">
        <v>20.78</v>
      </c>
      <c r="R57" s="51"/>
    </row>
    <row r="58" spans="1:26" x14ac:dyDescent="0.25">
      <c r="A58" s="50" t="s">
        <v>375</v>
      </c>
      <c r="B58" s="50" t="s">
        <v>285</v>
      </c>
      <c r="C58" s="50" t="s">
        <v>286</v>
      </c>
      <c r="D58" s="50" t="s">
        <v>287</v>
      </c>
      <c r="E58" s="50">
        <v>20.3</v>
      </c>
      <c r="F58" s="50" t="s">
        <v>288</v>
      </c>
      <c r="G58" s="50" t="s">
        <v>288</v>
      </c>
      <c r="H58" s="50" t="s">
        <v>608</v>
      </c>
      <c r="I58" s="50" t="s">
        <v>288</v>
      </c>
      <c r="J58" s="50" t="s">
        <v>288</v>
      </c>
      <c r="K58" s="50" t="s">
        <v>288</v>
      </c>
      <c r="L58" s="50" t="s">
        <v>375</v>
      </c>
      <c r="M58" s="50" t="s">
        <v>285</v>
      </c>
      <c r="N58" s="50" t="s">
        <v>286</v>
      </c>
      <c r="O58" s="50" t="s">
        <v>287</v>
      </c>
      <c r="P58" s="50">
        <v>20.3</v>
      </c>
      <c r="Q58" s="50" t="str">
        <f>L58&amp;"+"&amp;L59</f>
        <v>E09+E10</v>
      </c>
      <c r="R58" s="51">
        <f>AVERAGE(P58:P59)</f>
        <v>20.225000000000001</v>
      </c>
    </row>
    <row r="59" spans="1:26" x14ac:dyDescent="0.25">
      <c r="A59" s="50" t="s">
        <v>377</v>
      </c>
      <c r="B59" s="50" t="s">
        <v>285</v>
      </c>
      <c r="C59" s="50" t="s">
        <v>286</v>
      </c>
      <c r="D59" s="50" t="s">
        <v>287</v>
      </c>
      <c r="E59" s="50">
        <v>20.149999999999999</v>
      </c>
      <c r="F59" s="50" t="s">
        <v>288</v>
      </c>
      <c r="G59" s="50" t="s">
        <v>288</v>
      </c>
      <c r="H59" s="50" t="s">
        <v>609</v>
      </c>
      <c r="I59" s="50" t="s">
        <v>288</v>
      </c>
      <c r="J59" s="50" t="s">
        <v>288</v>
      </c>
      <c r="K59" s="50" t="s">
        <v>288</v>
      </c>
      <c r="L59" s="50" t="s">
        <v>377</v>
      </c>
      <c r="M59" s="50" t="s">
        <v>285</v>
      </c>
      <c r="N59" s="50" t="s">
        <v>286</v>
      </c>
      <c r="O59" s="50" t="s">
        <v>287</v>
      </c>
      <c r="P59" s="50">
        <v>20.149999999999999</v>
      </c>
      <c r="R59" s="51"/>
    </row>
    <row r="60" spans="1:26" x14ac:dyDescent="0.25">
      <c r="A60" s="50" t="s">
        <v>379</v>
      </c>
      <c r="B60" s="50" t="s">
        <v>285</v>
      </c>
      <c r="C60" s="50" t="s">
        <v>286</v>
      </c>
      <c r="D60" s="50" t="s">
        <v>287</v>
      </c>
      <c r="E60" s="50">
        <v>20.32</v>
      </c>
      <c r="F60" s="50" t="s">
        <v>288</v>
      </c>
      <c r="G60" s="50" t="s">
        <v>288</v>
      </c>
      <c r="H60" s="50" t="s">
        <v>610</v>
      </c>
      <c r="I60" s="50" t="s">
        <v>288</v>
      </c>
      <c r="J60" s="50" t="s">
        <v>288</v>
      </c>
      <c r="K60" s="50" t="s">
        <v>288</v>
      </c>
      <c r="L60" s="50" t="s">
        <v>379</v>
      </c>
      <c r="M60" s="50" t="s">
        <v>285</v>
      </c>
      <c r="N60" s="50" t="s">
        <v>286</v>
      </c>
      <c r="O60" s="50" t="s">
        <v>287</v>
      </c>
      <c r="P60" s="50">
        <v>20.32</v>
      </c>
      <c r="Q60" s="50" t="str">
        <f>L60&amp;"+"&amp;L61</f>
        <v>E11+E12</v>
      </c>
      <c r="R60" s="51">
        <f>AVERAGE(P60:P61)</f>
        <v>20.58</v>
      </c>
    </row>
    <row r="61" spans="1:26" x14ac:dyDescent="0.25">
      <c r="A61" s="50" t="s">
        <v>380</v>
      </c>
      <c r="B61" s="50" t="s">
        <v>285</v>
      </c>
      <c r="C61" s="50" t="s">
        <v>286</v>
      </c>
      <c r="D61" s="50" t="s">
        <v>287</v>
      </c>
      <c r="E61" s="50">
        <v>20.84</v>
      </c>
      <c r="F61" s="50" t="s">
        <v>288</v>
      </c>
      <c r="G61" s="50" t="s">
        <v>288</v>
      </c>
      <c r="H61" s="50" t="s">
        <v>611</v>
      </c>
      <c r="I61" s="50" t="s">
        <v>288</v>
      </c>
      <c r="J61" s="50" t="s">
        <v>288</v>
      </c>
      <c r="K61" s="50" t="s">
        <v>288</v>
      </c>
      <c r="L61" s="50" t="s">
        <v>380</v>
      </c>
      <c r="M61" s="50" t="s">
        <v>285</v>
      </c>
      <c r="N61" s="50" t="s">
        <v>286</v>
      </c>
      <c r="O61" s="50" t="s">
        <v>287</v>
      </c>
      <c r="P61" s="50">
        <v>20.84</v>
      </c>
      <c r="R61" s="51"/>
    </row>
    <row r="62" spans="1:26" x14ac:dyDescent="0.25">
      <c r="A62" s="50" t="s">
        <v>381</v>
      </c>
      <c r="B62" s="50" t="s">
        <v>285</v>
      </c>
      <c r="C62" s="50" t="s">
        <v>286</v>
      </c>
      <c r="D62" s="50" t="s">
        <v>287</v>
      </c>
      <c r="E62" s="50">
        <v>32.19</v>
      </c>
      <c r="F62" s="50" t="s">
        <v>288</v>
      </c>
      <c r="G62" s="50" t="s">
        <v>288</v>
      </c>
      <c r="H62" s="50" t="s">
        <v>612</v>
      </c>
      <c r="I62" s="50" t="s">
        <v>288</v>
      </c>
      <c r="J62" s="50" t="s">
        <v>288</v>
      </c>
      <c r="K62" s="50" t="s">
        <v>288</v>
      </c>
      <c r="L62" s="50" t="s">
        <v>381</v>
      </c>
      <c r="M62" s="50" t="s">
        <v>285</v>
      </c>
      <c r="N62" s="50" t="s">
        <v>286</v>
      </c>
      <c r="O62" s="50" t="s">
        <v>287</v>
      </c>
      <c r="P62" s="50">
        <v>32.19</v>
      </c>
      <c r="Q62" s="50" t="str">
        <f>L62&amp;"+"&amp;L63</f>
        <v>F01+F02</v>
      </c>
      <c r="R62" s="51">
        <f>AVERAGE(P62:P63)</f>
        <v>33.4</v>
      </c>
    </row>
    <row r="63" spans="1:26" x14ac:dyDescent="0.25">
      <c r="A63" s="50" t="s">
        <v>382</v>
      </c>
      <c r="B63" s="50" t="s">
        <v>285</v>
      </c>
      <c r="C63" s="50" t="s">
        <v>286</v>
      </c>
      <c r="D63" s="50" t="s">
        <v>287</v>
      </c>
      <c r="E63" s="50">
        <v>34.61</v>
      </c>
      <c r="F63" s="50" t="s">
        <v>288</v>
      </c>
      <c r="G63" s="50" t="s">
        <v>288</v>
      </c>
      <c r="H63" s="50" t="s">
        <v>613</v>
      </c>
      <c r="I63" s="50" t="s">
        <v>288</v>
      </c>
      <c r="J63" s="50" t="s">
        <v>288</v>
      </c>
      <c r="K63" s="50" t="s">
        <v>288</v>
      </c>
      <c r="L63" s="50" t="s">
        <v>382</v>
      </c>
      <c r="M63" s="50" t="s">
        <v>285</v>
      </c>
      <c r="N63" s="50" t="s">
        <v>286</v>
      </c>
      <c r="O63" s="50" t="s">
        <v>287</v>
      </c>
      <c r="P63" s="50">
        <v>34.61</v>
      </c>
      <c r="R63" s="51"/>
      <c r="U63" s="50" t="s">
        <v>728</v>
      </c>
      <c r="V63" s="52">
        <v>100</v>
      </c>
    </row>
    <row r="64" spans="1:26" x14ac:dyDescent="0.25">
      <c r="A64" s="50" t="s">
        <v>383</v>
      </c>
      <c r="B64" s="50" t="s">
        <v>285</v>
      </c>
      <c r="C64" s="50" t="s">
        <v>286</v>
      </c>
      <c r="D64" s="50" t="s">
        <v>287</v>
      </c>
      <c r="E64" s="50">
        <v>26.27</v>
      </c>
      <c r="F64" s="50" t="s">
        <v>288</v>
      </c>
      <c r="G64" s="50" t="s">
        <v>288</v>
      </c>
      <c r="H64" s="50" t="s">
        <v>614</v>
      </c>
      <c r="I64" s="50" t="s">
        <v>288</v>
      </c>
      <c r="J64" s="50" t="s">
        <v>288</v>
      </c>
      <c r="K64" s="50" t="s">
        <v>288</v>
      </c>
      <c r="L64" s="50" t="s">
        <v>383</v>
      </c>
      <c r="M64" s="50" t="s">
        <v>285</v>
      </c>
      <c r="N64" s="50" t="s">
        <v>286</v>
      </c>
      <c r="O64" s="50" t="s">
        <v>287</v>
      </c>
      <c r="P64" s="50">
        <v>26.27</v>
      </c>
      <c r="Q64" s="50" t="str">
        <f>L64&amp;"+"&amp;L65</f>
        <v>F03+F04</v>
      </c>
      <c r="R64" s="51">
        <f>AVERAGE(P64:P65)</f>
        <v>24.355</v>
      </c>
      <c r="V64" s="50" t="s">
        <v>736</v>
      </c>
      <c r="W64" s="50" t="s">
        <v>735</v>
      </c>
      <c r="X64" s="50" t="s">
        <v>737</v>
      </c>
      <c r="Y64" s="50" t="s">
        <v>742</v>
      </c>
      <c r="Z64" s="50" t="s">
        <v>743</v>
      </c>
    </row>
    <row r="65" spans="1:29" x14ac:dyDescent="0.25">
      <c r="A65" s="50" t="s">
        <v>385</v>
      </c>
      <c r="B65" s="50" t="s">
        <v>285</v>
      </c>
      <c r="C65" s="50" t="s">
        <v>286</v>
      </c>
      <c r="D65" s="50" t="s">
        <v>287</v>
      </c>
      <c r="E65" s="50">
        <v>22.44</v>
      </c>
      <c r="F65" s="50" t="s">
        <v>288</v>
      </c>
      <c r="G65" s="50" t="s">
        <v>288</v>
      </c>
      <c r="H65" s="50" t="s">
        <v>615</v>
      </c>
      <c r="I65" s="50" t="s">
        <v>288</v>
      </c>
      <c r="J65" s="50" t="s">
        <v>288</v>
      </c>
      <c r="K65" s="50" t="s">
        <v>288</v>
      </c>
      <c r="L65" s="50" t="s">
        <v>385</v>
      </c>
      <c r="M65" s="50" t="s">
        <v>285</v>
      </c>
      <c r="N65" s="50" t="s">
        <v>286</v>
      </c>
      <c r="O65" s="50" t="s">
        <v>287</v>
      </c>
      <c r="P65" s="50">
        <v>22.44</v>
      </c>
      <c r="R65" s="51"/>
      <c r="U65" s="50" t="s">
        <v>729</v>
      </c>
      <c r="V65" s="54">
        <f>0.005*V63</f>
        <v>0.5</v>
      </c>
      <c r="W65" s="50">
        <v>50</v>
      </c>
      <c r="X65" s="50">
        <v>50</v>
      </c>
      <c r="Y65" s="51">
        <v>30.563749999999999</v>
      </c>
      <c r="Z65" s="51">
        <v>33.543750000000003</v>
      </c>
    </row>
    <row r="66" spans="1:29" ht="14.4" x14ac:dyDescent="0.3">
      <c r="A66" s="50" t="s">
        <v>387</v>
      </c>
      <c r="B66" s="50" t="s">
        <v>285</v>
      </c>
      <c r="C66" s="50" t="s">
        <v>286</v>
      </c>
      <c r="D66" s="50" t="s">
        <v>287</v>
      </c>
      <c r="E66" s="50">
        <v>21.53</v>
      </c>
      <c r="F66" s="50" t="s">
        <v>288</v>
      </c>
      <c r="G66" s="50" t="s">
        <v>288</v>
      </c>
      <c r="H66" s="50" t="s">
        <v>513</v>
      </c>
      <c r="I66" s="50" t="s">
        <v>288</v>
      </c>
      <c r="J66" s="50" t="s">
        <v>288</v>
      </c>
      <c r="K66" s="50" t="s">
        <v>288</v>
      </c>
      <c r="L66" s="50" t="s">
        <v>387</v>
      </c>
      <c r="M66" s="50" t="s">
        <v>285</v>
      </c>
      <c r="N66" s="50" t="s">
        <v>286</v>
      </c>
      <c r="O66" s="50" t="s">
        <v>287</v>
      </c>
      <c r="P66" s="50">
        <v>21.53</v>
      </c>
      <c r="Q66" s="50" t="str">
        <f>L66&amp;"+"&amp;L67</f>
        <v>F05+F06</v>
      </c>
      <c r="R66" s="51">
        <f>AVERAGE(P66:P67)</f>
        <v>22.274999999999999</v>
      </c>
      <c r="U66" s="53" t="s">
        <v>730</v>
      </c>
      <c r="V66" s="55">
        <f>0.01*V63</f>
        <v>1</v>
      </c>
      <c r="W66" s="50">
        <v>100</v>
      </c>
      <c r="X66" s="50">
        <v>100</v>
      </c>
      <c r="Y66" s="51">
        <v>28.806000000000001</v>
      </c>
      <c r="Z66" s="51">
        <v>29.352999999999998</v>
      </c>
    </row>
    <row r="67" spans="1:29" ht="14.4" x14ac:dyDescent="0.3">
      <c r="A67" s="50" t="s">
        <v>389</v>
      </c>
      <c r="B67" s="50" t="s">
        <v>285</v>
      </c>
      <c r="C67" s="50" t="s">
        <v>286</v>
      </c>
      <c r="D67" s="50" t="s">
        <v>287</v>
      </c>
      <c r="E67" s="50">
        <v>23.02</v>
      </c>
      <c r="F67" s="50" t="s">
        <v>288</v>
      </c>
      <c r="G67" s="50" t="s">
        <v>288</v>
      </c>
      <c r="H67" s="50" t="s">
        <v>616</v>
      </c>
      <c r="I67" s="50" t="s">
        <v>288</v>
      </c>
      <c r="J67" s="50" t="s">
        <v>288</v>
      </c>
      <c r="K67" s="50" t="s">
        <v>288</v>
      </c>
      <c r="L67" s="50" t="s">
        <v>389</v>
      </c>
      <c r="M67" s="50" t="s">
        <v>285</v>
      </c>
      <c r="N67" s="50" t="s">
        <v>286</v>
      </c>
      <c r="O67" s="50" t="s">
        <v>287</v>
      </c>
      <c r="P67" s="50">
        <v>23.02</v>
      </c>
      <c r="R67" s="51"/>
      <c r="U67" s="53" t="s">
        <v>731</v>
      </c>
      <c r="V67" s="54">
        <f>0.02*V63</f>
        <v>2</v>
      </c>
      <c r="W67" s="50">
        <v>200</v>
      </c>
      <c r="X67" s="50">
        <v>200</v>
      </c>
      <c r="Y67" s="51">
        <v>27.046666666666667</v>
      </c>
      <c r="Z67" s="51">
        <v>25.69916666666667</v>
      </c>
    </row>
    <row r="68" spans="1:29" ht="14.4" x14ac:dyDescent="0.3">
      <c r="A68" s="50" t="s">
        <v>391</v>
      </c>
      <c r="B68" s="50" t="s">
        <v>285</v>
      </c>
      <c r="C68" s="50" t="s">
        <v>286</v>
      </c>
      <c r="D68" s="50" t="s">
        <v>287</v>
      </c>
      <c r="E68" s="50">
        <v>18.739999999999998</v>
      </c>
      <c r="F68" s="50" t="s">
        <v>288</v>
      </c>
      <c r="G68" s="50" t="s">
        <v>288</v>
      </c>
      <c r="H68" s="50" t="s">
        <v>617</v>
      </c>
      <c r="I68" s="50" t="s">
        <v>288</v>
      </c>
      <c r="J68" s="50" t="s">
        <v>288</v>
      </c>
      <c r="K68" s="50" t="s">
        <v>288</v>
      </c>
      <c r="L68" s="50" t="s">
        <v>391</v>
      </c>
      <c r="M68" s="50" t="s">
        <v>285</v>
      </c>
      <c r="N68" s="50" t="s">
        <v>286</v>
      </c>
      <c r="O68" s="50" t="s">
        <v>287</v>
      </c>
      <c r="P68" s="50">
        <v>18.739999999999998</v>
      </c>
      <c r="Q68" s="50" t="str">
        <f>L68&amp;"+"&amp;L69</f>
        <v>F07+F08</v>
      </c>
      <c r="R68" s="51">
        <f>AVERAGE(P68:P69)</f>
        <v>19.079999999999998</v>
      </c>
      <c r="U68" s="53" t="s">
        <v>732</v>
      </c>
      <c r="V68" s="54">
        <f>0.04*V63</f>
        <v>4</v>
      </c>
      <c r="W68" s="50">
        <v>400</v>
      </c>
      <c r="X68" s="50">
        <v>400</v>
      </c>
      <c r="Y68" s="51">
        <v>24.286666666666665</v>
      </c>
      <c r="Z68" s="51">
        <v>23.913333333333338</v>
      </c>
    </row>
    <row r="69" spans="1:29" ht="14.4" x14ac:dyDescent="0.3">
      <c r="A69" s="50" t="s">
        <v>393</v>
      </c>
      <c r="B69" s="50" t="s">
        <v>285</v>
      </c>
      <c r="C69" s="50" t="s">
        <v>286</v>
      </c>
      <c r="D69" s="50" t="s">
        <v>287</v>
      </c>
      <c r="E69" s="50">
        <v>19.420000000000002</v>
      </c>
      <c r="F69" s="50" t="s">
        <v>288</v>
      </c>
      <c r="G69" s="50" t="s">
        <v>288</v>
      </c>
      <c r="H69" s="50" t="s">
        <v>618</v>
      </c>
      <c r="I69" s="50" t="s">
        <v>288</v>
      </c>
      <c r="J69" s="50" t="s">
        <v>288</v>
      </c>
      <c r="K69" s="50" t="s">
        <v>288</v>
      </c>
      <c r="L69" s="50" t="s">
        <v>393</v>
      </c>
      <c r="M69" s="50" t="s">
        <v>285</v>
      </c>
      <c r="N69" s="50" t="s">
        <v>286</v>
      </c>
      <c r="O69" s="50" t="s">
        <v>287</v>
      </c>
      <c r="P69" s="50">
        <v>19.420000000000002</v>
      </c>
      <c r="R69" s="51"/>
      <c r="U69" s="53" t="s">
        <v>733</v>
      </c>
      <c r="V69" s="54">
        <f>0.06*V63</f>
        <v>6</v>
      </c>
      <c r="W69" s="50">
        <v>600</v>
      </c>
      <c r="X69" s="50">
        <v>600</v>
      </c>
      <c r="Y69" s="51">
        <v>23.959166666666665</v>
      </c>
      <c r="Z69" s="51">
        <v>23.194999999999997</v>
      </c>
    </row>
    <row r="70" spans="1:29" ht="14.4" x14ac:dyDescent="0.3">
      <c r="A70" s="50" t="s">
        <v>395</v>
      </c>
      <c r="B70" s="50" t="s">
        <v>285</v>
      </c>
      <c r="C70" s="50" t="s">
        <v>286</v>
      </c>
      <c r="D70" s="50" t="s">
        <v>287</v>
      </c>
      <c r="E70" s="50">
        <v>19.36</v>
      </c>
      <c r="F70" s="50" t="s">
        <v>288</v>
      </c>
      <c r="G70" s="50" t="s">
        <v>288</v>
      </c>
      <c r="H70" s="50" t="s">
        <v>619</v>
      </c>
      <c r="I70" s="50" t="s">
        <v>288</v>
      </c>
      <c r="J70" s="50" t="s">
        <v>288</v>
      </c>
      <c r="K70" s="50" t="s">
        <v>288</v>
      </c>
      <c r="L70" s="50" t="s">
        <v>395</v>
      </c>
      <c r="M70" s="50" t="s">
        <v>285</v>
      </c>
      <c r="N70" s="50" t="s">
        <v>286</v>
      </c>
      <c r="O70" s="50" t="s">
        <v>287</v>
      </c>
      <c r="P70" s="50">
        <v>19.36</v>
      </c>
      <c r="Q70" s="50" t="str">
        <f>L70&amp;"+"&amp;L71</f>
        <v>F09+F10</v>
      </c>
      <c r="R70" s="51">
        <f>AVERAGE(P70:P71)</f>
        <v>19.009999999999998</v>
      </c>
      <c r="U70" s="53" t="s">
        <v>734</v>
      </c>
      <c r="V70" s="54">
        <f>0.08*V63</f>
        <v>8</v>
      </c>
      <c r="W70" s="50">
        <v>800</v>
      </c>
      <c r="X70" s="50">
        <v>800</v>
      </c>
      <c r="Y70" s="51">
        <v>22.821666666666669</v>
      </c>
      <c r="Z70" s="51">
        <v>22.864166666666666</v>
      </c>
    </row>
    <row r="71" spans="1:29" x14ac:dyDescent="0.25">
      <c r="A71" s="50" t="s">
        <v>397</v>
      </c>
      <c r="B71" s="50" t="s">
        <v>285</v>
      </c>
      <c r="C71" s="50" t="s">
        <v>286</v>
      </c>
      <c r="D71" s="50" t="s">
        <v>287</v>
      </c>
      <c r="E71" s="50">
        <v>18.66</v>
      </c>
      <c r="F71" s="50" t="s">
        <v>288</v>
      </c>
      <c r="G71" s="50" t="s">
        <v>288</v>
      </c>
      <c r="H71" s="50" t="s">
        <v>620</v>
      </c>
      <c r="I71" s="50" t="s">
        <v>288</v>
      </c>
      <c r="J71" s="50" t="s">
        <v>288</v>
      </c>
      <c r="K71" s="50" t="s">
        <v>288</v>
      </c>
      <c r="L71" s="50" t="s">
        <v>397</v>
      </c>
      <c r="M71" s="50" t="s">
        <v>285</v>
      </c>
      <c r="N71" s="50" t="s">
        <v>286</v>
      </c>
      <c r="O71" s="50" t="s">
        <v>287</v>
      </c>
      <c r="P71" s="50">
        <v>18.66</v>
      </c>
      <c r="R71" s="51"/>
    </row>
    <row r="72" spans="1:29" x14ac:dyDescent="0.25">
      <c r="A72" s="50" t="s">
        <v>399</v>
      </c>
      <c r="B72" s="50" t="s">
        <v>285</v>
      </c>
      <c r="C72" s="50" t="s">
        <v>286</v>
      </c>
      <c r="D72" s="50" t="s">
        <v>287</v>
      </c>
      <c r="E72" s="50">
        <v>19</v>
      </c>
      <c r="F72" s="50" t="s">
        <v>288</v>
      </c>
      <c r="G72" s="50" t="s">
        <v>288</v>
      </c>
      <c r="H72" s="50" t="s">
        <v>621</v>
      </c>
      <c r="I72" s="50" t="s">
        <v>288</v>
      </c>
      <c r="J72" s="50" t="s">
        <v>288</v>
      </c>
      <c r="K72" s="50" t="s">
        <v>288</v>
      </c>
      <c r="L72" s="50" t="s">
        <v>399</v>
      </c>
      <c r="M72" s="50" t="s">
        <v>285</v>
      </c>
      <c r="N72" s="50" t="s">
        <v>286</v>
      </c>
      <c r="O72" s="50" t="s">
        <v>287</v>
      </c>
      <c r="P72" s="50">
        <v>19</v>
      </c>
      <c r="Q72" s="50" t="str">
        <f>L72&amp;"+"&amp;L73</f>
        <v>F11+F12</v>
      </c>
      <c r="R72" s="51">
        <f>AVERAGE(P72:P73)</f>
        <v>18.810000000000002</v>
      </c>
      <c r="U72" s="50" t="s">
        <v>727</v>
      </c>
    </row>
    <row r="73" spans="1:29" x14ac:dyDescent="0.25">
      <c r="A73" s="50" t="s">
        <v>400</v>
      </c>
      <c r="B73" s="50" t="s">
        <v>285</v>
      </c>
      <c r="C73" s="50" t="s">
        <v>286</v>
      </c>
      <c r="D73" s="50" t="s">
        <v>287</v>
      </c>
      <c r="E73" s="50">
        <v>18.62</v>
      </c>
      <c r="F73" s="50" t="s">
        <v>288</v>
      </c>
      <c r="G73" s="50" t="s">
        <v>288</v>
      </c>
      <c r="H73" s="50" t="s">
        <v>622</v>
      </c>
      <c r="I73" s="50" t="s">
        <v>288</v>
      </c>
      <c r="J73" s="50" t="s">
        <v>288</v>
      </c>
      <c r="K73" s="50" t="s">
        <v>288</v>
      </c>
      <c r="L73" s="50" t="s">
        <v>400</v>
      </c>
      <c r="M73" s="50" t="s">
        <v>285</v>
      </c>
      <c r="N73" s="50" t="s">
        <v>286</v>
      </c>
      <c r="O73" s="50" t="s">
        <v>287</v>
      </c>
      <c r="P73" s="50">
        <v>18.62</v>
      </c>
      <c r="R73" s="51"/>
      <c r="X73" s="50" t="s">
        <v>738</v>
      </c>
    </row>
    <row r="74" spans="1:29" x14ac:dyDescent="0.25">
      <c r="A74" s="50" t="s">
        <v>401</v>
      </c>
      <c r="B74" s="50" t="s">
        <v>285</v>
      </c>
      <c r="C74" s="50" t="s">
        <v>402</v>
      </c>
      <c r="D74" s="50" t="s">
        <v>287</v>
      </c>
      <c r="E74" s="50" t="s">
        <v>288</v>
      </c>
      <c r="F74" s="50">
        <v>0</v>
      </c>
      <c r="G74" s="50">
        <v>0</v>
      </c>
      <c r="H74" s="50" t="s">
        <v>288</v>
      </c>
      <c r="I74" s="50" t="s">
        <v>288</v>
      </c>
      <c r="J74" s="50" t="s">
        <v>288</v>
      </c>
      <c r="K74" s="50" t="s">
        <v>288</v>
      </c>
      <c r="L74" s="50" t="s">
        <v>401</v>
      </c>
      <c r="M74" s="50" t="s">
        <v>285</v>
      </c>
      <c r="N74" s="50" t="s">
        <v>402</v>
      </c>
      <c r="O74" s="50" t="s">
        <v>287</v>
      </c>
      <c r="P74" s="50" t="s">
        <v>288</v>
      </c>
      <c r="R74" s="51"/>
    </row>
    <row r="75" spans="1:29" x14ac:dyDescent="0.25">
      <c r="A75" s="50" t="s">
        <v>403</v>
      </c>
      <c r="B75" s="50" t="s">
        <v>285</v>
      </c>
      <c r="C75" s="50" t="s">
        <v>402</v>
      </c>
      <c r="D75" s="50" t="s">
        <v>287</v>
      </c>
      <c r="E75" s="50" t="s">
        <v>288</v>
      </c>
      <c r="F75" s="50">
        <v>0</v>
      </c>
      <c r="G75" s="50">
        <v>0</v>
      </c>
      <c r="H75" s="50" t="s">
        <v>288</v>
      </c>
      <c r="I75" s="50" t="s">
        <v>288</v>
      </c>
      <c r="J75" s="50" t="s">
        <v>288</v>
      </c>
      <c r="K75" s="50" t="s">
        <v>288</v>
      </c>
      <c r="L75" s="50" t="s">
        <v>403</v>
      </c>
      <c r="M75" s="50" t="s">
        <v>285</v>
      </c>
      <c r="N75" s="50" t="s">
        <v>402</v>
      </c>
      <c r="O75" s="50" t="s">
        <v>287</v>
      </c>
      <c r="P75" s="50" t="s">
        <v>288</v>
      </c>
      <c r="R75" s="51"/>
    </row>
    <row r="76" spans="1:29" x14ac:dyDescent="0.25">
      <c r="A76" s="50" t="s">
        <v>404</v>
      </c>
      <c r="B76" s="50" t="s">
        <v>285</v>
      </c>
      <c r="C76" s="50" t="s">
        <v>402</v>
      </c>
      <c r="D76" s="50" t="s">
        <v>287</v>
      </c>
      <c r="E76" s="50" t="s">
        <v>288</v>
      </c>
      <c r="F76" s="50">
        <v>0</v>
      </c>
      <c r="G76" s="50">
        <v>0</v>
      </c>
      <c r="H76" s="50" t="s">
        <v>288</v>
      </c>
      <c r="I76" s="50" t="s">
        <v>288</v>
      </c>
      <c r="J76" s="50" t="s">
        <v>288</v>
      </c>
      <c r="K76" s="50" t="s">
        <v>288</v>
      </c>
      <c r="L76" s="50" t="s">
        <v>404</v>
      </c>
      <c r="M76" s="50" t="s">
        <v>285</v>
      </c>
      <c r="N76" s="50" t="s">
        <v>402</v>
      </c>
      <c r="O76" s="50" t="s">
        <v>287</v>
      </c>
      <c r="P76" s="50" t="s">
        <v>288</v>
      </c>
      <c r="R76" s="51"/>
    </row>
    <row r="77" spans="1:29" x14ac:dyDescent="0.25">
      <c r="A77" s="50" t="s">
        <v>405</v>
      </c>
      <c r="B77" s="50" t="s">
        <v>285</v>
      </c>
      <c r="C77" s="50" t="s">
        <v>402</v>
      </c>
      <c r="D77" s="50" t="s">
        <v>287</v>
      </c>
      <c r="E77" s="50">
        <v>9.67</v>
      </c>
      <c r="F77" s="50">
        <v>9.75</v>
      </c>
      <c r="G77" s="50">
        <v>0.11</v>
      </c>
      <c r="H77" s="50" t="s">
        <v>623</v>
      </c>
      <c r="I77" s="50">
        <v>1078.97</v>
      </c>
      <c r="J77" s="50">
        <v>67.84</v>
      </c>
      <c r="K77" s="50" t="s">
        <v>288</v>
      </c>
      <c r="L77" s="50" t="s">
        <v>405</v>
      </c>
      <c r="M77" s="50" t="s">
        <v>285</v>
      </c>
      <c r="N77" s="50" t="s">
        <v>402</v>
      </c>
      <c r="O77" s="50" t="s">
        <v>287</v>
      </c>
      <c r="P77" s="50">
        <v>9.67</v>
      </c>
      <c r="R77" s="51"/>
    </row>
    <row r="78" spans="1:29" x14ac:dyDescent="0.25">
      <c r="A78" s="50" t="s">
        <v>407</v>
      </c>
      <c r="B78" s="50" t="s">
        <v>285</v>
      </c>
      <c r="C78" s="50" t="s">
        <v>402</v>
      </c>
      <c r="D78" s="50" t="s">
        <v>287</v>
      </c>
      <c r="E78" s="50">
        <v>9.8699999999999992</v>
      </c>
      <c r="F78" s="50">
        <v>9.75</v>
      </c>
      <c r="G78" s="50">
        <v>0.11</v>
      </c>
      <c r="H78" s="50" t="s">
        <v>624</v>
      </c>
      <c r="I78" s="50">
        <v>1078.97</v>
      </c>
      <c r="J78" s="50">
        <v>67.84</v>
      </c>
      <c r="K78" s="50" t="s">
        <v>288</v>
      </c>
      <c r="L78" s="50" t="s">
        <v>407</v>
      </c>
      <c r="M78" s="50" t="s">
        <v>285</v>
      </c>
      <c r="N78" s="50" t="s">
        <v>402</v>
      </c>
      <c r="O78" s="50" t="s">
        <v>287</v>
      </c>
      <c r="P78" s="50">
        <v>9.8699999999999992</v>
      </c>
      <c r="R78" s="51"/>
      <c r="V78" s="50" t="s">
        <v>735</v>
      </c>
      <c r="W78" s="50" t="s">
        <v>768</v>
      </c>
      <c r="X78" s="50" t="s">
        <v>765</v>
      </c>
      <c r="Y78" s="50" t="s">
        <v>766</v>
      </c>
      <c r="Z78" s="50" t="s">
        <v>737</v>
      </c>
      <c r="AA78" s="50" t="s">
        <v>769</v>
      </c>
      <c r="AB78" s="50" t="s">
        <v>765</v>
      </c>
      <c r="AC78" s="50" t="s">
        <v>766</v>
      </c>
    </row>
    <row r="79" spans="1:29" x14ac:dyDescent="0.25">
      <c r="A79" s="50" t="s">
        <v>409</v>
      </c>
      <c r="B79" s="50" t="s">
        <v>285</v>
      </c>
      <c r="C79" s="50" t="s">
        <v>402</v>
      </c>
      <c r="D79" s="50" t="s">
        <v>287</v>
      </c>
      <c r="E79" s="50">
        <v>9.7200000000000006</v>
      </c>
      <c r="F79" s="50">
        <v>9.75</v>
      </c>
      <c r="G79" s="50">
        <v>0.11</v>
      </c>
      <c r="H79" s="50" t="s">
        <v>625</v>
      </c>
      <c r="I79" s="50">
        <v>1078.97</v>
      </c>
      <c r="J79" s="50">
        <v>67.84</v>
      </c>
      <c r="K79" s="50" t="s">
        <v>288</v>
      </c>
      <c r="L79" s="50" t="s">
        <v>409</v>
      </c>
      <c r="M79" s="50" t="s">
        <v>285</v>
      </c>
      <c r="N79" s="50" t="s">
        <v>402</v>
      </c>
      <c r="O79" s="50" t="s">
        <v>287</v>
      </c>
      <c r="P79" s="50">
        <v>9.7200000000000006</v>
      </c>
      <c r="R79" s="51"/>
      <c r="V79" s="50">
        <v>50</v>
      </c>
      <c r="W79" s="51">
        <v>30.563749999999999</v>
      </c>
      <c r="X79" s="51">
        <v>1.437853579703672</v>
      </c>
      <c r="Y79" s="51">
        <f>2*X79</f>
        <v>2.875707159407344</v>
      </c>
      <c r="Z79" s="50">
        <v>50</v>
      </c>
      <c r="AA79" s="51">
        <v>33.543750000000003</v>
      </c>
      <c r="AB79" s="50">
        <v>1.9785827208720224</v>
      </c>
      <c r="AC79" s="51">
        <f>2*AB79</f>
        <v>3.9571654417440447</v>
      </c>
    </row>
    <row r="80" spans="1:29" x14ac:dyDescent="0.25">
      <c r="A80" s="50" t="s">
        <v>411</v>
      </c>
      <c r="B80" s="50" t="s">
        <v>285</v>
      </c>
      <c r="C80" s="50" t="s">
        <v>402</v>
      </c>
      <c r="D80" s="50" t="s">
        <v>287</v>
      </c>
      <c r="E80" s="50">
        <v>14.27</v>
      </c>
      <c r="F80" s="50">
        <v>14.08</v>
      </c>
      <c r="G80" s="50">
        <v>0.28999999999999998</v>
      </c>
      <c r="H80" s="50" t="s">
        <v>626</v>
      </c>
      <c r="I80" s="50">
        <v>85.96</v>
      </c>
      <c r="J80" s="50">
        <v>15.27</v>
      </c>
      <c r="K80" s="50" t="s">
        <v>288</v>
      </c>
      <c r="L80" s="50" t="s">
        <v>411</v>
      </c>
      <c r="M80" s="50" t="s">
        <v>285</v>
      </c>
      <c r="N80" s="50" t="s">
        <v>402</v>
      </c>
      <c r="O80" s="50" t="s">
        <v>287</v>
      </c>
      <c r="P80" s="50">
        <v>14.27</v>
      </c>
      <c r="R80" s="51"/>
      <c r="V80" s="50">
        <v>100</v>
      </c>
      <c r="W80" s="51">
        <v>28.806000000000001</v>
      </c>
      <c r="X80" s="51">
        <v>5.0313782902898501</v>
      </c>
      <c r="Y80" s="51">
        <f t="shared" ref="Y80:Y84" si="1">2*X80</f>
        <v>10.0627565805797</v>
      </c>
      <c r="Z80" s="50">
        <v>100</v>
      </c>
      <c r="AA80" s="51">
        <v>29.352999999999998</v>
      </c>
      <c r="AB80" s="50">
        <v>5.1213555334501244</v>
      </c>
      <c r="AC80" s="51">
        <f t="shared" ref="AC80:AC84" si="2">2*AB80</f>
        <v>10.242711066900249</v>
      </c>
    </row>
    <row r="81" spans="1:29" x14ac:dyDescent="0.25">
      <c r="A81" s="50" t="s">
        <v>413</v>
      </c>
      <c r="B81" s="50" t="s">
        <v>285</v>
      </c>
      <c r="C81" s="50" t="s">
        <v>402</v>
      </c>
      <c r="D81" s="50" t="s">
        <v>287</v>
      </c>
      <c r="E81" s="50">
        <v>14.21</v>
      </c>
      <c r="F81" s="50">
        <v>14.08</v>
      </c>
      <c r="G81" s="50">
        <v>0.28999999999999998</v>
      </c>
      <c r="H81" s="50" t="s">
        <v>627</v>
      </c>
      <c r="I81" s="50">
        <v>85.96</v>
      </c>
      <c r="J81" s="50">
        <v>15.27</v>
      </c>
      <c r="K81" s="50" t="s">
        <v>288</v>
      </c>
      <c r="L81" s="50" t="s">
        <v>413</v>
      </c>
      <c r="M81" s="50" t="s">
        <v>285</v>
      </c>
      <c r="N81" s="50" t="s">
        <v>402</v>
      </c>
      <c r="O81" s="50" t="s">
        <v>287</v>
      </c>
      <c r="P81" s="50">
        <v>14.21</v>
      </c>
      <c r="R81" s="51"/>
      <c r="V81" s="50">
        <v>200</v>
      </c>
      <c r="W81" s="51">
        <v>27.046666666666667</v>
      </c>
      <c r="X81" s="51">
        <v>5.5444076930423138</v>
      </c>
      <c r="Y81" s="51">
        <f t="shared" si="1"/>
        <v>11.088815386084628</v>
      </c>
      <c r="Z81" s="50">
        <v>200</v>
      </c>
      <c r="AA81" s="51">
        <v>25.69916666666667</v>
      </c>
      <c r="AB81" s="50">
        <v>4.3216448450406499</v>
      </c>
      <c r="AC81" s="51">
        <f t="shared" si="2"/>
        <v>8.6432896900812999</v>
      </c>
    </row>
    <row r="82" spans="1:29" x14ac:dyDescent="0.25">
      <c r="A82" s="50" t="s">
        <v>415</v>
      </c>
      <c r="B82" s="50" t="s">
        <v>285</v>
      </c>
      <c r="C82" s="50" t="s">
        <v>402</v>
      </c>
      <c r="D82" s="50" t="s">
        <v>287</v>
      </c>
      <c r="E82" s="50">
        <v>13.74</v>
      </c>
      <c r="F82" s="50">
        <v>14.08</v>
      </c>
      <c r="G82" s="50">
        <v>0.28999999999999998</v>
      </c>
      <c r="H82" s="50" t="s">
        <v>628</v>
      </c>
      <c r="I82" s="50">
        <v>85.96</v>
      </c>
      <c r="J82" s="50">
        <v>15.27</v>
      </c>
      <c r="K82" s="50" t="s">
        <v>288</v>
      </c>
      <c r="L82" s="50" t="s">
        <v>415</v>
      </c>
      <c r="M82" s="50" t="s">
        <v>285</v>
      </c>
      <c r="N82" s="50" t="s">
        <v>402</v>
      </c>
      <c r="O82" s="50" t="s">
        <v>287</v>
      </c>
      <c r="P82" s="50">
        <v>13.74</v>
      </c>
      <c r="R82" s="51"/>
      <c r="V82" s="50">
        <v>400</v>
      </c>
      <c r="W82" s="51">
        <v>24.286666666666665</v>
      </c>
      <c r="X82" s="51">
        <v>4.4136398433341428</v>
      </c>
      <c r="Y82" s="51">
        <f t="shared" si="1"/>
        <v>8.8272796866682857</v>
      </c>
      <c r="Z82" s="50">
        <v>400</v>
      </c>
      <c r="AA82" s="51">
        <v>23.913333333333338</v>
      </c>
      <c r="AB82" s="50">
        <v>3.9770085072408965</v>
      </c>
      <c r="AC82" s="51">
        <f t="shared" si="2"/>
        <v>7.954017014481793</v>
      </c>
    </row>
    <row r="83" spans="1:29" x14ac:dyDescent="0.25">
      <c r="A83" s="50" t="s">
        <v>417</v>
      </c>
      <c r="B83" s="50" t="s">
        <v>285</v>
      </c>
      <c r="C83" s="50" t="s">
        <v>402</v>
      </c>
      <c r="D83" s="50" t="s">
        <v>287</v>
      </c>
      <c r="E83" s="50">
        <v>17.559999999999999</v>
      </c>
      <c r="F83" s="50">
        <v>17.64</v>
      </c>
      <c r="G83" s="50">
        <v>0.14000000000000001</v>
      </c>
      <c r="H83" s="50" t="s">
        <v>629</v>
      </c>
      <c r="I83" s="50">
        <v>10.55</v>
      </c>
      <c r="J83" s="50">
        <v>0.85</v>
      </c>
      <c r="K83" s="50" t="s">
        <v>288</v>
      </c>
      <c r="L83" s="50" t="s">
        <v>417</v>
      </c>
      <c r="M83" s="50" t="s">
        <v>285</v>
      </c>
      <c r="N83" s="50" t="s">
        <v>402</v>
      </c>
      <c r="O83" s="50" t="s">
        <v>287</v>
      </c>
      <c r="P83" s="50">
        <v>17.559999999999999</v>
      </c>
      <c r="R83" s="51"/>
      <c r="V83" s="50">
        <v>600</v>
      </c>
      <c r="W83" s="51">
        <v>23.959166666666665</v>
      </c>
      <c r="X83" s="51">
        <v>5.6679352921668533</v>
      </c>
      <c r="Y83" s="51">
        <f t="shared" si="1"/>
        <v>11.335870584333707</v>
      </c>
      <c r="Z83" s="50">
        <v>600</v>
      </c>
      <c r="AA83" s="51">
        <v>23.194999999999997</v>
      </c>
      <c r="AB83" s="50">
        <v>4.1056960433037624</v>
      </c>
      <c r="AC83" s="51">
        <f t="shared" si="2"/>
        <v>8.2113920866075247</v>
      </c>
    </row>
    <row r="84" spans="1:29" x14ac:dyDescent="0.25">
      <c r="A84" s="50" t="s">
        <v>419</v>
      </c>
      <c r="B84" s="50" t="s">
        <v>285</v>
      </c>
      <c r="C84" s="50" t="s">
        <v>402</v>
      </c>
      <c r="D84" s="50" t="s">
        <v>287</v>
      </c>
      <c r="E84" s="50">
        <v>17.8</v>
      </c>
      <c r="F84" s="50">
        <v>17.64</v>
      </c>
      <c r="G84" s="50">
        <v>0.14000000000000001</v>
      </c>
      <c r="H84" s="50" t="s">
        <v>630</v>
      </c>
      <c r="I84" s="50">
        <v>10.55</v>
      </c>
      <c r="J84" s="50">
        <v>0.85</v>
      </c>
      <c r="K84" s="50" t="s">
        <v>288</v>
      </c>
      <c r="L84" s="50" t="s">
        <v>419</v>
      </c>
      <c r="M84" s="50" t="s">
        <v>285</v>
      </c>
      <c r="N84" s="50" t="s">
        <v>402</v>
      </c>
      <c r="O84" s="50" t="s">
        <v>287</v>
      </c>
      <c r="P84" s="50">
        <v>17.8</v>
      </c>
      <c r="R84" s="51"/>
      <c r="V84" s="50">
        <v>800</v>
      </c>
      <c r="W84" s="51">
        <v>22.821666666666669</v>
      </c>
      <c r="X84" s="51">
        <v>5.6422235569557584</v>
      </c>
      <c r="Y84" s="51">
        <f t="shared" si="1"/>
        <v>11.284447113911517</v>
      </c>
      <c r="Z84" s="50">
        <v>800</v>
      </c>
      <c r="AA84" s="51">
        <v>22.864166666666666</v>
      </c>
      <c r="AB84" s="50">
        <v>3.9097575585535402</v>
      </c>
      <c r="AC84" s="51">
        <f t="shared" si="2"/>
        <v>7.8195151171070805</v>
      </c>
    </row>
    <row r="85" spans="1:29" x14ac:dyDescent="0.25">
      <c r="A85" s="50" t="s">
        <v>421</v>
      </c>
      <c r="B85" s="50" t="s">
        <v>285</v>
      </c>
      <c r="C85" s="50" t="s">
        <v>402</v>
      </c>
      <c r="D85" s="50" t="s">
        <v>287</v>
      </c>
      <c r="E85" s="50">
        <v>17.559999999999999</v>
      </c>
      <c r="F85" s="50">
        <v>17.64</v>
      </c>
      <c r="G85" s="50">
        <v>0.14000000000000001</v>
      </c>
      <c r="H85" s="50" t="s">
        <v>629</v>
      </c>
      <c r="I85" s="50">
        <v>10.55</v>
      </c>
      <c r="J85" s="50">
        <v>0.85</v>
      </c>
      <c r="K85" s="50" t="s">
        <v>288</v>
      </c>
      <c r="L85" s="50" t="s">
        <v>421</v>
      </c>
      <c r="M85" s="50" t="s">
        <v>285</v>
      </c>
      <c r="N85" s="50" t="s">
        <v>402</v>
      </c>
      <c r="O85" s="50" t="s">
        <v>287</v>
      </c>
      <c r="P85" s="50">
        <v>17.559999999999999</v>
      </c>
      <c r="R85" s="51"/>
    </row>
    <row r="86" spans="1:29" x14ac:dyDescent="0.25">
      <c r="A86" s="50" t="s">
        <v>423</v>
      </c>
      <c r="B86" s="50" t="s">
        <v>285</v>
      </c>
      <c r="C86" s="50" t="s">
        <v>402</v>
      </c>
      <c r="D86" s="50" t="s">
        <v>287</v>
      </c>
      <c r="E86" s="50">
        <v>21.39</v>
      </c>
      <c r="F86" s="50">
        <v>21.42</v>
      </c>
      <c r="G86" s="50">
        <v>0.04</v>
      </c>
      <c r="H86" s="50" t="s">
        <v>631</v>
      </c>
      <c r="I86" s="50">
        <v>1.1399999999999999</v>
      </c>
      <c r="J86" s="50">
        <v>0.02</v>
      </c>
      <c r="K86" s="50" t="s">
        <v>288</v>
      </c>
      <c r="L86" s="50" t="s">
        <v>423</v>
      </c>
      <c r="M86" s="50" t="s">
        <v>285</v>
      </c>
      <c r="N86" s="50" t="s">
        <v>402</v>
      </c>
      <c r="O86" s="50" t="s">
        <v>287</v>
      </c>
      <c r="P86" s="50">
        <v>21.39</v>
      </c>
      <c r="R86" s="51"/>
    </row>
    <row r="87" spans="1:29" x14ac:dyDescent="0.25">
      <c r="A87" s="50" t="s">
        <v>425</v>
      </c>
      <c r="B87" s="50" t="s">
        <v>285</v>
      </c>
      <c r="C87" s="50" t="s">
        <v>402</v>
      </c>
      <c r="D87" s="50" t="s">
        <v>287</v>
      </c>
      <c r="E87" s="50">
        <v>21.43</v>
      </c>
      <c r="F87" s="50">
        <v>21.42</v>
      </c>
      <c r="G87" s="50">
        <v>0.04</v>
      </c>
      <c r="H87" s="50" t="s">
        <v>632</v>
      </c>
      <c r="I87" s="50">
        <v>1.1399999999999999</v>
      </c>
      <c r="J87" s="50">
        <v>0.02</v>
      </c>
      <c r="K87" s="50" t="s">
        <v>288</v>
      </c>
      <c r="L87" s="50" t="s">
        <v>425</v>
      </c>
      <c r="M87" s="50" t="s">
        <v>285</v>
      </c>
      <c r="N87" s="50" t="s">
        <v>402</v>
      </c>
      <c r="O87" s="50" t="s">
        <v>287</v>
      </c>
      <c r="P87" s="50">
        <v>21.43</v>
      </c>
      <c r="R87" s="51"/>
      <c r="U87" s="50" t="s">
        <v>767</v>
      </c>
      <c r="V87" s="50" t="s">
        <v>768</v>
      </c>
      <c r="W87" s="50" t="s">
        <v>769</v>
      </c>
    </row>
    <row r="88" spans="1:29" x14ac:dyDescent="0.25">
      <c r="A88" s="50" t="s">
        <v>427</v>
      </c>
      <c r="B88" s="50" t="s">
        <v>285</v>
      </c>
      <c r="C88" s="50" t="s">
        <v>402</v>
      </c>
      <c r="D88" s="50" t="s">
        <v>287</v>
      </c>
      <c r="E88" s="50">
        <v>21.46</v>
      </c>
      <c r="F88" s="50">
        <v>21.42</v>
      </c>
      <c r="G88" s="50">
        <v>0.04</v>
      </c>
      <c r="H88" s="50" t="s">
        <v>633</v>
      </c>
      <c r="I88" s="50">
        <v>1.1399999999999999</v>
      </c>
      <c r="J88" s="50">
        <v>0.02</v>
      </c>
      <c r="K88" s="50" t="s">
        <v>288</v>
      </c>
      <c r="L88" s="50" t="s">
        <v>427</v>
      </c>
      <c r="M88" s="50" t="s">
        <v>285</v>
      </c>
      <c r="N88" s="50" t="s">
        <v>402</v>
      </c>
      <c r="O88" s="50" t="s">
        <v>287</v>
      </c>
      <c r="P88" s="50">
        <v>21.46</v>
      </c>
      <c r="R88" s="51"/>
      <c r="U88" s="50">
        <v>50</v>
      </c>
      <c r="V88" s="51">
        <v>30.563749999999999</v>
      </c>
      <c r="W88" s="51">
        <v>33.543750000000003</v>
      </c>
      <c r="X88" s="51"/>
      <c r="AB88" s="51"/>
    </row>
    <row r="89" spans="1:29" x14ac:dyDescent="0.25">
      <c r="A89" s="50" t="s">
        <v>429</v>
      </c>
      <c r="B89" s="50" t="s">
        <v>285</v>
      </c>
      <c r="C89" s="50" t="s">
        <v>402</v>
      </c>
      <c r="D89" s="50" t="s">
        <v>287</v>
      </c>
      <c r="E89" s="50">
        <v>25.68</v>
      </c>
      <c r="F89" s="50">
        <v>25.81</v>
      </c>
      <c r="G89" s="50">
        <v>0.28000000000000003</v>
      </c>
      <c r="H89" s="50" t="s">
        <v>634</v>
      </c>
      <c r="I89" s="50">
        <v>0.09</v>
      </c>
      <c r="J89" s="50">
        <v>0.01</v>
      </c>
      <c r="K89" s="50" t="s">
        <v>288</v>
      </c>
      <c r="L89" s="50" t="s">
        <v>429</v>
      </c>
      <c r="M89" s="50" t="s">
        <v>285</v>
      </c>
      <c r="N89" s="50" t="s">
        <v>402</v>
      </c>
      <c r="O89" s="50" t="s">
        <v>287</v>
      </c>
      <c r="P89" s="50">
        <v>25.68</v>
      </c>
      <c r="R89" s="51"/>
      <c r="U89" s="50">
        <v>100</v>
      </c>
      <c r="V89" s="51">
        <v>28.806000000000001</v>
      </c>
      <c r="W89" s="51">
        <v>29.352999999999998</v>
      </c>
      <c r="X89" s="51"/>
      <c r="AB89" s="51"/>
    </row>
    <row r="90" spans="1:29" x14ac:dyDescent="0.25">
      <c r="A90" s="50" t="s">
        <v>431</v>
      </c>
      <c r="B90" s="50" t="s">
        <v>285</v>
      </c>
      <c r="C90" s="50" t="s">
        <v>402</v>
      </c>
      <c r="D90" s="50" t="s">
        <v>287</v>
      </c>
      <c r="E90" s="50">
        <v>26.14</v>
      </c>
      <c r="F90" s="50">
        <v>25.81</v>
      </c>
      <c r="G90" s="50">
        <v>0.28000000000000003</v>
      </c>
      <c r="H90" s="50" t="s">
        <v>635</v>
      </c>
      <c r="I90" s="50">
        <v>0.09</v>
      </c>
      <c r="J90" s="50">
        <v>0.01</v>
      </c>
      <c r="K90" s="50" t="s">
        <v>288</v>
      </c>
      <c r="L90" s="50" t="s">
        <v>431</v>
      </c>
      <c r="M90" s="50" t="s">
        <v>285</v>
      </c>
      <c r="N90" s="50" t="s">
        <v>402</v>
      </c>
      <c r="O90" s="50" t="s">
        <v>287</v>
      </c>
      <c r="P90" s="50">
        <v>26.14</v>
      </c>
      <c r="R90" s="51"/>
      <c r="U90" s="50">
        <v>200</v>
      </c>
      <c r="V90" s="51">
        <v>27.046666666666667</v>
      </c>
      <c r="W90" s="51">
        <v>25.69916666666667</v>
      </c>
      <c r="X90" s="51"/>
      <c r="AB90" s="51"/>
    </row>
    <row r="91" spans="1:29" x14ac:dyDescent="0.25">
      <c r="A91" s="50" t="s">
        <v>432</v>
      </c>
      <c r="B91" s="50" t="s">
        <v>285</v>
      </c>
      <c r="C91" s="50" t="s">
        <v>402</v>
      </c>
      <c r="D91" s="50" t="s">
        <v>287</v>
      </c>
      <c r="E91" s="50">
        <v>25.62</v>
      </c>
      <c r="F91" s="50">
        <v>25.81</v>
      </c>
      <c r="G91" s="50">
        <v>0.28000000000000003</v>
      </c>
      <c r="H91" s="50" t="s">
        <v>636</v>
      </c>
      <c r="I91" s="50">
        <v>0.09</v>
      </c>
      <c r="J91" s="50">
        <v>0.01</v>
      </c>
      <c r="K91" s="50" t="s">
        <v>288</v>
      </c>
      <c r="L91" s="50" t="s">
        <v>432</v>
      </c>
      <c r="M91" s="50" t="s">
        <v>285</v>
      </c>
      <c r="N91" s="50" t="s">
        <v>402</v>
      </c>
      <c r="O91" s="50" t="s">
        <v>287</v>
      </c>
      <c r="P91" s="50">
        <v>25.62</v>
      </c>
      <c r="R91" s="51"/>
      <c r="U91" s="50">
        <v>400</v>
      </c>
      <c r="V91" s="51">
        <v>24.286666666666665</v>
      </c>
      <c r="W91" s="51">
        <v>23.913333333333338</v>
      </c>
      <c r="X91" s="51"/>
      <c r="AB91" s="51"/>
    </row>
    <row r="92" spans="1:29" x14ac:dyDescent="0.25">
      <c r="A92" s="50" t="s">
        <v>434</v>
      </c>
      <c r="B92" s="50" t="s">
        <v>285</v>
      </c>
      <c r="C92" s="50" t="s">
        <v>402</v>
      </c>
      <c r="D92" s="50" t="s">
        <v>287</v>
      </c>
      <c r="E92" s="50">
        <v>29.25</v>
      </c>
      <c r="F92" s="50">
        <v>29.41</v>
      </c>
      <c r="G92" s="50">
        <v>0.15</v>
      </c>
      <c r="H92" s="50" t="s">
        <v>637</v>
      </c>
      <c r="I92" s="50">
        <v>0.01</v>
      </c>
      <c r="J92" s="50">
        <v>0</v>
      </c>
      <c r="K92" s="50" t="s">
        <v>288</v>
      </c>
      <c r="L92" s="50" t="s">
        <v>434</v>
      </c>
      <c r="M92" s="50" t="s">
        <v>285</v>
      </c>
      <c r="N92" s="50" t="s">
        <v>402</v>
      </c>
      <c r="O92" s="50" t="s">
        <v>287</v>
      </c>
      <c r="P92" s="50">
        <v>29.25</v>
      </c>
      <c r="R92" s="51"/>
      <c r="U92" s="50">
        <v>600</v>
      </c>
      <c r="V92" s="51">
        <v>23.959166666666665</v>
      </c>
      <c r="W92" s="51">
        <v>23.194999999999997</v>
      </c>
      <c r="X92" s="51"/>
      <c r="AB92" s="51"/>
    </row>
    <row r="93" spans="1:29" x14ac:dyDescent="0.25">
      <c r="A93" s="50" t="s">
        <v>436</v>
      </c>
      <c r="B93" s="50" t="s">
        <v>285</v>
      </c>
      <c r="C93" s="50" t="s">
        <v>402</v>
      </c>
      <c r="D93" s="50" t="s">
        <v>287</v>
      </c>
      <c r="E93" s="50">
        <v>29.44</v>
      </c>
      <c r="F93" s="50">
        <v>29.41</v>
      </c>
      <c r="G93" s="50">
        <v>0.15</v>
      </c>
      <c r="H93" s="50" t="s">
        <v>555</v>
      </c>
      <c r="I93" s="50">
        <v>0.01</v>
      </c>
      <c r="J93" s="50">
        <v>0</v>
      </c>
      <c r="K93" s="50" t="s">
        <v>288</v>
      </c>
      <c r="L93" s="50" t="s">
        <v>436</v>
      </c>
      <c r="M93" s="50" t="s">
        <v>285</v>
      </c>
      <c r="N93" s="50" t="s">
        <v>402</v>
      </c>
      <c r="O93" s="50" t="s">
        <v>287</v>
      </c>
      <c r="P93" s="50">
        <v>29.44</v>
      </c>
      <c r="R93" s="51"/>
      <c r="U93" s="50">
        <v>800</v>
      </c>
      <c r="V93" s="51">
        <v>22.821666666666669</v>
      </c>
      <c r="W93" s="51">
        <v>22.864166666666666</v>
      </c>
      <c r="X93" s="51"/>
      <c r="AB93" s="51"/>
    </row>
    <row r="94" spans="1:29" x14ac:dyDescent="0.25">
      <c r="A94" s="50" t="s">
        <v>438</v>
      </c>
      <c r="B94" s="50" t="s">
        <v>285</v>
      </c>
      <c r="C94" s="50" t="s">
        <v>402</v>
      </c>
      <c r="D94" s="50" t="s">
        <v>287</v>
      </c>
      <c r="E94" s="50">
        <v>29.54</v>
      </c>
      <c r="F94" s="50">
        <v>29.41</v>
      </c>
      <c r="G94" s="50">
        <v>0.15</v>
      </c>
      <c r="H94" s="50" t="s">
        <v>638</v>
      </c>
      <c r="I94" s="50">
        <v>0.01</v>
      </c>
      <c r="J94" s="50">
        <v>0</v>
      </c>
      <c r="K94" s="50" t="s">
        <v>288</v>
      </c>
      <c r="L94" s="50" t="s">
        <v>438</v>
      </c>
      <c r="M94" s="50" t="s">
        <v>285</v>
      </c>
      <c r="N94" s="50" t="s">
        <v>402</v>
      </c>
      <c r="O94" s="50" t="s">
        <v>287</v>
      </c>
      <c r="P94" s="50">
        <v>29.54</v>
      </c>
      <c r="R94" s="51"/>
    </row>
    <row r="95" spans="1:29" x14ac:dyDescent="0.25">
      <c r="A95" s="50" t="s">
        <v>440</v>
      </c>
      <c r="B95" s="50" t="s">
        <v>285</v>
      </c>
      <c r="C95" s="50" t="s">
        <v>441</v>
      </c>
      <c r="D95" s="50" t="s">
        <v>287</v>
      </c>
      <c r="E95" s="50">
        <v>38.130000000000003</v>
      </c>
      <c r="F95" s="50" t="s">
        <v>288</v>
      </c>
      <c r="G95" s="50" t="s">
        <v>288</v>
      </c>
      <c r="H95" s="50" t="s">
        <v>639</v>
      </c>
      <c r="I95" s="50" t="s">
        <v>288</v>
      </c>
      <c r="J95" s="50" t="s">
        <v>288</v>
      </c>
      <c r="K95" s="50" t="s">
        <v>288</v>
      </c>
      <c r="L95" s="50" t="s">
        <v>440</v>
      </c>
      <c r="M95" s="50" t="s">
        <v>285</v>
      </c>
      <c r="N95" s="50" t="s">
        <v>441</v>
      </c>
      <c r="O95" s="50" t="s">
        <v>287</v>
      </c>
      <c r="P95" s="50">
        <v>38.130000000000003</v>
      </c>
      <c r="R95" s="51"/>
    </row>
    <row r="96" spans="1:29" x14ac:dyDescent="0.25">
      <c r="A96" s="50" t="s">
        <v>442</v>
      </c>
      <c r="B96" s="50" t="s">
        <v>285</v>
      </c>
      <c r="C96" s="50" t="s">
        <v>441</v>
      </c>
      <c r="D96" s="50" t="s">
        <v>287</v>
      </c>
      <c r="E96" s="50" t="s">
        <v>288</v>
      </c>
      <c r="F96" s="50" t="s">
        <v>288</v>
      </c>
      <c r="G96" s="50" t="s">
        <v>288</v>
      </c>
      <c r="H96" s="50" t="s">
        <v>288</v>
      </c>
      <c r="I96" s="50" t="s">
        <v>288</v>
      </c>
      <c r="J96" s="50" t="s">
        <v>288</v>
      </c>
      <c r="K96" s="50" t="s">
        <v>288</v>
      </c>
      <c r="L96" s="50" t="s">
        <v>442</v>
      </c>
      <c r="M96" s="50" t="s">
        <v>285</v>
      </c>
      <c r="N96" s="50" t="s">
        <v>441</v>
      </c>
      <c r="O96" s="50" t="s">
        <v>287</v>
      </c>
      <c r="P96" s="50" t="s">
        <v>288</v>
      </c>
      <c r="R96" s="51"/>
    </row>
    <row r="97" spans="1:18" x14ac:dyDescent="0.25">
      <c r="A97" s="50" t="s">
        <v>443</v>
      </c>
      <c r="B97" s="50" t="s">
        <v>285</v>
      </c>
      <c r="C97" s="50" t="s">
        <v>441</v>
      </c>
      <c r="D97" s="50" t="s">
        <v>287</v>
      </c>
      <c r="E97" s="50" t="s">
        <v>288</v>
      </c>
      <c r="F97" s="50" t="s">
        <v>288</v>
      </c>
      <c r="G97" s="50" t="s">
        <v>288</v>
      </c>
      <c r="H97" s="50" t="s">
        <v>288</v>
      </c>
      <c r="I97" s="50" t="s">
        <v>288</v>
      </c>
      <c r="J97" s="50" t="s">
        <v>288</v>
      </c>
      <c r="K97" s="50" t="s">
        <v>288</v>
      </c>
      <c r="L97" s="50" t="s">
        <v>443</v>
      </c>
      <c r="M97" s="50" t="s">
        <v>285</v>
      </c>
      <c r="N97" s="50" t="s">
        <v>441</v>
      </c>
      <c r="O97" s="50" t="s">
        <v>287</v>
      </c>
      <c r="P97" s="50" t="s">
        <v>288</v>
      </c>
      <c r="R97" s="51"/>
    </row>
    <row r="143" spans="18:28" x14ac:dyDescent="0.25">
      <c r="AB143" s="50" t="s">
        <v>744</v>
      </c>
    </row>
    <row r="144" spans="18:28" x14ac:dyDescent="0.25">
      <c r="R144" s="50" t="s">
        <v>735</v>
      </c>
      <c r="S144" s="50" t="s">
        <v>742</v>
      </c>
      <c r="AA144" s="50" t="s">
        <v>756</v>
      </c>
      <c r="AB144" s="56">
        <v>5</v>
      </c>
    </row>
    <row r="145" spans="18:36" ht="13.8" thickBot="1" x14ac:dyDescent="0.3">
      <c r="R145" s="50">
        <v>50</v>
      </c>
      <c r="S145" s="51">
        <v>30.563749999999999</v>
      </c>
      <c r="AA145" s="50" t="s">
        <v>749</v>
      </c>
      <c r="AB145" s="56">
        <v>10</v>
      </c>
      <c r="AH145" s="58"/>
      <c r="AI145" s="62" t="s">
        <v>773</v>
      </c>
      <c r="AJ145" s="62"/>
    </row>
    <row r="146" spans="18:36" ht="13.8" thickTop="1" x14ac:dyDescent="0.25">
      <c r="R146" s="50">
        <v>100</v>
      </c>
      <c r="S146" s="51">
        <v>28.806000000000001</v>
      </c>
      <c r="AA146" s="50" t="s">
        <v>748</v>
      </c>
      <c r="AB146" s="56">
        <v>10</v>
      </c>
      <c r="AH146" s="59" t="s">
        <v>770</v>
      </c>
      <c r="AI146" s="60" t="s">
        <v>739</v>
      </c>
      <c r="AJ146" s="60" t="s">
        <v>740</v>
      </c>
    </row>
    <row r="147" spans="18:36" x14ac:dyDescent="0.25">
      <c r="R147" s="50">
        <v>200</v>
      </c>
      <c r="S147" s="51">
        <v>27.046666666666667</v>
      </c>
      <c r="AA147" s="50" t="s">
        <v>747</v>
      </c>
      <c r="AB147" s="50">
        <v>400</v>
      </c>
      <c r="AH147" s="58" t="s">
        <v>771</v>
      </c>
      <c r="AI147" s="61">
        <v>350</v>
      </c>
      <c r="AJ147" s="61">
        <v>400</v>
      </c>
    </row>
    <row r="148" spans="18:36" x14ac:dyDescent="0.25">
      <c r="R148" s="50">
        <v>400</v>
      </c>
      <c r="S148" s="51">
        <v>24.286666666666665</v>
      </c>
      <c r="AA148" s="50" t="s">
        <v>746</v>
      </c>
      <c r="AB148" s="50">
        <v>423.12632018174895</v>
      </c>
      <c r="AH148" s="58" t="s">
        <v>772</v>
      </c>
      <c r="AI148" s="60">
        <v>400</v>
      </c>
      <c r="AJ148" s="60">
        <v>423</v>
      </c>
    </row>
    <row r="149" spans="18:36" x14ac:dyDescent="0.25">
      <c r="R149" s="50">
        <v>600</v>
      </c>
      <c r="S149" s="51">
        <v>23.959166666666665</v>
      </c>
      <c r="AA149" s="50" t="s">
        <v>757</v>
      </c>
      <c r="AB149" s="50">
        <v>0</v>
      </c>
    </row>
    <row r="150" spans="18:36" x14ac:dyDescent="0.25">
      <c r="R150" s="50">
        <v>800</v>
      </c>
      <c r="S150" s="51">
        <v>22.821666666666669</v>
      </c>
      <c r="AA150" s="50" t="s">
        <v>745</v>
      </c>
      <c r="AB150" s="56">
        <f>AB148/10000*AB146+AB144/575*AB149</f>
        <v>0.42312632018174895</v>
      </c>
    </row>
    <row r="152" spans="18:36" x14ac:dyDescent="0.25">
      <c r="AA152" s="50" t="s">
        <v>750</v>
      </c>
      <c r="AB152" s="50">
        <f xml:space="preserve"> 20.68965 + (32.55865 - 20.68965)/(1 + (AB148/212.689)^1.088953)</f>
        <v>24.499999563514162</v>
      </c>
      <c r="AC152" s="50" t="s">
        <v>755</v>
      </c>
      <c r="AE152" s="50">
        <v>22.5</v>
      </c>
    </row>
    <row r="153" spans="18:36" x14ac:dyDescent="0.25">
      <c r="AA153" s="50" t="s">
        <v>750</v>
      </c>
      <c r="AB153" s="50">
        <f xml:space="preserve"> 20.68965 + (32.55865 - 20.68965)/(1 + (AB148/212.689)^1.088953)</f>
        <v>24.499999563514162</v>
      </c>
      <c r="AC153" s="50" t="s">
        <v>753</v>
      </c>
      <c r="AE153" s="50">
        <v>24.5</v>
      </c>
    </row>
    <row r="154" spans="18:36" x14ac:dyDescent="0.25">
      <c r="AA154" s="50" t="s">
        <v>751</v>
      </c>
      <c r="AB154" s="50">
        <f>AB148</f>
        <v>423.12632018174895</v>
      </c>
      <c r="AC154" s="50" t="s">
        <v>753</v>
      </c>
      <c r="AE154" s="50">
        <v>600</v>
      </c>
    </row>
    <row r="155" spans="18:36" x14ac:dyDescent="0.25">
      <c r="AA155" s="50" t="s">
        <v>752</v>
      </c>
      <c r="AB155" s="50">
        <f>AB148</f>
        <v>423.12632018174895</v>
      </c>
      <c r="AC155" s="50" t="s">
        <v>754</v>
      </c>
      <c r="AE155" s="50">
        <v>200</v>
      </c>
    </row>
    <row r="160" spans="18:36" x14ac:dyDescent="0.25">
      <c r="Y160" s="50" t="s">
        <v>737</v>
      </c>
      <c r="Z160" s="50" t="s">
        <v>743</v>
      </c>
      <c r="AB160" s="50" t="s">
        <v>758</v>
      </c>
    </row>
    <row r="161" spans="25:39" x14ac:dyDescent="0.25">
      <c r="Y161" s="50">
        <v>50</v>
      </c>
      <c r="Z161" s="51">
        <v>33.543750000000003</v>
      </c>
      <c r="AJ161" s="50" t="s">
        <v>756</v>
      </c>
      <c r="AK161" s="56">
        <v>5</v>
      </c>
    </row>
    <row r="162" spans="25:39" x14ac:dyDescent="0.25">
      <c r="Y162" s="50">
        <v>100</v>
      </c>
      <c r="Z162" s="51">
        <v>29.352999999999998</v>
      </c>
      <c r="AJ162" s="50" t="s">
        <v>749</v>
      </c>
      <c r="AK162" s="56">
        <v>10</v>
      </c>
    </row>
    <row r="163" spans="25:39" x14ac:dyDescent="0.25">
      <c r="Y163" s="50">
        <v>200</v>
      </c>
      <c r="Z163" s="51">
        <v>25.69916666666667</v>
      </c>
      <c r="AJ163" s="50" t="s">
        <v>748</v>
      </c>
      <c r="AK163" s="56">
        <v>10</v>
      </c>
    </row>
    <row r="164" spans="25:39" x14ac:dyDescent="0.25">
      <c r="Y164" s="50">
        <v>400</v>
      </c>
      <c r="Z164" s="51">
        <v>23.913333333333338</v>
      </c>
      <c r="AJ164" s="50" t="s">
        <v>747</v>
      </c>
      <c r="AK164" s="50">
        <v>400</v>
      </c>
    </row>
    <row r="165" spans="25:39" x14ac:dyDescent="0.25">
      <c r="Y165" s="50">
        <v>600</v>
      </c>
      <c r="Z165" s="51">
        <v>23.194999999999997</v>
      </c>
      <c r="AJ165" s="50" t="s">
        <v>746</v>
      </c>
      <c r="AK165" s="50">
        <v>362.38726626763128</v>
      </c>
    </row>
    <row r="166" spans="25:39" x14ac:dyDescent="0.25">
      <c r="Y166" s="50">
        <v>800</v>
      </c>
      <c r="Z166" s="51">
        <v>22.864166666666666</v>
      </c>
      <c r="AJ166" s="50" t="s">
        <v>757</v>
      </c>
      <c r="AK166" s="50">
        <v>0</v>
      </c>
    </row>
    <row r="167" spans="25:39" x14ac:dyDescent="0.25">
      <c r="AJ167" s="50" t="s">
        <v>745</v>
      </c>
      <c r="AK167" s="56">
        <f>AK165/10000*AK163+AK161/575*AK166</f>
        <v>0.36238726626763129</v>
      </c>
    </row>
    <row r="168" spans="25:39" x14ac:dyDescent="0.25">
      <c r="Z168" s="51">
        <v>33.543750000000003</v>
      </c>
      <c r="AA168" s="51">
        <v>29.352999999999998</v>
      </c>
      <c r="AB168" s="51">
        <v>25.69916666666667</v>
      </c>
      <c r="AC168" s="51">
        <v>23.913333333333338</v>
      </c>
      <c r="AD168" s="51"/>
      <c r="AE168" s="51">
        <v>23.194999999999997</v>
      </c>
      <c r="AF168" s="51">
        <v>22.864166666666666</v>
      </c>
    </row>
    <row r="169" spans="25:39" x14ac:dyDescent="0.25">
      <c r="AJ169" s="50" t="s">
        <v>750</v>
      </c>
      <c r="AK169" s="50">
        <f xml:space="preserve"> 22.35922 + (39.68124 - 22.35922)/(1 + (AK165/75.83227)^1.443099)</f>
        <v>24.000019367917616</v>
      </c>
      <c r="AL169" s="50" t="s">
        <v>755</v>
      </c>
      <c r="AM169" s="50">
        <v>22.5</v>
      </c>
    </row>
    <row r="170" spans="25:39" x14ac:dyDescent="0.25">
      <c r="AJ170" s="50" t="s">
        <v>750</v>
      </c>
      <c r="AK170" s="50">
        <f xml:space="preserve"> 22.35922 + (39.68124 - 22.35922)/(1 + (AK165/75.83227)^1.443099)</f>
        <v>24.000019367917616</v>
      </c>
      <c r="AL170" s="50" t="s">
        <v>753</v>
      </c>
      <c r="AM170" s="50">
        <v>24</v>
      </c>
    </row>
    <row r="171" spans="25:39" x14ac:dyDescent="0.25">
      <c r="AJ171" s="50" t="s">
        <v>751</v>
      </c>
      <c r="AK171" s="50">
        <f>AK165</f>
        <v>362.38726626763128</v>
      </c>
      <c r="AL171" s="50" t="s">
        <v>753</v>
      </c>
      <c r="AM171" s="50">
        <v>600</v>
      </c>
    </row>
    <row r="172" spans="25:39" x14ac:dyDescent="0.25">
      <c r="AJ172" s="50" t="s">
        <v>752</v>
      </c>
      <c r="AK172" s="50">
        <f>AK165</f>
        <v>362.38726626763128</v>
      </c>
      <c r="AL172" s="50" t="s">
        <v>754</v>
      </c>
      <c r="AM172" s="50">
        <v>200</v>
      </c>
    </row>
  </sheetData>
  <sortState xmlns:xlrd2="http://schemas.microsoft.com/office/spreadsheetml/2017/richdata2" ref="AE2:AG37">
    <sortCondition ref="AE2:AE37"/>
  </sortState>
  <mergeCells count="1">
    <mergeCell ref="AI145:AJ145"/>
  </mergeCells>
  <hyperlinks>
    <hyperlink ref="U66" r:id="rId1" xr:uid="{1710DB6C-F0E9-4528-91F5-F28B7BD4D149}"/>
    <hyperlink ref="U67" r:id="rId2" xr:uid="{5AB564F2-DABE-44FA-ADF0-52E8C38773A6}"/>
    <hyperlink ref="U68" r:id="rId3" xr:uid="{E8D4DD73-F9A1-48FB-AA66-08328907B659}"/>
    <hyperlink ref="U69" r:id="rId4" xr:uid="{43BAE4A3-30B3-4759-97FB-CAE48DEC68F5}"/>
    <hyperlink ref="U70" r:id="rId5" xr:uid="{70AAFC1D-BA91-405B-B300-A621A79CDF1E}"/>
  </hyperlinks>
  <pageMargins left="0.75" right="0.75" top="1" bottom="1" header="0.5" footer="0.5"/>
  <pageSetup orientation="portrait" horizontalDpi="300" verticalDpi="300" r:id="rId6"/>
  <headerFooter alignWithMargins="0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C66B2-2F13-4309-878A-20FAA20DC9C3}">
  <sheetPr codeName="Sheet7"/>
  <dimension ref="A1"/>
  <sheetViews>
    <sheetView zoomScaleNormal="100" workbookViewId="0">
      <selection activeCell="C20" sqref="C20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231B0F347DDE4095027796ED4DA961" ma:contentTypeVersion="16" ma:contentTypeDescription="Create a new document." ma:contentTypeScope="" ma:versionID="be4335ba624d1eee83ba913560934fa1">
  <xsd:schema xmlns:xsd="http://www.w3.org/2001/XMLSchema" xmlns:xs="http://www.w3.org/2001/XMLSchema" xmlns:p="http://schemas.microsoft.com/office/2006/metadata/properties" xmlns:ns2="73b35b98-cb7e-410c-85ac-42f66d393083" xmlns:ns3="2f09188f-b5fe-4891-841e-b7502fe0a8ad" targetNamespace="http://schemas.microsoft.com/office/2006/metadata/properties" ma:root="true" ma:fieldsID="14b8efbec36a7b1f0b0853e222468df7" ns2:_="" ns3:_="">
    <xsd:import namespace="73b35b98-cb7e-410c-85ac-42f66d393083"/>
    <xsd:import namespace="2f09188f-b5fe-4891-841e-b7502fe0a8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b35b98-cb7e-410c-85ac-42f66d3930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c482af6a-8de7-47f9-8338-178640062c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09188f-b5fe-4891-841e-b7502fe0a8a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e19cd4a7-1954-4720-aa1c-3bfdbffe9ade}" ma:internalName="TaxCatchAll" ma:showField="CatchAllData" ma:web="2f09188f-b5fe-4891-841e-b7502fe0a8a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2f09188f-b5fe-4891-841e-b7502fe0a8ad">
      <UserInfo>
        <DisplayName/>
        <AccountId xsi:nil="true"/>
        <AccountType/>
      </UserInfo>
    </SharedWithUsers>
    <MediaLengthInSeconds xmlns="73b35b98-cb7e-410c-85ac-42f66d393083" xsi:nil="true"/>
    <TaxCatchAll xmlns="2f09188f-b5fe-4891-841e-b7502fe0a8ad" xsi:nil="true"/>
    <lcf76f155ced4ddcb4097134ff3c332f xmlns="73b35b98-cb7e-410c-85ac-42f66d39308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21B6AA2-E49A-487F-ADBA-45B1DBE0FAB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22CC8EB-9B72-45C7-9717-906C37A013F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b35b98-cb7e-410c-85ac-42f66d393083"/>
    <ds:schemaRef ds:uri="2f09188f-b5fe-4891-841e-b7502fe0a8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A1146A6-8838-4722-B5ED-84888AB31447}">
  <ds:schemaRefs>
    <ds:schemaRef ds:uri="http://schemas.microsoft.com/office/2006/metadata/properties"/>
    <ds:schemaRef ds:uri="http://schemas.microsoft.com/office/infopath/2007/PartnerControls"/>
    <ds:schemaRef ds:uri="2f09188f-b5fe-4891-841e-b7502fe0a8ad"/>
    <ds:schemaRef ds:uri="73b35b98-cb7e-410c-85ac-42f66d39308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34</vt:i4>
      </vt:variant>
    </vt:vector>
  </HeadingPairs>
  <TitlesOfParts>
    <vt:vector size="41" baseType="lpstr">
      <vt:lpstr>Outline_REFS</vt:lpstr>
      <vt:lpstr>setup_from_values</vt:lpstr>
      <vt:lpstr>setup</vt:lpstr>
      <vt:lpstr>210309_Quan.Result</vt:lpstr>
      <vt:lpstr>210311_Quan. Result</vt:lpstr>
      <vt:lpstr>210315_Quan. Result</vt:lpstr>
      <vt:lpstr>ANALYSIS</vt:lpstr>
      <vt:lpstr>Avg_Ct</vt:lpstr>
      <vt:lpstr>dna_per_rxn</vt:lpstr>
      <vt:lpstr>F_100</vt:lpstr>
      <vt:lpstr>F_200</vt:lpstr>
      <vt:lpstr>F_400</vt:lpstr>
      <vt:lpstr>F_50</vt:lpstr>
      <vt:lpstr>F_600</vt:lpstr>
      <vt:lpstr>F_800</vt:lpstr>
      <vt:lpstr>F_concs</vt:lpstr>
      <vt:lpstr>F_int_vol</vt:lpstr>
      <vt:lpstr>F_reps</vt:lpstr>
      <vt:lpstr>orig_F_conc</vt:lpstr>
      <vt:lpstr>orig_P_conc</vt:lpstr>
      <vt:lpstr>orig_R_conc</vt:lpstr>
      <vt:lpstr>P_conc</vt:lpstr>
      <vt:lpstr>R_100</vt:lpstr>
      <vt:lpstr>R_200</vt:lpstr>
      <vt:lpstr>R_400</vt:lpstr>
      <vt:lpstr>R_50</vt:lpstr>
      <vt:lpstr>R_600</vt:lpstr>
      <vt:lpstr>R_800</vt:lpstr>
      <vt:lpstr>R_conc</vt:lpstr>
      <vt:lpstr>R_concs</vt:lpstr>
      <vt:lpstr>R_cost</vt:lpstr>
      <vt:lpstr>R_price</vt:lpstr>
      <vt:lpstr>R_reps</vt:lpstr>
      <vt:lpstr>rxn_base</vt:lpstr>
      <vt:lpstr>std_F_conc</vt:lpstr>
      <vt:lpstr>std_NTC_reps</vt:lpstr>
      <vt:lpstr>std_R_cond</vt:lpstr>
      <vt:lpstr>tot_NTCs</vt:lpstr>
      <vt:lpstr>tot_rxn_vol</vt:lpstr>
      <vt:lpstr>tot_samp</vt:lpstr>
      <vt:lpstr>tot_stds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Harley King</dc:creator>
  <cp:keywords>micH;primer matrix</cp:keywords>
  <cp:lastModifiedBy>Harley King</cp:lastModifiedBy>
  <cp:lastPrinted>2021-03-15T10:02:21Z</cp:lastPrinted>
  <dcterms:created xsi:type="dcterms:W3CDTF">2021-03-10T13:10:32Z</dcterms:created>
  <dcterms:modified xsi:type="dcterms:W3CDTF">2022-08-19T21:29:52Z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0x0101006B231B0F347DDE4095027796ED4DA961</vt:lpwstr>
  </property>
  <property fmtid="{D5CDD505-2E9C-101B-9397-08002B2CF9AE}" pid="3" name="ComplianceAssetId">
    <vt:lpwstr/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MediaServiceImageTags">
    <vt:lpwstr/>
  </property>
</Properties>
</file>